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2" name="_xlnm.Print_Titles" vbProcedure="false">Roadmap!$1:$5</definedName>
    <definedName function="false" hidden="false" localSheetId="1" name="_xlnm.Print_Area" vbProcedure="false">Status!$B$1:$H$90</definedName>
    <definedName function="false" hidden="false" localSheetId="1" name="_xlnm.Print_Titles" vbProcedure="false">Status!$1:$5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Tasks!$HH$5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v_Twice" vbProcedure="false">LeaveDays[Also Typed Above]</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ertP50" vbProcedure="false">Settings!$C$45</definedName>
    <definedName function="false" hidden="false" name="PertP80" vbProcedure="false">Settings!$C$46</definedName>
    <definedName function="false" hidden="false" name="PlannedFinish" vbProcedure="false">Settings!$C$28</definedName>
    <definedName function="false" hidden="false" name="PlannerModules" vbProcedure="false">""</definedName>
    <definedName function="false" hidden="false" name="PlannerVersion" vbProcedure="false">"2.1"</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andbox" vbProcedure="false">Settings!$C$44</definedName>
    <definedName function="false" hidden="false" name="sch_Planned" vbProcedure="false">Status!$D$32</definedName>
    <definedName function="false" hidden="false" name="sch_Progress" vbProcedure="false">Status!$D$31</definedName>
    <definedName function="false" hidden="false" name="sch_SPI" vbProcedure="false">Status!$D$33</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sts_Narrative" vbProcedure="false">Status!$B$24</definedName>
    <definedName function="false" hidden="false" name="TakeBaseline" vbProcedure="false">Settings!$C$41</definedName>
    <definedName function="false" hidden="false" name="TemplateVersion" vbProcedure="false">"1.1"</definedName>
    <definedName function="false" hidden="false" name="tsk_Accountable" vbProcedure="false">Tasks[Accountable]</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nsulted" vbProcedure="false">Tasks[Consulted]</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nformed" vbProcedure="false">Tasks[Informed]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ertExpected" vbProcedure="false">Tasks[Expected]</definedName>
    <definedName function="false" hidden="false" name="tsk_PertShift" vbProcedure="false">Tasks[_PertShift]</definedName>
    <definedName function="false" hidden="false" name="tsk_PertVariance" vbProcedure="false">Tasks[_PertVariance]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6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U5" authorId="0">
      <text>
        <r>
          <rPr>
            <sz val="10"/>
            <rFont val="Arial"/>
            <family val="2"/>
          </rPr>
          <t xml:space="preserve">RACI: who is accountable (one person, from Resources). Responsible = the Resources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V5" authorId="0">
      <text>
        <r>
          <rPr>
            <sz val="10"/>
            <rFont val="Arial"/>
            <family val="2"/>
          </rPr>
          <t xml:space="preserve">RACI: who is consulted (names, comma-separated; anyone, not only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W5" authorId="0">
      <text>
        <r>
          <rPr>
            <sz val="10"/>
            <rFont val="Arial"/>
            <family val="2"/>
          </rPr>
          <t xml:space="preserve">RACI: who is kept informed (names, comma-separated).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X5" authorId="0">
      <text>
        <r>
          <rPr>
            <sz val="10"/>
            <rFont val="Arial"/>
            <family val="2"/>
          </rPr>
          <t xml:space="preserve">Three-point estimate: (Optimistic + 4 x Duration + Pessimistic) / 6. Blank until both are typed. Settings &gt; PertP50 / PertP80 add them up.</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Y5" authorId="0">
      <text>
        <r>
          <rPr>
            <sz val="10"/>
            <rFont val="Arial"/>
            <family val="2"/>
          </rPr>
          <t xml:space="preserve">Optimistic: the fewest working days it could take (at most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Z5" authorId="0">
      <text>
        <r>
          <rPr>
            <sz val="10"/>
            <rFont val="Arial"/>
            <family val="2"/>
          </rPr>
          <t xml:space="preserve">Pessimistic: the most working days it could take (at least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A5" authorId="0">
      <text>
        <r>
          <rPr>
            <sz val="10"/>
            <rFont val="Arial"/>
            <family val="2"/>
          </rPr>
          <t xml:space="preserve">What-if duration (3, 3d or 2w): used instead of Duration while Settings &gt; Sandbox = Yes. Status says when the sandbox is 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Tasks with this person as Accountable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Tasks that name this person in Consulted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Tasks that name this person in Informed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J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Days on this row that are also in the person's month cell above: they count twice. Clear one.</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-16</xdr:rowOff>
              </xdr:to>
            </anchor>
          </commentPr>
        </mc:Choice>
        <mc:Fallback/>
      </mc:AlternateContent>
    </comment>
    <comment ref="AK5" authorId="0">
      <text>
        <r>
          <rPr>
            <sz val="10"/>
            <rFont val="Arial"/>
            <family val="2"/>
          </rPr>
          <t xml:space="preserve">Days off in Aug-27: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K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L5" authorId="0">
      <text>
        <r>
          <rPr>
            <sz val="10"/>
            <rFont val="Arial"/>
            <family val="2"/>
          </rPr>
          <t xml:space="preserve">Days off in Sep-27: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60" authorId="0">
      <text>
        <r>
          <rPr>
            <sz val="10"/>
            <rFont val="Arial"/>
            <family val="2"/>
          </rPr>
          <t xml:space="preserve">The person's month cell as ",16,17,(0.5),": each day between commas (helper).</t>
        </r>
      </text>
      <mc:AlternateContent>
        <mc:Choice Requires="v2">
          <commentPr autoFill="true" autoScale="false" colHidden="tru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M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Y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Z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BA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<sst xmlns="http://schemas.openxmlformats.org/spreadsheetml/2006/main" count="935" uniqueCount="778">
  <si>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</si>
  <si>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</si>
  <si>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</si>
  <si>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</si>
  <si>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</si>
  <si>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</si>
  <si>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</si>
  <si>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</si>
  <si>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</si>
  <si>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</si>
  <si>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</si>
  <si>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</si>
  <si>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</si>
  <si>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</si>
  <si>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</si>
  <si>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</si>
  <si>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</si>
  <si>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</si>
  <si>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</si>
  <si>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</si>
  <si>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</si>
  <si>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</si>
  <si>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</si>
  <si>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</si>
  <si>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</si>
  <si>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</si>
  <si>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</si>
  <si>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</si>
  <si>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</si>
  <si>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</si>
  <si>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</si>
  <si>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</si>
  <si>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</si>
  <si>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</si>
  <si>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</si>
  <si>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</si>
  <si>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</si>
  <si>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</si>
  <si>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</si>
  <si>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</si>
  <si>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</si>
  <si>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</si>
  <si>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</si>
  <si>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</si>
  <si>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</si>
  <si>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</si>
  <si>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</si>
  <si>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</si>
  <si>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</si>
  <si>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</si>
  <si>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</si>
  <si>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</si>
  <si>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</si>
  <si>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</si>
  <si>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</si>
  <si>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</si>
  <si>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</si>
  <si>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</si>
  <si>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</si>
  <si>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</si>
  <si>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</si>
  <si>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</si>
  <si>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</si>
  <si>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</si>
  <si>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</si>
  <si>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</si>
  <si>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RACI</t>
  </si>
  <si>
    <t xml:space="preserve">Tasks &gt; RACI (+): Accountable (one person, from Resources), Consulted and Informed (names, comma-separated). Responsible is the task's Resources. Resources counts each person's tasks in each role.</t>
  </si>
  <si>
    <t xml:space="preserve">Dependencies</t>
  </si>
  <si>
    <t xml:space="preserve">On the Log, a Dependency row with an Expected date and a Task UID shows the task's start and the gap in working days (negative = it arrives too late). Status lists the five latest against their task; Check counts the late ones.</t>
  </si>
  <si>
    <t xml:space="preserve">Sandbox</t>
  </si>
  <si>
    <t xml:space="preserve">Try a what-if without touching the plan: type a Sandbox Duration on the tasks (Tasks &gt; ESTIMATES and SANDBOX), then Settings &gt; Sandbox = Yes. Every date and report follows; Status and Check say the sandbox is on. Set No to go back; the Sandbox Durations stay for next time.</t>
  </si>
  <si>
    <t xml:space="preserve">Three-point estimates</t>
  </si>
  <si>
    <t xml:space="preserve">Optimistic and Pessimistic beside a task's Duration give its Expected duration ((O + 4 x Duration + P) / 6). Status shows the finish with a 50% (P50) and 80% (P80) chance, from the critical tasks' estimates.</t>
  </si>
  <si>
    <t xml:space="preserve">Summary</t>
  </si>
  <si>
    <t xml:space="preserve">Status &gt; SUMMARY writes the status in one paragraph (RAG, finish, progress, late tasks, next milestone, top risk, late dependencies): copy it into the commentary and add the why.</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</si>
  <si>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</si>
  <si>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</si>
  <si>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</si>
  <si>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</si>
  <si>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</si>
  <si>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</si>
  <si>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</si>
  <si>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</si>
  <si>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</si>
  <si>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</si>
  <si>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</si>
  <si>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</si>
  <si>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</si>
  <si>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</si>
  <si>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</si>
  <si>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</si>
  <si>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</si>
  <si>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</si>
  <si>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</si>
  <si>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</si>
  <si>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</si>
  <si>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</si>
  <si>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</si>
  <si>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</si>
  <si>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</si>
  <si>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</si>
  <si>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</si>
  <si>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</si>
  <si>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</si>
  <si>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</si>
  <si>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</si>
  <si>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</si>
  <si>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</si>
  <si>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</si>
  <si>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</si>
  <si>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</si>
  <si>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</si>
  <si>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</si>
  <si>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</si>
  <si>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</si>
  <si>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</si>
  <si>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</si>
  <si>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</si>
  <si>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</si>
  <si>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</si>
  <si>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</si>
  <si>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</si>
  <si>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</si>
  <si>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</si>
  <si>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</si>
  <si>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</si>
  <si>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</si>
  <si>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</si>
  <si>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</si>
  <si>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</si>
  <si>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</si>
  <si>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</si>
  <si>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</si>
  <si>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</si>
  <si>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</si>
  <si>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</si>
  <si>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</si>
  <si>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</si>
  <si>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</si>
  <si>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</si>
  <si>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</si>
  <si>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</si>
  <si>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SUMMARY (automatic: copy it into the commentary below and add the why)</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</si>
  <si>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</si>
  <si>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</si>
  <si>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</si>
  <si>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</si>
  <si>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</si>
  <si>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</si>
  <si>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</si>
  <si>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</si>
  <si>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</si>
  <si>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</si>
  <si>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</si>
  <si>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</si>
  <si>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</si>
  <si>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</si>
  <si>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</si>
  <si>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</si>
  <si>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</si>
  <si>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</si>
  <si>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</si>
  <si>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</si>
  <si>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</si>
  <si>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</si>
  <si>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</si>
  <si>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</si>
  <si>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</si>
  <si>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</si>
  <si>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Finish P50 (three-point estimates)</t>
  </si>
  <si>
    <t xml:space="preserve">Tasks &gt; ESTIMATES</t>
  </si>
  <si>
    <t xml:space="preserve">Finish P80 (three-point estimates)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</si>
  <si>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</si>
  <si>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</si>
  <si>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</si>
  <si>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</si>
  <si>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</si>
  <si>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</si>
  <si>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</si>
  <si>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</si>
  <si>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</si>
  <si>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</si>
  <si>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</si>
  <si>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</si>
  <si>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</si>
  <si>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</si>
  <si>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</si>
  <si>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</si>
  <si>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</si>
  <si>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</si>
  <si>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</si>
  <si>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</si>
  <si>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</si>
  <si>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</si>
  <si>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</si>
  <si>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</si>
  <si>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</si>
  <si>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</si>
  <si>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</si>
  <si>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</si>
  <si>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</si>
  <si>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</si>
  <si>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</si>
  <si>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</si>
  <si>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</si>
  <si>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</si>
  <si>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</si>
  <si>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</si>
  <si>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</si>
  <si>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</si>
  <si>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</si>
  <si>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</si>
  <si>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</si>
  <si>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</si>
  <si>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</si>
  <si>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</si>
  <si>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</si>
  <si>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</si>
  <si>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</si>
  <si>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</si>
  <si>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</si>
  <si>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</si>
  <si>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</si>
  <si>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</si>
  <si>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</si>
  <si>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</si>
  <si>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</si>
  <si>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</si>
  <si>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</si>
  <si>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</si>
  <si>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</si>
  <si>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</si>
  <si>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</si>
  <si>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</si>
  <si>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</si>
  <si>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</si>
  <si>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</si>
  <si>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</si>
  <si>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</si>
  <si>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</si>
  <si>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</si>
  <si>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</si>
  <si>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</si>
  <si>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</si>
  <si>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</si>
  <si>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</si>
  <si>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</si>
  <si>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</si>
  <si>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</si>
  <si>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</si>
  <si>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</si>
  <si>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</si>
  <si>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</si>
  <si>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</si>
  <si>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</si>
  <si>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</si>
  <si>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</si>
  <si>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</si>
  <si>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</si>
  <si>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</si>
  <si>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</si>
  <si>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</si>
  <si>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</si>
  <si>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</si>
  <si>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</si>
  <si>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</si>
  <si>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</si>
  <si>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</si>
  <si>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</si>
  <si>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</si>
  <si>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</si>
  <si>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</si>
  <si>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</si>
  <si>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</si>
  <si>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</si>
  <si>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</si>
  <si>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</si>
  <si>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</si>
  <si>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</si>
  <si>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</si>
  <si>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</si>
  <si>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</si>
  <si>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</si>
  <si>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</si>
  <si>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</si>
  <si>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</si>
  <si>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</si>
  <si>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</si>
  <si>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</si>
  <si>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</si>
  <si>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</si>
  <si>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</si>
  <si>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</si>
  <si>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</si>
  <si>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</si>
  <si>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</si>
  <si>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</si>
  <si>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</si>
  <si>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</si>
  <si>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</si>
  <si>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</si>
  <si>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</si>
  <si>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</si>
  <si>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</si>
  <si>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</si>
  <si>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</si>
  <si>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</si>
  <si>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</si>
  <si>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</si>
  <si>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</si>
  <si>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</si>
  <si>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</si>
  <si>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</si>
  <si>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</si>
  <si>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</si>
  <si>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</si>
  <si>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</si>
  <si>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</si>
  <si>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</si>
  <si>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</si>
  <si>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</si>
  <si>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</si>
  <si>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</si>
  <si>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</si>
  <si>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</si>
  <si>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</si>
  <si>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</si>
  <si>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</si>
  <si>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</si>
  <si>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</si>
  <si>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</si>
  <si>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</si>
  <si>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</si>
  <si>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</si>
  <si>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</si>
  <si>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</si>
  <si>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</si>
  <si>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</si>
  <si>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</si>
  <si>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</si>
  <si>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</si>
  <si>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</si>
  <si>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</si>
  <si>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</si>
  <si>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</si>
  <si>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</si>
  <si>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</si>
  <si>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</si>
  <si>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</si>
  <si>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</si>
  <si>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</si>
  <si>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</si>
  <si>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</si>
  <si>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</si>
  <si>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</si>
  <si>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</si>
  <si>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</si>
  <si>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</si>
  <si>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</si>
  <si>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</si>
  <si>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</si>
  <si>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</si>
  <si>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</si>
  <si>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</si>
  <si>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</si>
  <si>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</si>
  <si>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</si>
  <si>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</si>
  <si>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</si>
  <si>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</si>
  <si>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</si>
  <si>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</si>
  <si>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</si>
  <si>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</si>
  <si>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</si>
  <si>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</si>
  <si>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</si>
  <si>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</si>
  <si>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</si>
  <si>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</si>
  <si>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</si>
  <si>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</si>
  <si>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</si>
  <si>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</si>
  <si>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</si>
  <si>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</si>
  <si>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</si>
  <si>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</si>
  <si>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</si>
  <si>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</si>
  <si>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</si>
  <si>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</si>
  <si>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</si>
  <si>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</si>
  <si>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</si>
  <si>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</si>
  <si>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</si>
  <si>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</si>
  <si>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</si>
  <si>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</si>
  <si>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</si>
  <si>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</si>
  <si>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</si>
  <si>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</si>
  <si>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Sandbox: use the Sandbox Durations (what-if)</t>
  </si>
  <si>
    <t xml:space="preserve">Yes = every task with a Sandbox Duration (Tasks &gt; ESTIMATES and SANDBOX) uses it instead of its Duration, and the whole plan, Status and the reports show the what-if. Status and Check say so. Set No to go back.</t>
  </si>
  <si>
    <t xml:space="preserve">Finish P50, from the estimates (calculated)</t>
  </si>
  <si>
    <t xml:space="preserve">PertP50</t>
  </si>
  <si>
    <t xml:space="preserve">Forecast finish moved by the critical tasks' Expected - Duration: a 50% chance of finishing by then.</t>
  </si>
  <si>
    <t xml:space="preserve">Finish P80, from the estimates (calculated)</t>
  </si>
  <si>
    <t xml:space="preserve">PertP80</t>
  </si>
  <si>
    <t xml:space="preserve">Adds 0.84 standard deviations (the critical tasks' variances added up): an 80% chance of finishing by then.</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</si>
  <si>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</si>
  <si>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</si>
  <si>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</si>
  <si>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</si>
  <si>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</si>
  <si>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</si>
  <si>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</si>
  <si>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</si>
  <si>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</si>
  <si>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</si>
  <si>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</si>
  <si>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</si>
  <si>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</si>
  <si>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</si>
  <si>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</si>
  <si>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</si>
  <si>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</si>
  <si>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</si>
  <si>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</si>
  <si>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</si>
  <si>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</si>
  <si>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</si>
  <si>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</si>
  <si>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</si>
  <si>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</si>
  <si>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</si>
  <si>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</si>
  <si>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</si>
  <si>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</si>
  <si>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</si>
  <si>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</si>
  <si>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</si>
  <si>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ESTIMATES (PERT) and SANDBOX</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</si>
  <si>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</si>
  <si>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</si>
  <si>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</si>
  <si>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</si>
  <si>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</si>
  <si>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</si>
  <si>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</si>
  <si>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</si>
  <si>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</si>
  <si>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</si>
  <si>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</si>
  <si>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</si>
  <si>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</si>
  <si>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</si>
  <si>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</si>
  <si>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</si>
  <si>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</si>
  <si>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</si>
  <si>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</si>
  <si>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</si>
  <si>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</si>
  <si>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</si>
  <si>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</si>
  <si>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</si>
  <si>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</si>
  <si>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</si>
  <si>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</si>
  <si>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</si>
  <si>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</si>
  <si>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</si>
  <si>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</si>
  <si>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</si>
  <si>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</si>
  <si>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</si>
  <si>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</si>
  <si>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</si>
  <si>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</si>
  <si>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</si>
  <si>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</si>
  <si>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</si>
  <si>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</si>
  <si>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</si>
  <si>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</si>
  <si>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</si>
  <si>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</si>
  <si>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</si>
  <si>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</si>
  <si>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</si>
  <si>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</si>
  <si>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</si>
  <si>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Accountable</t>
  </si>
  <si>
    <t xml:space="preserve">Consulted</t>
  </si>
  <si>
    <t xml:space="preserve">Informed</t>
  </si>
  <si>
    <t xml:space="preserve">Expected</t>
  </si>
  <si>
    <t xml:space="preserve">Optimistic</t>
  </si>
  <si>
    <t xml:space="preserve">Pessimistic</t>
  </si>
  <si>
    <t xml:space="preserve">Sandbox Duration</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</si>
  <si>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</si>
  <si>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</si>
  <si>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</si>
  <si>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</si>
  <si>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</si>
  <si>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</si>
  <si>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</si>
  <si>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</si>
  <si>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</si>
  <si>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</si>
  <si>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</si>
  <si>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</si>
  <si>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</si>
  <si>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</si>
  <si>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</si>
  <si>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</si>
  <si>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</si>
  <si>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</si>
  <si>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</si>
  <si>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</si>
  <si>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</si>
  <si>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</si>
  <si>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</si>
  <si>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</si>
  <si>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</si>
  <si>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</si>
  <si>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</si>
  <si>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</si>
  <si>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</si>
  <si>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</si>
  <si>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</si>
  <si>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</si>
  <si>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</si>
  <si>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</si>
  <si>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</si>
  <si>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</si>
  <si>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</si>
  <si>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</si>
  <si>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</si>
  <si>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</si>
  <si>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</si>
  <si>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</si>
  <si>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</si>
  <si>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</si>
  <si>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</si>
  <si>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</si>
  <si>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</si>
  <si>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</si>
  <si>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</si>
  <si>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</si>
  <si>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</si>
  <si>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</si>
  <si>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</si>
  <si>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</si>
  <si>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</si>
  <si>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</si>
  <si>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</si>
  <si>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</si>
  <si>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</si>
  <si>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</si>
  <si>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</si>
  <si>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</si>
  <si>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</si>
  <si>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</si>
  <si>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</si>
  <si>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</si>
  <si>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</si>
  <si>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</si>
  <si>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</si>
  <si>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</si>
  <si>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</si>
  <si>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</si>
  <si>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</si>
  <si>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</si>
  <si>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</si>
  <si>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</si>
  <si>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</si>
  <si>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</si>
  <si>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</si>
  <si>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</si>
  <si>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</si>
  <si>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</si>
  <si>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</si>
  <si>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</si>
  <si>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</si>
  <si>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</si>
  <si>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</si>
  <si>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</si>
  <si>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</si>
  <si>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</si>
  <si>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</si>
  <si>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</si>
  <si>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</si>
  <si>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</si>
  <si>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</si>
  <si>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</si>
  <si>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</si>
  <si>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</si>
  <si>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</si>
  <si>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</si>
  <si>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</si>
  <si>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</si>
  <si>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</si>
  <si>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</si>
  <si>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</si>
  <si>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</si>
  <si>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</si>
  <si>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</si>
  <si>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</si>
  <si>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</si>
  <si>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</si>
  <si>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</si>
  <si>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</si>
  <si>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</si>
  <si>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</si>
  <si>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</si>
  <si>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</si>
  <si>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</si>
  <si>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</si>
  <si>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</si>
  <si>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</si>
  <si>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</si>
  <si>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</si>
  <si>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</si>
  <si>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</si>
  <si>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</si>
  <si>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</si>
  <si>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</si>
  <si>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</si>
  <si>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</si>
  <si>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</si>
  <si>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</si>
  <si>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</si>
  <si>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</si>
  <si>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_PertVariance</t>
  </si>
  <si>
    <t xml:space="preserve">_PertShift</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</si>
  <si>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</si>
  <si>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</si>
  <si>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</si>
  <si>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</si>
  <si>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Morgan Patel</t>
  </si>
  <si>
    <t xml:space="preserve">Steering committee</t>
  </si>
  <si>
    <t xml:space="preserve">Stakeholder kickoff workshop</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</si>
  <si>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</si>
  <si>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</si>
  <si>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</si>
  <si>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</si>
  <si>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</si>
  <si>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</si>
  <si>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</si>
  <si>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</si>
  <si>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</si>
  <si>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</si>
  <si>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</si>
  <si>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</si>
  <si>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</si>
  <si>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Jordan Lee, Sam Rivera</t>
  </si>
  <si>
    <t xml:space="preserve">Go-live readiness review</t>
  </si>
  <si>
    <t xml:space="preserve">Three predecessors.</t>
  </si>
  <si>
    <t xml:space="preserve">Go-live</t>
  </si>
  <si>
    <t xml:space="preserve">Milestone with a deadline of 18-Dec.</t>
  </si>
  <si>
    <t xml:space="preserve">All staff</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</si>
  <si>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</si>
  <si>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</si>
  <si>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</si>
  <si>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</si>
  <si>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</si>
  <si>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</si>
  <si>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</si>
  <si>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</si>
  <si>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</si>
  <si>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</si>
  <si>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Accountable For</t>
  </si>
  <si>
    <t xml:space="preserve">Consulted On</t>
  </si>
  <si>
    <t xml:space="preserve">Informed Of</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</si>
  <si>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</si>
  <si>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</si>
  <si>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</si>
  <si>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</si>
  <si>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</si>
  <si>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</si>
  <si>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</si>
  <si>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</si>
  <si>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</si>
  <si>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</si>
  <si>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</si>
  <si>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</si>
  <si>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</si>
  <si>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</si>
  <si>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</si>
  <si>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</si>
  <si>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</si>
  <si>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</si>
  <si>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</si>
  <si>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</si>
  <si>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</si>
  <si>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</si>
  <si>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</si>
  <si>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</si>
  <si>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</si>
  <si>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</si>
  <si>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</si>
  <si>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</si>
  <si>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</si>
  <si>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</si>
  <si>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</si>
  <si>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</si>
  <si>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</si>
  <si>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</si>
  <si>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</si>
  <si>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</si>
  <si>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</si>
  <si>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</si>
  <si>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</si>
  <si>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</si>
  <si>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</si>
  <si>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</si>
  <si>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</si>
  <si>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</si>
  <si>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</si>
  <si>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</si>
  <si>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</si>
  <si>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</si>
  <si>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</si>
  <si>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</si>
  <si>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</si>
  <si>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</si>
  <si>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</si>
  <si>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</si>
  <si>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</si>
  <si>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</si>
  <si>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</si>
  <si>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</si>
  <si>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</si>
  <si>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</si>
  <si>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</si>
  <si>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</si>
  <si>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</si>
  <si>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</si>
  <si>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</si>
  <si>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</si>
  <si>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</si>
  <si>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</si>
  <si>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</si>
  <si>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</si>
  <si>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</si>
  <si>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</si>
  <si>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</si>
  <si>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</si>
  <si>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</si>
  <si>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</si>
  <si>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</si>
  <si>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</si>
  <si>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</si>
  <si>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</si>
  <si>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</si>
  <si>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</si>
  <si>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</si>
  <si>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</si>
  <si>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</si>
  <si>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</si>
  <si>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</si>
  <si>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</si>
  <si>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</si>
  <si>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</si>
  <si>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</si>
  <si>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</si>
  <si>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</si>
  <si>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</si>
  <si>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</si>
  <si>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</si>
  <si>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</si>
  <si>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Also Typed Above</t>
  </si>
  <si>
    <t xml:space="preserve">_Key</t>
  </si>
  <si>
    <t xml:space="preserve">_MonthText</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</si>
</sst>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General"/>
    <numFmt numFmtId="173" formatCode="0%"/>
    <numFmt numFmtId="174" formatCode="#,##0"/>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4"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3"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3" fontId="8" fillId="0" borderId="1" xfId="0" applyFont="true" applyBorder="true" applyAlignment="true" applyProtection="true">
      <alignment horizontal="center" vertical="bottom" textRotation="0" wrapText="false" indent="0" shrinkToFit="false"/>
      <protection locked="false" hidden="false"/>
    </xf>
    <xf numFmtId="173"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68" fontId="10" fillId="3" borderId="1" xfId="0" applyFont="true" applyBorder="true" applyAlignment="true" applyProtection="false">
      <alignment horizontal="center" vertical="bottom" textRotation="0" wrapText="fals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3"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4">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54823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Status!F27</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Status!$E$28:$E$32</c:f>
              <c:strCache>
                <c:ptCount val="5"/>
                <c:pt idx="0">
                  <c:v>Complete</c:v>
                </c:pt>
                <c:pt idx="1">
                  <c:v>In Progress</c:v>
                </c:pt>
                <c:pt idx="2">
                  <c:v>Behind</c:v>
                </c:pt>
                <c:pt idx="3">
                  <c:v>Late Start</c:v>
                </c:pt>
                <c:pt idx="4">
                  <c:v>Not Started</c:v>
                </c:pt>
              </c:strCache>
            </c:strRef>
          </c:cat>
          <c:val>
            <c:numRef>
              <c:f>Status!$F$28:$F$32</c:f>
              <c:numCache>
                <c:formatCode>General</c:formatCode>
                <c:ptCount val="5"/>
                <c:pt idx="0">
                  <c:v>6</c:v>
                </c:pt>
                <c:pt idx="1">
                  <c:v>0</c:v>
                </c:pt>
                <c:pt idx="2">
                  <c:v>1</c:v>
                </c:pt>
                <c:pt idx="3">
                  <c:v>2</c:v>
                </c:pt>
                <c:pt idx="4">
                  <c:v>0</c:v>
                </c:pt>
              </c:numCache>
            </c:numRef>
          </c:val>
        </c:ser>
        <c:gapWidth val="150"/>
        <c:overlap val="0"/>
        <c:axId val="36578244"/>
        <c:axId val="96567010"/>
      </c:barChart>
      <c:catAx>
        <c:axId val="365782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567010"/>
        <c:crosses val="autoZero"/>
        <c:auto val="1"/>
        <c:lblAlgn val="ctr"/>
        <c:lblOffset val="100"/>
        <c:noMultiLvlLbl val="0"/>
      </c:catAx>
      <c:valAx>
        <c:axId val="9656701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782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32</xdr:row>
      <xdr:rowOff>130680</xdr:rowOff>
    </xdr:from>
    <xdr:to>
      <xdr:col>7</xdr:col>
      <xdr:colOff>1641240</xdr:colOff>
      <xdr:row>44</xdr:row>
      <xdr:rowOff>4320</xdr:rowOff>
    </xdr:to>
    <xdr:graphicFrame>
      <xdr:nvGraphicFramePr>
        <xdr:cNvPr id="0" name="Chart 1"/>
        <xdr:cNvGraphicFramePr/>
      </xdr:nvGraphicFramePr>
      <xdr:xfrm>
        <a:off x="7612560" y="727704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8:C158" headerRowCount="1">
  <autoFilter ref="B58:C158"/>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7:D41"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L100" headerRowCount="1">
  <autoFilter ref="B60:AL100"/>
  <tableColumns count="37">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Also Typed Above">
      <calculatedColumnFormula>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calculatedColumnFormula>
    </tableColumn>
    <tableColumn id="36" name="_Key">
      <calculatedColumnFormula>LeaveDays[[#This Row],[Resource]]&amp;"|"&amp;LeaveDays[[#This Row],[Month]]</calculatedColumnFormula>
    </tableColumn>
    <tableColumn id="37" name="_MonthText">
      <calculatedColumnFormula>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9:C55"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84:C90"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6" customFormat="false" ht="23.85" hidden="false" customHeight="false" outlineLevel="0" collapsed="false">
      <c r="B46" s="10" t="s">
        <v>66</v>
      </c>
      <c r="C46" s="11" t="s">
        <v>67</v>
      </c>
    </row>
    <row r="47" customFormat="false" ht="23.85" hidden="false" customHeight="false" outlineLevel="0" collapsed="false">
      <c r="B47" s="10" t="s">
        <v>68</v>
      </c>
      <c r="C47" s="11" t="s">
        <v>69</v>
      </c>
    </row>
    <row r="48" customFormat="false" ht="35.05" hidden="false" customHeight="false" outlineLevel="0" collapsed="false">
      <c r="B48" s="10" t="s">
        <v>70</v>
      </c>
      <c r="C48" s="11" t="s">
        <v>71</v>
      </c>
    </row>
    <row r="49" customFormat="false" ht="23.85" hidden="false" customHeight="false" outlineLevel="0" collapsed="false">
      <c r="B49" s="10" t="s">
        <v>72</v>
      </c>
      <c r="C49" s="11" t="s">
        <v>73</v>
      </c>
    </row>
    <row r="50" customFormat="false" ht="23.85" hidden="false" customHeight="false" outlineLevel="0" collapsed="false">
      <c r="B50" s="10" t="s">
        <v>74</v>
      </c>
      <c r="C50" s="11" t="s">
        <v>75</v>
      </c>
    </row>
    <row r="52" customFormat="false" ht="15" hidden="false" customHeight="false" outlineLevel="0" collapsed="false">
      <c r="B52" s="3" t="s">
        <v>76</v>
      </c>
      <c r="C52" s="4"/>
    </row>
    <row r="53" customFormat="false" ht="35.05" hidden="false" customHeight="false" outlineLevel="0" collapsed="false">
      <c r="B53" s="10" t="s">
        <v>77</v>
      </c>
      <c r="C53" s="11" t="s">
        <v>78</v>
      </c>
    </row>
    <row r="54" customFormat="false" ht="23.85" hidden="false" customHeight="false" outlineLevel="0" collapsed="false">
      <c r="B54" s="10" t="s">
        <v>79</v>
      </c>
      <c r="C54" s="11" t="s">
        <v>80</v>
      </c>
    </row>
    <row r="55" customFormat="false" ht="15" hidden="false" customHeight="false" outlineLevel="0" collapsed="false">
      <c r="B55" s="10" t="s">
        <v>81</v>
      </c>
      <c r="C55" s="11" t="s">
        <v>82</v>
      </c>
    </row>
    <row r="56" customFormat="false" ht="46.25" hidden="false" customHeight="false" outlineLevel="0" collapsed="false">
      <c r="B56" s="10" t="s">
        <v>83</v>
      </c>
      <c r="C56" s="11" t="s">
        <v>84</v>
      </c>
    </row>
    <row r="57" customFormat="false" ht="15" hidden="false" customHeight="false" outlineLevel="0" collapsed="false">
      <c r="B57" s="10" t="s">
        <v>85</v>
      </c>
      <c r="C57" s="11" t="s">
        <v>86</v>
      </c>
    </row>
    <row r="58" customFormat="false" ht="46.25" hidden="false" customHeight="false" outlineLevel="0" collapsed="false">
      <c r="B58" s="10" t="s">
        <v>87</v>
      </c>
      <c r="C58" s="11" t="s">
        <v>88</v>
      </c>
    </row>
    <row r="59" customFormat="false" ht="23.85" hidden="false" customHeight="false" outlineLevel="0" collapsed="false">
      <c r="B59" s="10" t="s">
        <v>89</v>
      </c>
      <c r="C59" s="11" t="s">
        <v>90</v>
      </c>
    </row>
    <row r="60" customFormat="false" ht="35.05" hidden="false" customHeight="false" outlineLevel="0" collapsed="false">
      <c r="B60" s="10" t="s">
        <v>91</v>
      </c>
      <c r="C60" s="11" t="s">
        <v>92</v>
      </c>
    </row>
    <row r="61" customFormat="false" ht="46.25" hidden="false" customHeight="false" outlineLevel="0" collapsed="false">
      <c r="B61" s="10" t="s">
        <v>93</v>
      </c>
      <c r="C61" s="11" t="s">
        <v>94</v>
      </c>
    </row>
    <row r="62" customFormat="false" ht="35.05" hidden="false" customHeight="false" outlineLevel="0" collapsed="false">
      <c r="B62" s="10" t="s">
        <v>95</v>
      </c>
      <c r="C62" s="11" t="s">
        <v>96</v>
      </c>
    </row>
    <row r="63" customFormat="false" ht="23.85" hidden="false" customHeight="false" outlineLevel="0" collapsed="false">
      <c r="B63" s="10" t="s">
        <v>97</v>
      </c>
      <c r="C63" s="11" t="s">
        <v>98</v>
      </c>
    </row>
    <row r="65" customFormat="false" ht="15" hidden="false" customHeight="false" outlineLevel="0" collapsed="false">
      <c r="B65" s="3" t="s">
        <v>99</v>
      </c>
      <c r="C65" s="4"/>
    </row>
    <row r="66" customFormat="false" ht="46.25" hidden="false" customHeight="false" outlineLevel="0" collapsed="false">
      <c r="B66" s="10" t="s">
        <v>100</v>
      </c>
      <c r="C66" s="11" t="s">
        <v>101</v>
      </c>
    </row>
    <row r="67" customFormat="false" ht="35.05" hidden="false" customHeight="false" outlineLevel="0" collapsed="false">
      <c r="B67" s="10" t="s">
        <v>102</v>
      </c>
      <c r="C67" s="11" t="s">
        <v>103</v>
      </c>
    </row>
    <row r="68" customFormat="false" ht="23.85" hidden="false" customHeight="false" outlineLevel="0" collapsed="false">
      <c r="B68" s="10" t="s">
        <v>104</v>
      </c>
      <c r="C68" s="11" t="s">
        <v>105</v>
      </c>
    </row>
    <row r="70" customFormat="false" ht="15" hidden="false" customHeight="false" outlineLevel="0" collapsed="false">
      <c r="B70" s="3" t="s">
        <v>106</v>
      </c>
      <c r="C70" s="4"/>
    </row>
    <row r="71" customFormat="false" ht="46.25" hidden="false" customHeight="false" outlineLevel="0" collapsed="false">
      <c r="B71" s="10" t="s">
        <v>107</v>
      </c>
      <c r="C71" s="11" t="s">
        <v>108</v>
      </c>
    </row>
    <row r="72" customFormat="false" ht="57.45" hidden="false" customHeight="false" outlineLevel="0" collapsed="false">
      <c r="B72" s="10" t="s">
        <v>109</v>
      </c>
      <c r="C72" s="11" t="s">
        <v>110</v>
      </c>
    </row>
    <row r="73" customFormat="false" ht="23.85" hidden="false" customHeight="false" outlineLevel="0" collapsed="false">
      <c r="B73" s="10" t="s">
        <v>111</v>
      </c>
      <c r="C73" s="11" t="s">
        <v>112</v>
      </c>
    </row>
    <row r="74" customFormat="false" ht="57.45" hidden="false" customHeight="false" outlineLevel="0" collapsed="false">
      <c r="B74" s="10" t="s">
        <v>113</v>
      </c>
      <c r="C74" s="11" t="s">
        <v>114</v>
      </c>
    </row>
    <row r="76" customFormat="false" ht="15" hidden="false" customHeight="false" outlineLevel="0" collapsed="false">
      <c r="B76" s="2" t="str">
        <f aca="false">"Project Planner template "&amp;TemplateVersion&amp;"  -  Excel 2019 or Microsoft 365, desktop, web and iPhone. No macros."</f>
        <v>Project Planner template 1.1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1.1</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IF(Sandbox="Yes","SANDBOX ON (Settings &gt; Sandbox): every date and figure here is a what-if, not the plan.",IF(LiveGrids="No","Resource grids are OFF (Settings &gt; Live resource grids): the Resource Report and Tasks &gt; Over-allocated are not up to date.",""))</f>
        <v/>
      </c>
    </row>
    <row r="4" customFormat="false" ht="15" hidden="false" customHeight="false" outlineLevel="0" collapsed="false">
      <c r="B4" s="3" t="s">
        <v>115</v>
      </c>
      <c r="C4" s="3" t="s">
        <v>116</v>
      </c>
    </row>
    <row r="5" customFormat="false" ht="15" hidden="false" customHeight="false" outlineLevel="0" collapsed="false">
      <c r="B5" s="5" t="s">
        <v>117</v>
      </c>
      <c r="C5" s="7" t="n">
        <v>46320</v>
      </c>
      <c r="D5" s="2" t="s">
        <v>118</v>
      </c>
    </row>
    <row r="6" customFormat="false" ht="30" hidden="false" customHeight="true" outlineLevel="0" collapsed="false">
      <c r="B6" s="5" t="s">
        <v>119</v>
      </c>
      <c r="C6" s="9" t="s">
        <v>120</v>
      </c>
    </row>
    <row r="7" customFormat="false" ht="30" hidden="false" customHeight="true" outlineLevel="0" collapsed="false">
      <c r="B7" s="5" t="s">
        <v>121</v>
      </c>
      <c r="C7" s="16" t="s">
        <v>122</v>
      </c>
    </row>
    <row r="8" customFormat="false" ht="30" hidden="false" customHeight="true" outlineLevel="0" collapsed="false">
      <c r="B8" s="5" t="s">
        <v>123</v>
      </c>
      <c r="C8" s="16" t="s">
        <v>124</v>
      </c>
    </row>
    <row r="13" customFormat="false" ht="15" hidden="false" customHeight="false" outlineLevel="0" collapsed="false">
      <c r="B13" s="17" t="s">
        <v>125</v>
      </c>
      <c r="C13" s="17" t="s">
        <v>126</v>
      </c>
      <c r="D13" s="17" t="s">
        <v>127</v>
      </c>
      <c r="E13" s="17" t="s">
        <v>128</v>
      </c>
      <c r="F13" s="18" t="s">
        <v>129</v>
      </c>
      <c r="G13" s="17" t="s">
        <v>130</v>
      </c>
      <c r="H13" s="18" t="s">
        <v>131</v>
      </c>
    </row>
    <row r="14" customFormat="false" ht="15" hidden="false" customHeight="false" outlineLevel="0" collapsed="false">
      <c r="B14" s="19" t="s">
        <v>132</v>
      </c>
      <c r="C14" s="20" t="s">
        <v>133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125</v>
      </c>
      <c r="C16" s="17" t="s">
        <v>126</v>
      </c>
      <c r="D16" s="17" t="s">
        <v>127</v>
      </c>
      <c r="E16" s="17" t="s">
        <v>128</v>
      </c>
      <c r="F16" s="18" t="s">
        <v>129</v>
      </c>
      <c r="G16" s="17" t="s">
        <v>130</v>
      </c>
      <c r="H16" s="18" t="s">
        <v>131</v>
      </c>
    </row>
    <row r="17" customFormat="false" ht="15" hidden="false" customHeight="false" outlineLevel="0" collapsed="false">
      <c r="B17" s="19" t="s">
        <v>134</v>
      </c>
      <c r="C17" s="20" t="s">
        <v>135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136</v>
      </c>
      <c r="C18" s="20" t="s">
        <v>137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138</v>
      </c>
      <c r="C19" s="20" t="s">
        <v>139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140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141</v>
      </c>
      <c r="C21" s="20" t="s">
        <v>142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143</v>
      </c>
    </row>
    <row r="24" customFormat="false" ht="48" hidden="false" customHeight="true" outlineLevel="0" collapsed="false">
      <c r="B24" s="29" t="str">
        <f aca="false">"Overall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Overall AMBER. Forecast finish 29-Oct-2026, 4 working days later than planned. Progress 91% against 100% planned. 3 tasks late. Next milestone: Go-live on 29-Oct. </v>
      </c>
      <c r="C24" s="29"/>
      <c r="D24" s="29"/>
      <c r="E24" s="29"/>
      <c r="F24" s="29"/>
      <c r="G24" s="29"/>
      <c r="H24" s="29"/>
    </row>
    <row r="26" customFormat="false" ht="15" hidden="false" customHeight="false" outlineLevel="0" collapsed="false">
      <c r="B26" s="28" t="s">
        <v>144</v>
      </c>
    </row>
    <row r="27" customFormat="false" ht="15" hidden="false" customHeight="false" outlineLevel="0" collapsed="false">
      <c r="B27" s="17" t="s">
        <v>126</v>
      </c>
      <c r="C27" s="17" t="s">
        <v>145</v>
      </c>
      <c r="D27" s="17" t="s">
        <v>127</v>
      </c>
      <c r="E27" s="17" t="s">
        <v>146</v>
      </c>
      <c r="F27" s="17" t="s">
        <v>147</v>
      </c>
    </row>
    <row r="28" customFormat="false" ht="15" hidden="false" customHeight="false" outlineLevel="0" collapsed="false">
      <c r="B28" s="19" t="s">
        <v>148</v>
      </c>
      <c r="C28" s="20" t="s">
        <v>149</v>
      </c>
      <c r="D28" s="30" t="n">
        <f aca="false">MIN(tsk_PlanStart)</f>
        <v>46272</v>
      </c>
      <c r="E28" s="31" t="s">
        <v>150</v>
      </c>
      <c r="F28" s="19" t="n">
        <f aca="false">COUNTIFS(tsk_Status,StatusSummary[[#This Row],[Status]],tsk_IsLeaf,1)</f>
        <v>6</v>
      </c>
    </row>
    <row r="29" customFormat="false" ht="15" hidden="false" customHeight="false" outlineLevel="0" collapsed="false">
      <c r="B29" s="19" t="s">
        <v>151</v>
      </c>
      <c r="C29" s="20" t="s">
        <v>152</v>
      </c>
      <c r="D29" s="30" t="n">
        <f aca="false">MAX(tsk_PlanFinish)</f>
        <v>46318</v>
      </c>
      <c r="E29" s="32" t="s">
        <v>153</v>
      </c>
      <c r="F29" s="19" t="n">
        <f aca="false">COUNTIFS(tsk_Status,StatusSummary[[#This Row],[Status]],tsk_IsLeaf,1)</f>
        <v>0</v>
      </c>
    </row>
    <row r="30" customFormat="false" ht="15" hidden="false" customHeight="false" outlineLevel="0" collapsed="false">
      <c r="B30" s="19" t="s">
        <v>154</v>
      </c>
      <c r="C30" s="20" t="s">
        <v>149</v>
      </c>
      <c r="D30" s="30" t="n">
        <f aca="false">MAX(tsk_FcFinish)</f>
        <v>46324</v>
      </c>
      <c r="E30" s="33" t="s">
        <v>155</v>
      </c>
      <c r="F30" s="19" t="n">
        <f aca="false">COUNTIFS(tsk_Status,StatusSummary[[#This Row],[Status]],tsk_IsLeaf,1)</f>
        <v>1</v>
      </c>
    </row>
    <row r="31" customFormat="false" ht="15" hidden="false" customHeight="false" outlineLevel="0" collapsed="false">
      <c r="B31" s="19" t="s">
        <v>156</v>
      </c>
      <c r="C31" s="20" t="s">
        <v>149</v>
      </c>
      <c r="D31" s="34" t="n">
        <f aca="false">IFERROR(SUM(tsk_WtDone)/SUM(tsk_WtDur),0)</f>
        <v>0.905099150141643</v>
      </c>
      <c r="E31" s="35" t="s">
        <v>157</v>
      </c>
      <c r="F31" s="19" t="n">
        <f aca="false">COUNTIFS(tsk_Status,StatusSummary[[#This Row],[Status]],tsk_IsLeaf,1)</f>
        <v>2</v>
      </c>
    </row>
    <row r="32" customFormat="false" ht="15" hidden="false" customHeight="false" outlineLevel="0" collapsed="false">
      <c r="B32" s="19" t="s">
        <v>158</v>
      </c>
      <c r="C32" s="20" t="s">
        <v>149</v>
      </c>
      <c r="D32" s="34" t="n">
        <f aca="false">IFERROR(SUM(tsk_WtPlanned)/SUM(tsk_WtDur),0)</f>
        <v>1</v>
      </c>
      <c r="E32" s="36" t="s">
        <v>159</v>
      </c>
      <c r="F32" s="19" t="n">
        <f aca="false">COUNTIFS(tsk_Status,StatusSummary[[#This Row],[Status]],tsk_IsLeaf,1)</f>
        <v>0</v>
      </c>
    </row>
    <row r="33" customFormat="false" ht="15" hidden="false" customHeight="false" outlineLevel="0" collapsed="false">
      <c r="B33" s="19" t="s">
        <v>160</v>
      </c>
      <c r="C33" s="20" t="s">
        <v>161</v>
      </c>
      <c r="D33" s="37" t="n">
        <f aca="false">IF(sch_Planned&gt;0,sch_Progress/sch_Planned,"")</f>
        <v>0.905099150141643</v>
      </c>
    </row>
    <row r="34" customFormat="false" ht="15" hidden="false" customHeight="false" outlineLevel="0" collapsed="false">
      <c r="B34" s="19" t="s">
        <v>162</v>
      </c>
      <c r="C34" s="20" t="s">
        <v>149</v>
      </c>
      <c r="D34" s="38" t="n">
        <f aca="false">SUM(tsk_IsLeaf)</f>
        <v>9</v>
      </c>
    </row>
    <row r="35" customFormat="false" ht="15" hidden="false" customHeight="false" outlineLevel="0" collapsed="false">
      <c r="B35" s="19" t="s">
        <v>163</v>
      </c>
      <c r="C35" s="20" t="s">
        <v>149</v>
      </c>
      <c r="D35" s="38" t="n">
        <f aca="false">SUMPRODUCT(tsk_IsLeaf*(tsk_Duration=0)*(tsk_Name&lt;&gt;""))</f>
        <v>3</v>
      </c>
    </row>
    <row r="36" customFormat="false" ht="15" hidden="false" customHeight="false" outlineLevel="0" collapsed="false">
      <c r="B36" s="19" t="s">
        <v>164</v>
      </c>
      <c r="C36" s="20" t="s">
        <v>149</v>
      </c>
      <c r="D36" s="39" t="n">
        <f aca="false">SUMPRODUCT(tsk_Work,tsk_IsLeaf)</f>
        <v>340</v>
      </c>
    </row>
    <row r="37" customFormat="false" ht="15" hidden="false" customHeight="false" outlineLevel="0" collapsed="false">
      <c r="B37" s="19" t="s">
        <v>165</v>
      </c>
      <c r="C37" s="20" t="s">
        <v>166</v>
      </c>
      <c r="D37" s="40" t="str">
        <f aca="false">IF(COUNT(tsk_BaseStart)=0,"Not set (planned = calculated)","Set on "&amp;COUNT(tsk_BaseStart)&amp;" tasks")</f>
        <v>Set on 12 tasks</v>
      </c>
    </row>
    <row r="38" customFormat="false" ht="15" hidden="false" customHeight="false" outlineLevel="0" collapsed="false">
      <c r="B38" s="19" t="s">
        <v>167</v>
      </c>
      <c r="C38" s="20" t="s">
        <v>149</v>
      </c>
      <c r="D38" s="38" t="n">
        <f aca="false">COUNTIFS(tsk_Critical,"Yes",tsk_IsLeaf,1)</f>
        <v>3</v>
      </c>
    </row>
    <row r="39" customFormat="false" ht="15" hidden="false" customHeight="false" outlineLevel="0" collapsed="false">
      <c r="B39" s="19" t="s">
        <v>168</v>
      </c>
      <c r="C39" s="20" t="s">
        <v>169</v>
      </c>
      <c r="D39" s="38" t="n">
        <f aca="false">COUNTIF(tsk_Issues,"?*")</f>
        <v>1</v>
      </c>
    </row>
    <row r="40" customFormat="false" ht="15" hidden="false" customHeight="false" outlineLevel="0" collapsed="false">
      <c r="B40" s="19" t="s">
        <v>170</v>
      </c>
      <c r="C40" s="20" t="s">
        <v>171</v>
      </c>
      <c r="D40" s="30" t="n">
        <f aca="false">PertP50</f>
        <v>46322</v>
      </c>
    </row>
    <row r="41" customFormat="false" ht="15" hidden="false" customHeight="false" outlineLevel="0" collapsed="false">
      <c r="B41" s="19" t="s">
        <v>172</v>
      </c>
      <c r="C41" s="20" t="s">
        <v>171</v>
      </c>
      <c r="D41" s="30" t="n">
        <f aca="false">PertP80</f>
        <v>46323</v>
      </c>
    </row>
    <row r="44" customFormat="false" ht="15" hidden="false" customHeight="false" outlineLevel="0" collapsed="false">
      <c r="B44" s="17" t="s">
        <v>173</v>
      </c>
      <c r="C44" s="17" t="s">
        <v>174</v>
      </c>
    </row>
    <row r="45" customFormat="false" ht="15" hidden="false" customHeight="false" outlineLevel="0" collapsed="false">
      <c r="B45" s="20" t="str">
        <f aca="false">IFERROR(INDEX(tsk_Name,MATCH(SMALL(tsk_MilestoneKey,(ROW()-ROW(NextMilestones[[#Headers],[Next milestones (forecast)]]))),tsk_MilestoneKey,0)),"")</f>
        <v>Go-live</v>
      </c>
      <c r="C45" s="41" t="n">
        <f aca="false">IFERROR(INDEX(tsk_FcFinish,MATCH(SMALL(tsk_MilestoneKey,(ROW()-ROW(NextMilestones[[#Headers],[Next milestones (forecast)]]))),tsk_MilestoneKey,0)),"")</f>
        <v>46324</v>
      </c>
    </row>
    <row r="46" customFormat="false" ht="15" hidden="false" customHeight="false" outlineLevel="0" collapsed="false">
      <c r="B46" s="20" t="str">
        <f aca="false">IFERROR(INDEX(tsk_Name,MATCH(SMALL(tsk_MilestoneKey,(ROW()-ROW(NextMilestones[[#Headers],[Next milestones (forecast)]]))),tsk_MilestoneKey,0)),"")</f>
        <v/>
      </c>
      <c r="C46" s="41" t="str">
        <f aca="false">IFERROR(INDEX(tsk_FcFinish,MATCH(SMALL(tsk_MilestoneKey,(ROW()-ROW(NextMilestones[[#Headers],[Next milestones (forecast)]]))),tsk_MilestoneKey,0)),"")</f>
        <v/>
      </c>
    </row>
    <row r="47" customFormat="false" ht="15" hidden="false" customHeight="false" outlineLevel="0" collapsed="false">
      <c r="B47" s="20" t="str">
        <f aca="false">IFERROR(INDEX(tsk_Name,MATCH(SMALL(tsk_MilestoneKey,(ROW()-ROW(NextMilestones[[#Headers],[Next milestones (forecast)]]))),tsk_MilestoneKey,0)),"")</f>
        <v/>
      </c>
      <c r="C47" s="41" t="str">
        <f aca="false">IFERROR(INDEX(tsk_FcFinish,MATCH(SMALL(tsk_MilestoneKey,(ROW()-ROW(NextMilestones[[#Headers],[Next milestones (forecast)]]))),tsk_MilestoneKey,0)),"")</f>
        <v/>
      </c>
    </row>
    <row r="48" customFormat="false" ht="15" hidden="false" customHeight="false" outlineLevel="0" collapsed="false">
      <c r="B48" s="20" t="str">
        <f aca="false">IFERROR(INDEX(tsk_Name,MATCH(SMALL(tsk_MilestoneKey,(ROW()-ROW(NextMilestones[[#Headers],[Next milestones (forecast)]]))),tsk_MilestoneKey,0)),"")</f>
        <v/>
      </c>
      <c r="C48" s="41" t="str">
        <f aca="false">IFERROR(INDEX(tsk_FcFinish,MATCH(SMALL(tsk_MilestoneKey,(ROW()-ROW(NextMilestones[[#Headers],[Next milestones (forecast)]]))),tsk_MilestoneKey,0)),"")</f>
        <v/>
      </c>
    </row>
    <row r="49" customFormat="false" ht="15" hidden="false" customHeight="false" outlineLevel="0" collapsed="false">
      <c r="B49" s="20" t="str">
        <f aca="false">IFERROR(INDEX(tsk_Name,MATCH(SMALL(tsk_MilestoneKey,(ROW()-ROW(NextMilestones[[#Headers],[Next milestones (forecast)]]))),tsk_MilestoneKey,0)),"")</f>
        <v/>
      </c>
      <c r="C49" s="41" t="str">
        <f aca="false">IFERROR(INDEX(tsk_FcFinish,MATCH(SMALL(tsk_MilestoneKey,(ROW()-ROW(NextMilestones[[#Headers],[Next milestones (forecast)]]))),tsk_MilestoneKey,0)),"")</f>
        <v/>
      </c>
    </row>
    <row r="51" customFormat="false" ht="15" hidden="false" customHeight="false" outlineLevel="0" collapsed="false">
      <c r="B51" s="28" t="str">
        <f aca="false">"LATE TASKS (most days late first)"&amp;": "&amp;COUNT(tsk_LateKey)&amp;IF(COUNT(tsk_LateKey)&gt;ROWS(LateTasks[_Task])," (showing the first "&amp;ROWS(LateTasks[_Task])&amp;")","")</f>
        <v>LATE TASKS (most days late first): 3</v>
      </c>
    </row>
    <row r="52" customFormat="false" ht="23.85" hidden="false" customHeight="false" outlineLevel="0" collapsed="false">
      <c r="A52" s="42" t="s">
        <v>175</v>
      </c>
      <c r="B52" s="17" t="s">
        <v>176</v>
      </c>
      <c r="C52" s="17" t="s">
        <v>177</v>
      </c>
      <c r="D52" s="17" t="s">
        <v>178</v>
      </c>
      <c r="E52" s="17" t="s">
        <v>179</v>
      </c>
      <c r="F52" s="17" t="s">
        <v>146</v>
      </c>
      <c r="G52" s="17" t="s">
        <v>180</v>
      </c>
    </row>
    <row r="53" customFormat="false" ht="15" hidden="false" customHeight="false" outlineLevel="0" collapsed="false">
      <c r="A53" s="43" t="n">
        <f aca="false">IFERROR(MATCH(LARGE(tsk_LateKey,ROW()-ROW(LateTasks[[#Headers],[_Task]])),tsk_LateKey,0),"")</f>
        <v>10</v>
      </c>
      <c r="B53" s="20" t="str">
        <f aca="false">IF(LateTasks[[#This Row],[_Task]]="","",INDEX(tsk_Name,LateTasks[[#This Row],[_Task]])&amp;"")</f>
        <v>System integration testing</v>
      </c>
      <c r="C53" s="20" t="str">
        <f aca="false">IF(LateTasks[[#This Row],[_Task]]="","",INDEX(tsk_ResourceNames,LateTasks[[#This Row],[_Task]])&amp;"")</f>
        <v>Taylor Morgan, Sam Rivera[50%]</v>
      </c>
      <c r="D53" s="44" t="n">
        <f aca="false">IF(LateTasks[[#This Row],[_Task]]="","",IF(N(INDEX(tsk_FcFinish,LateTasks[[#This Row],[_Task]]))=0,"",INDEX(tsk_FcFinish,LateTasks[[#This Row],[_Task]])))</f>
        <v>46323</v>
      </c>
      <c r="E53" s="45" t="n">
        <f aca="false">IF(LateTasks[[#This Row],[_Task]]="","",INDEX(tsk_Variance,LateTasks[[#This Row],[_Task]]))</f>
        <v>4</v>
      </c>
      <c r="F53" s="20" t="str">
        <f aca="false">IF(LateTasks[[#This Row],[_Task]]="","",INDEX(tsk_Status,LateTasks[[#This Row],[_Task]])&amp;"")</f>
        <v>Behind</v>
      </c>
      <c r="G53" s="20" t="str">
        <f aca="false">IF(LateTasks[[#This Row],[_Task]]="","",INDEX(tsk_Critical,LateTasks[[#This Row],[_Task]])&amp;"")</f>
        <v>Yes</v>
      </c>
    </row>
    <row r="54" customFormat="false" ht="15" hidden="false" customHeight="false" outlineLevel="0" collapsed="false">
      <c r="A54" s="43" t="n">
        <f aca="false">IFERROR(MATCH(LARGE(tsk_LateKey,ROW()-ROW(LateTasks[[#Headers],[_Task]])),tsk_LateKey,0),"")</f>
        <v>11</v>
      </c>
      <c r="B54" s="20" t="str">
        <f aca="false">IF(LateTasks[[#This Row],[_Task]]="","",INDEX(tsk_Name,LateTasks[[#This Row],[_Task]])&amp;"")</f>
        <v>Go-live readiness review</v>
      </c>
      <c r="C54" s="20" t="str">
        <f aca="false">IF(LateTasks[[#This Row],[_Task]]="","",INDEX(tsk_ResourceNames,LateTasks[[#This Row],[_Task]])&amp;"")</f>
        <v>Priya Sharma</v>
      </c>
      <c r="D54" s="44" t="n">
        <f aca="false">IF(LateTasks[[#This Row],[_Task]]="","",IF(N(INDEX(tsk_FcFinish,LateTasks[[#This Row],[_Task]]))=0,"",INDEX(tsk_FcFinish,LateTasks[[#This Row],[_Task]])))</f>
        <v>46324</v>
      </c>
      <c r="E54" s="45" t="n">
        <f aca="false">IF(LateTasks[[#This Row],[_Task]]="","",INDEX(tsk_Variance,LateTasks[[#This Row],[_Task]]))</f>
        <v>4</v>
      </c>
      <c r="F54" s="20" t="str">
        <f aca="false">IF(LateTasks[[#This Row],[_Task]]="","",INDEX(tsk_Status,LateTasks[[#This Row],[_Task]])&amp;"")</f>
        <v>Late Start</v>
      </c>
      <c r="G54" s="20" t="str">
        <f aca="false">IF(LateTasks[[#This Row],[_Task]]="","",INDEX(tsk_Critical,LateTasks[[#This Row],[_Task]])&amp;"")</f>
        <v>Yes</v>
      </c>
    </row>
    <row r="55" customFormat="false" ht="15" hidden="false" customHeight="false" outlineLevel="0" collapsed="false">
      <c r="A55" s="43" t="n">
        <f aca="false">IFERROR(MATCH(LARGE(tsk_LateKey,ROW()-ROW(LateTasks[[#Headers],[_Task]])),tsk_LateKey,0),"")</f>
        <v>12</v>
      </c>
      <c r="B55" s="20" t="str">
        <f aca="false">IF(LateTasks[[#This Row],[_Task]]="","",INDEX(tsk_Name,LateTasks[[#This Row],[_Task]])&amp;"")</f>
        <v>Go-live</v>
      </c>
      <c r="C55" s="20" t="str">
        <f aca="false">IF(LateTasks[[#This Row],[_Task]]="","",INDEX(tsk_ResourceNames,LateTasks[[#This Row],[_Task]])&amp;"")</f>
        <v/>
      </c>
      <c r="D55" s="44" t="n">
        <f aca="false">IF(LateTasks[[#This Row],[_Task]]="","",IF(N(INDEX(tsk_FcFinish,LateTasks[[#This Row],[_Task]]))=0,"",INDEX(tsk_FcFinish,LateTasks[[#This Row],[_Task]])))</f>
        <v>46324</v>
      </c>
      <c r="E55" s="45" t="n">
        <f aca="false">IF(LateTasks[[#This Row],[_Task]]="","",INDEX(tsk_Variance,LateTasks[[#This Row],[_Task]]))</f>
        <v>4</v>
      </c>
      <c r="F55" s="20" t="str">
        <f aca="false">IF(LateTasks[[#This Row],[_Task]]="","",INDEX(tsk_Status,LateTasks[[#This Row],[_Task]])&amp;"")</f>
        <v>Late Start</v>
      </c>
      <c r="G55" s="20" t="str">
        <f aca="false">IF(LateTasks[[#This Row],[_Task]]="","",INDEX(tsk_Critical,LateTasks[[#This Row],[_Task]])&amp;"")</f>
        <v>Yes</v>
      </c>
    </row>
    <row r="56" customFormat="false" ht="15" hidden="false" customHeight="false" outlineLevel="0" collapsed="false">
      <c r="A56" s="43" t="str">
        <f aca="false">IFERROR(MATCH(LARGE(tsk_LateKey,ROW()-ROW(LateTasks[[#Headers],[_Task]])),tsk_LateKey,0),"")</f>
        <v/>
      </c>
      <c r="B56" s="20" t="str">
        <f aca="false">IF(LateTasks[[#This Row],[_Task]]="","",INDEX(tsk_Name,LateTasks[[#This Row],[_Task]])&amp;"")</f>
        <v/>
      </c>
      <c r="C56" s="20" t="str">
        <f aca="false">IF(LateTasks[[#This Row],[_Task]]="","",INDEX(tsk_ResourceNames,LateTasks[[#This Row],[_Task]])&amp;"")</f>
        <v/>
      </c>
      <c r="D56" s="44" t="str">
        <f aca="false">IF(LateTasks[[#This Row],[_Task]]="","",IF(N(INDEX(tsk_FcFinish,LateTasks[[#This Row],[_Task]]))=0,"",INDEX(tsk_FcFinish,LateTasks[[#This Row],[_Task]])))</f>
        <v/>
      </c>
      <c r="E56" s="45" t="str">
        <f aca="false">IF(LateTasks[[#This Row],[_Task]]="","",INDEX(tsk_Variance,LateTasks[[#This Row],[_Task]]))</f>
        <v/>
      </c>
      <c r="F56" s="20" t="str">
        <f aca="false">IF(LateTasks[[#This Row],[_Task]]="","",INDEX(tsk_Status,LateTasks[[#This Row],[_Task]])&amp;"")</f>
        <v/>
      </c>
      <c r="G56" s="20" t="str">
        <f aca="false">IF(LateTasks[[#This Row],[_Task]]="","",INDEX(tsk_Critical,LateTasks[[#This Row],[_Task]])&amp;"")</f>
        <v/>
      </c>
    </row>
    <row r="57" customFormat="false" ht="15" hidden="false" customHeight="false" outlineLevel="0" collapsed="false">
      <c r="A57" s="43" t="str">
        <f aca="false">IFERROR(MATCH(LARGE(tsk_LateKey,ROW()-ROW(LateTasks[[#Headers],[_Task]])),tsk_LateKey,0),"")</f>
        <v/>
      </c>
      <c r="B57" s="20" t="str">
        <f aca="false">IF(LateTasks[[#This Row],[_Task]]="","",INDEX(tsk_Name,LateTasks[[#This Row],[_Task]])&amp;"")</f>
        <v/>
      </c>
      <c r="C57" s="20" t="str">
        <f aca="false">IF(LateTasks[[#This Row],[_Task]]="","",INDEX(tsk_ResourceNames,LateTasks[[#This Row],[_Task]])&amp;"")</f>
        <v/>
      </c>
      <c r="D57" s="44" t="str">
        <f aca="false">IF(LateTasks[[#This Row],[_Task]]="","",IF(N(INDEX(tsk_FcFinish,LateTasks[[#This Row],[_Task]]))=0,"",INDEX(tsk_FcFinish,LateTasks[[#This Row],[_Task]])))</f>
        <v/>
      </c>
      <c r="E57" s="45" t="str">
        <f aca="false">IF(LateTasks[[#This Row],[_Task]]="","",INDEX(tsk_Variance,LateTasks[[#This Row],[_Task]]))</f>
        <v/>
      </c>
      <c r="F57" s="20" t="str">
        <f aca="false">IF(LateTasks[[#This Row],[_Task]]="","",INDEX(tsk_Status,LateTasks[[#This Row],[_Task]])&amp;"")</f>
        <v/>
      </c>
      <c r="G57" s="20" t="str">
        <f aca="false">IF(LateTasks[[#This Row],[_Task]]="","",INDEX(tsk_Critical,LateTasks[[#This Row],[_Task]])&amp;"")</f>
        <v/>
      </c>
    </row>
    <row r="59" customFormat="false" ht="15" hidden="false" customHeight="false" outlineLevel="0" collapsed="false">
      <c r="B59" s="28" t="str">
        <f aca="false">"DUE BY "&amp;UPPER(TEXT(LookaheadEnd,"ddd dd-mmm"))&amp;": "&amp;COUNT(tsk_DueSoonKey)&amp;IF(COUNT(tsk_DueSoonKey)&gt;ROWS(DueSoon[_Task])," (showing the first "&amp;ROWS(DueSoon[_Task])&amp;")","")</f>
        <v>DUE BY FRI 06-NOV: 3</v>
      </c>
    </row>
    <row r="60" customFormat="false" ht="23.85" hidden="false" customHeight="false" outlineLevel="0" collapsed="false">
      <c r="A60" s="42" t="s">
        <v>175</v>
      </c>
      <c r="B60" s="17" t="s">
        <v>176</v>
      </c>
      <c r="C60" s="17" t="s">
        <v>177</v>
      </c>
      <c r="D60" s="17" t="s">
        <v>178</v>
      </c>
      <c r="E60" s="17" t="s">
        <v>181</v>
      </c>
      <c r="F60" s="17" t="s">
        <v>182</v>
      </c>
      <c r="G60" s="17" t="s">
        <v>180</v>
      </c>
    </row>
    <row r="61" customFormat="false" ht="15" hidden="false" customHeight="false" outlineLevel="0" collapsed="false">
      <c r="A61" s="43" t="n">
        <f aca="false">IFERROR(MATCH(SMALL(tsk_DueSoonKey,ROW()-ROW(DueSoon[[#Headers],[_Task]])),tsk_DueSoonKey,0),"")</f>
        <v>10</v>
      </c>
      <c r="B61" s="20" t="str">
        <f aca="false">IF(DueSoon[[#This Row],[_Task]]="","",INDEX(tsk_Name,DueSoon[[#This Row],[_Task]])&amp;"")</f>
        <v>System integration testing</v>
      </c>
      <c r="C61" s="20" t="str">
        <f aca="false">IF(DueSoon[[#This Row],[_Task]]="","",INDEX(tsk_ResourceNames,DueSoon[[#This Row],[_Task]])&amp;"")</f>
        <v>Taylor Morgan, Sam Rivera[50%]</v>
      </c>
      <c r="D61" s="44" t="n">
        <f aca="false">IF(DueSoon[[#This Row],[_Task]]="","",IF(N(INDEX(tsk_FcFinish,DueSoon[[#This Row],[_Task]]))=0,"",INDEX(tsk_FcFinish,DueSoon[[#This Row],[_Task]])))</f>
        <v>46323</v>
      </c>
      <c r="E61" s="46" t="n">
        <f aca="false">IF(DueSoon[[#This Row],[_Task]]="","",INDEX(tsk_Progress,DueSoon[[#This Row],[_Task]]))</f>
        <v>0.85</v>
      </c>
      <c r="F61" s="20" t="str">
        <f aca="false">IF(DueSoon[[#This Row],[_Task]]="","",INDEX(tsk_DeadlineCheck,DueSoon[[#This Row],[_Task]])&amp;"")</f>
        <v/>
      </c>
      <c r="G61" s="20" t="str">
        <f aca="false">IF(DueSoon[[#This Row],[_Task]]="","",INDEX(tsk_Critical,DueSoon[[#This Row],[_Task]])&amp;"")</f>
        <v>Yes</v>
      </c>
    </row>
    <row r="62" customFormat="false" ht="15" hidden="false" customHeight="false" outlineLevel="0" collapsed="false">
      <c r="A62" s="43" t="n">
        <f aca="false">IFERROR(MATCH(SMALL(tsk_DueSoonKey,ROW()-ROW(DueSoon[[#Headers],[_Task]])),tsk_DueSoonKey,0),"")</f>
        <v>11</v>
      </c>
      <c r="B62" s="20" t="str">
        <f aca="false">IF(DueSoon[[#This Row],[_Task]]="","",INDEX(tsk_Name,DueSoon[[#This Row],[_Task]])&amp;"")</f>
        <v>Go-live readiness review</v>
      </c>
      <c r="C62" s="20" t="str">
        <f aca="false">IF(DueSoon[[#This Row],[_Task]]="","",INDEX(tsk_ResourceNames,DueSoon[[#This Row],[_Task]])&amp;"")</f>
        <v>Priya Sharma</v>
      </c>
      <c r="D62" s="44" t="n">
        <f aca="false">IF(DueSoon[[#This Row],[_Task]]="","",IF(N(INDEX(tsk_FcFinish,DueSoon[[#This Row],[_Task]]))=0,"",INDEX(tsk_FcFinish,DueSoon[[#This Row],[_Task]])))</f>
        <v>46324</v>
      </c>
      <c r="E62" s="46" t="n">
        <f aca="false">IF(DueSoon[[#This Row],[_Task]]="","",INDEX(tsk_Progress,DueSoon[[#This Row],[_Task]]))</f>
        <v>0</v>
      </c>
      <c r="F62" s="20" t="str">
        <f aca="false">IF(DueSoon[[#This Row],[_Task]]="","",INDEX(tsk_DeadlineCheck,DueSoon[[#This Row],[_Task]])&amp;"")</f>
        <v/>
      </c>
      <c r="G62" s="20" t="str">
        <f aca="false">IF(DueSoon[[#This Row],[_Task]]="","",INDEX(tsk_Critical,DueSoon[[#This Row],[_Task]])&amp;"")</f>
        <v>Yes</v>
      </c>
    </row>
    <row r="63" customFormat="false" ht="15" hidden="false" customHeight="false" outlineLevel="0" collapsed="false">
      <c r="A63" s="43" t="n">
        <f aca="false">IFERROR(MATCH(SMALL(tsk_DueSoonKey,ROW()-ROW(DueSoon[[#Headers],[_Task]])),tsk_DueSoonKey,0),"")</f>
        <v>12</v>
      </c>
      <c r="B63" s="20" t="str">
        <f aca="false">IF(DueSoon[[#This Row],[_Task]]="","",INDEX(tsk_Name,DueSoon[[#This Row],[_Task]])&amp;"")</f>
        <v>Go-live</v>
      </c>
      <c r="C63" s="20" t="str">
        <f aca="false">IF(DueSoon[[#This Row],[_Task]]="","",INDEX(tsk_ResourceNames,DueSoon[[#This Row],[_Task]])&amp;"")</f>
        <v/>
      </c>
      <c r="D63" s="44" t="n">
        <f aca="false">IF(DueSoon[[#This Row],[_Task]]="","",IF(N(INDEX(tsk_FcFinish,DueSoon[[#This Row],[_Task]]))=0,"",INDEX(tsk_FcFinish,DueSoon[[#This Row],[_Task]])))</f>
        <v>46324</v>
      </c>
      <c r="E63" s="46" t="n">
        <f aca="false">IF(DueSoon[[#This Row],[_Task]]="","",INDEX(tsk_Progress,DueSoon[[#This Row],[_Task]]))</f>
        <v>0</v>
      </c>
      <c r="F63" s="20" t="str">
        <f aca="false">IF(DueSoon[[#This Row],[_Task]]="","",INDEX(tsk_DeadlineCheck,DueSoon[[#This Row],[_Task]])&amp;"")</f>
        <v>OK</v>
      </c>
      <c r="G63" s="20" t="str">
        <f aca="false">IF(DueSoon[[#This Row],[_Task]]="","",INDEX(tsk_Critical,DueSoon[[#This Row],[_Task]])&amp;"")</f>
        <v>Yes</v>
      </c>
    </row>
    <row r="64" customFormat="false" ht="15" hidden="false" customHeight="false" outlineLevel="0" collapsed="false">
      <c r="A64" s="43" t="str">
        <f aca="false">IFERROR(MATCH(SMALL(tsk_DueSoonKey,ROW()-ROW(DueSoon[[#Headers],[_Task]])),tsk_DueSoonKey,0),"")</f>
        <v/>
      </c>
      <c r="B64" s="20" t="str">
        <f aca="false">IF(DueSoon[[#This Row],[_Task]]="","",INDEX(tsk_Name,DueSoon[[#This Row],[_Task]])&amp;"")</f>
        <v/>
      </c>
      <c r="C64" s="20" t="str">
        <f aca="false">IF(DueSoon[[#This Row],[_Task]]="","",INDEX(tsk_ResourceNames,DueSoon[[#This Row],[_Task]])&amp;"")</f>
        <v/>
      </c>
      <c r="D64" s="44" t="str">
        <f aca="false">IF(DueSoon[[#This Row],[_Task]]="","",IF(N(INDEX(tsk_FcFinish,DueSoon[[#This Row],[_Task]]))=0,"",INDEX(tsk_FcFinish,DueSoon[[#This Row],[_Task]])))</f>
        <v/>
      </c>
      <c r="E64" s="46" t="str">
        <f aca="false">IF(DueSoon[[#This Row],[_Task]]="","",INDEX(tsk_Progress,DueSoon[[#This Row],[_Task]]))</f>
        <v/>
      </c>
      <c r="F64" s="20" t="str">
        <f aca="false">IF(DueSoon[[#This Row],[_Task]]="","",INDEX(tsk_DeadlineCheck,DueSoon[[#This Row],[_Task]])&amp;"")</f>
        <v/>
      </c>
      <c r="G64" s="20" t="str">
        <f aca="false">IF(DueSoon[[#This Row],[_Task]]="","",INDEX(tsk_Critical,DueSoon[[#This Row],[_Task]])&amp;"")</f>
        <v/>
      </c>
    </row>
    <row r="65" customFormat="false" ht="15" hidden="false" customHeight="false" outlineLevel="0" collapsed="false">
      <c r="A65" s="43" t="str">
        <f aca="false">IFERROR(MATCH(SMALL(tsk_DueSoonKey,ROW()-ROW(DueSoon[[#Headers],[_Task]])),tsk_DueSoonKey,0),"")</f>
        <v/>
      </c>
      <c r="B65" s="20" t="str">
        <f aca="false">IF(DueSoon[[#This Row],[_Task]]="","",INDEX(tsk_Name,DueSoon[[#This Row],[_Task]])&amp;"")</f>
        <v/>
      </c>
      <c r="C65" s="20" t="str">
        <f aca="false">IF(DueSoon[[#This Row],[_Task]]="","",INDEX(tsk_ResourceNames,DueSoon[[#This Row],[_Task]])&amp;"")</f>
        <v/>
      </c>
      <c r="D65" s="44" t="str">
        <f aca="false">IF(DueSoon[[#This Row],[_Task]]="","",IF(N(INDEX(tsk_FcFinish,DueSoon[[#This Row],[_Task]]))=0,"",INDEX(tsk_FcFinish,DueSoon[[#This Row],[_Task]])))</f>
        <v/>
      </c>
      <c r="E65" s="46" t="str">
        <f aca="false">IF(DueSoon[[#This Row],[_Task]]="","",INDEX(tsk_Progress,DueSoon[[#This Row],[_Task]]))</f>
        <v/>
      </c>
      <c r="F65" s="20" t="str">
        <f aca="false">IF(DueSoon[[#This Row],[_Task]]="","",INDEX(tsk_DeadlineCheck,DueSoon[[#This Row],[_Task]])&amp;"")</f>
        <v/>
      </c>
      <c r="G65" s="20" t="str">
        <f aca="false">IF(DueSoon[[#This Row],[_Task]]="","",INDEX(tsk_Critical,DueSoon[[#This Row],[_Task]])&amp;"")</f>
        <v/>
      </c>
    </row>
    <row r="67" customFormat="false" ht="15" hidden="false" customHeight="false" outlineLevel="0" collapsed="false">
      <c r="B67"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8" customFormat="false" ht="23.85" hidden="false" customHeight="false" outlineLevel="0" collapsed="false">
      <c r="A68" s="42" t="s">
        <v>175</v>
      </c>
      <c r="B68" s="17" t="s">
        <v>176</v>
      </c>
      <c r="C68" s="17" t="s">
        <v>177</v>
      </c>
      <c r="D68" s="17" t="s">
        <v>183</v>
      </c>
      <c r="E68" s="17" t="s">
        <v>60</v>
      </c>
      <c r="F68" s="17" t="s">
        <v>83</v>
      </c>
      <c r="G68" s="17" t="s">
        <v>180</v>
      </c>
    </row>
    <row r="69" customFormat="false" ht="15" hidden="false" customHeight="false" outlineLevel="0" collapsed="false">
      <c r="A69" s="43" t="n">
        <f aca="false">IFERROR(MATCH(SMALL(tsk_StartSoonKey,ROW()-ROW(StartingSoon[[#Headers],[_Task]])),tsk_StartSoonKey,0),"")</f>
        <v>11</v>
      </c>
      <c r="B69" s="20" t="str">
        <f aca="false">IF(StartingSoon[[#This Row],[_Task]]="","",INDEX(tsk_Name,StartingSoon[[#This Row],[_Task]])&amp;"")</f>
        <v>Go-live readiness review</v>
      </c>
      <c r="C69" s="20" t="str">
        <f aca="false">IF(StartingSoon[[#This Row],[_Task]]="","",INDEX(tsk_ResourceNames,StartingSoon[[#This Row],[_Task]])&amp;"")</f>
        <v>Priya Sharma</v>
      </c>
      <c r="D69" s="44" t="n">
        <f aca="false">IF(StartingSoon[[#This Row],[_Task]]="","",IF(N(INDEX(tsk_FcStart,StartingSoon[[#This Row],[_Task]]))=0,"",INDEX(tsk_FcStart,StartingSoon[[#This Row],[_Task]])))</f>
        <v>46324</v>
      </c>
      <c r="E69" s="47" t="n">
        <f aca="false">IF(StartingSoon[[#This Row],[_Task]]="","",INDEX(tsk_Duration,StartingSoon[[#This Row],[_Task]]))</f>
        <v>1</v>
      </c>
      <c r="F69" s="20" t="str">
        <f aca="false">IF(StartingSoon[[#This Row],[_Task]]="","",INDEX(tsk_Predecessors,StartingSoon[[#This Row],[_Task]])&amp;"")</f>
        <v>10</v>
      </c>
      <c r="G69" s="20" t="str">
        <f aca="false">IF(StartingSoon[[#This Row],[_Task]]="","",INDEX(tsk_Critical,StartingSoon[[#This Row],[_Task]])&amp;"")</f>
        <v>Yes</v>
      </c>
    </row>
    <row r="70" customFormat="false" ht="15" hidden="false" customHeight="false" outlineLevel="0" collapsed="false">
      <c r="A70" s="43" t="n">
        <f aca="false">IFERROR(MATCH(SMALL(tsk_StartSoonKey,ROW()-ROW(StartingSoon[[#Headers],[_Task]])),tsk_StartSoonKey,0),"")</f>
        <v>12</v>
      </c>
      <c r="B70" s="20" t="str">
        <f aca="false">IF(StartingSoon[[#This Row],[_Task]]="","",INDEX(tsk_Name,StartingSoon[[#This Row],[_Task]])&amp;"")</f>
        <v>Go-live</v>
      </c>
      <c r="C70" s="20" t="str">
        <f aca="false">IF(StartingSoon[[#This Row],[_Task]]="","",INDEX(tsk_ResourceNames,StartingSoon[[#This Row],[_Task]])&amp;"")</f>
        <v/>
      </c>
      <c r="D70" s="44" t="n">
        <f aca="false">IF(StartingSoon[[#This Row],[_Task]]="","",IF(N(INDEX(tsk_FcStart,StartingSoon[[#This Row],[_Task]]))=0,"",INDEX(tsk_FcStart,StartingSoon[[#This Row],[_Task]])))</f>
        <v>46324</v>
      </c>
      <c r="E70" s="47" t="n">
        <f aca="false">IF(StartingSoon[[#This Row],[_Task]]="","",INDEX(tsk_Duration,StartingSoon[[#This Row],[_Task]]))</f>
        <v>0</v>
      </c>
      <c r="F70" s="20" t="str">
        <f aca="false">IF(StartingSoon[[#This Row],[_Task]]="","",INDEX(tsk_Predecessors,StartingSoon[[#This Row],[_Task]])&amp;"")</f>
        <v>11</v>
      </c>
      <c r="G70" s="20" t="str">
        <f aca="false">IF(StartingSoon[[#This Row],[_Task]]="","",INDEX(tsk_Critical,StartingSoon[[#This Row],[_Task]])&amp;"")</f>
        <v>Yes</v>
      </c>
    </row>
    <row r="71" customFormat="false" ht="15" hidden="false" customHeight="false" outlineLevel="0" collapsed="false">
      <c r="A71" s="43" t="str">
        <f aca="false">IFERROR(MATCH(SMALL(tsk_StartSoonKey,ROW()-ROW(StartingSoon[[#Headers],[_Task]])),tsk_StartSoonKey,0),"")</f>
        <v/>
      </c>
      <c r="B71" s="20" t="str">
        <f aca="false">IF(StartingSoon[[#This Row],[_Task]]="","",INDEX(tsk_Name,StartingSoon[[#This Row],[_Task]])&amp;"")</f>
        <v/>
      </c>
      <c r="C71" s="20" t="str">
        <f aca="false">IF(StartingSoon[[#This Row],[_Task]]="","",INDEX(tsk_ResourceNames,StartingSoon[[#This Row],[_Task]])&amp;"")</f>
        <v/>
      </c>
      <c r="D71" s="44" t="str">
        <f aca="false">IF(StartingSoon[[#This Row],[_Task]]="","",IF(N(INDEX(tsk_FcStart,StartingSoon[[#This Row],[_Task]]))=0,"",INDEX(tsk_FcStart,StartingSoon[[#This Row],[_Task]])))</f>
        <v/>
      </c>
      <c r="E71" s="47" t="str">
        <f aca="false">IF(StartingSoon[[#This Row],[_Task]]="","",INDEX(tsk_Duration,StartingSoon[[#This Row],[_Task]]))</f>
        <v/>
      </c>
      <c r="F71" s="20" t="str">
        <f aca="false">IF(StartingSoon[[#This Row],[_Task]]="","",INDEX(tsk_Predecessors,StartingSoon[[#This Row],[_Task]])&amp;"")</f>
        <v/>
      </c>
      <c r="G71" s="20" t="str">
        <f aca="false">IF(StartingSoon[[#This Row],[_Task]]="","",INDEX(tsk_Critical,StartingSoon[[#This Row],[_Task]])&amp;"")</f>
        <v/>
      </c>
    </row>
    <row r="72" customFormat="false" ht="15" hidden="false" customHeight="false" outlineLevel="0" collapsed="false">
      <c r="A72" s="43" t="str">
        <f aca="false">IFERROR(MATCH(SMALL(tsk_StartSoonKey,ROW()-ROW(StartingSoon[[#Headers],[_Task]])),tsk_StartSoonKey,0),"")</f>
        <v/>
      </c>
      <c r="B72" s="20" t="str">
        <f aca="false">IF(StartingSoon[[#This Row],[_Task]]="","",INDEX(tsk_Name,StartingSoon[[#This Row],[_Task]])&amp;"")</f>
        <v/>
      </c>
      <c r="C72" s="20" t="str">
        <f aca="false">IF(StartingSoon[[#This Row],[_Task]]="","",INDEX(tsk_ResourceNames,StartingSoon[[#This Row],[_Task]])&amp;"")</f>
        <v/>
      </c>
      <c r="D72" s="44" t="str">
        <f aca="false">IF(StartingSoon[[#This Row],[_Task]]="","",IF(N(INDEX(tsk_FcStart,StartingSoon[[#This Row],[_Task]]))=0,"",INDEX(tsk_FcStart,StartingSoon[[#This Row],[_Task]])))</f>
        <v/>
      </c>
      <c r="E72" s="47" t="str">
        <f aca="false">IF(StartingSoon[[#This Row],[_Task]]="","",INDEX(tsk_Duration,StartingSoon[[#This Row],[_Task]]))</f>
        <v/>
      </c>
      <c r="F72" s="20" t="str">
        <f aca="false">IF(StartingSoon[[#This Row],[_Task]]="","",INDEX(tsk_Predecessors,StartingSoon[[#This Row],[_Task]])&amp;"")</f>
        <v/>
      </c>
      <c r="G72" s="20" t="str">
        <f aca="false">IF(StartingSoon[[#This Row],[_Task]]="","",INDEX(tsk_Critical,StartingSoon[[#This Row],[_Task]])&amp;"")</f>
        <v/>
      </c>
    </row>
    <row r="73" customFormat="false" ht="15" hidden="false" customHeight="false" outlineLevel="0" collapsed="false">
      <c r="A73" s="43" t="str">
        <f aca="false">IFERROR(MATCH(SMALL(tsk_StartSoonKey,ROW()-ROW(StartingSoon[[#Headers],[_Task]])),tsk_StartSoonKey,0),"")</f>
        <v/>
      </c>
      <c r="B73" s="20" t="str">
        <f aca="false">IF(StartingSoon[[#This Row],[_Task]]="","",INDEX(tsk_Name,StartingSoon[[#This Row],[_Task]])&amp;"")</f>
        <v/>
      </c>
      <c r="C73" s="20" t="str">
        <f aca="false">IF(StartingSoon[[#This Row],[_Task]]="","",INDEX(tsk_ResourceNames,StartingSoon[[#This Row],[_Task]])&amp;"")</f>
        <v/>
      </c>
      <c r="D73" s="44" t="str">
        <f aca="false">IF(StartingSoon[[#This Row],[_Task]]="","",IF(N(INDEX(tsk_FcStart,StartingSoon[[#This Row],[_Task]]))=0,"",INDEX(tsk_FcStart,StartingSoon[[#This Row],[_Task]])))</f>
        <v/>
      </c>
      <c r="E73" s="47" t="str">
        <f aca="false">IF(StartingSoon[[#This Row],[_Task]]="","",INDEX(tsk_Duration,StartingSoon[[#This Row],[_Task]]))</f>
        <v/>
      </c>
      <c r="F73" s="20" t="str">
        <f aca="false">IF(StartingSoon[[#This Row],[_Task]]="","",INDEX(tsk_Predecessors,StartingSoon[[#This Row],[_Task]])&amp;"")</f>
        <v/>
      </c>
      <c r="G73" s="20" t="str">
        <f aca="false">IF(StartingSoon[[#This Row],[_Task]]="","",INDEX(tsk_Critical,StartingSoon[[#This Row],[_Task]])&amp;"")</f>
        <v/>
      </c>
    </row>
    <row r="75" customFormat="false" ht="15" hidden="false" customHeight="false" outlineLevel="0" collapsed="false">
      <c r="B75" s="28" t="str">
        <f aca="false">"OPEN CRITICAL TASKS (by start)"&amp;": "&amp;COUNT(tsk_CriticalKey)&amp;IF(COUNT(tsk_CriticalKey)&gt;ROWS(CriticalTasks[_Task])," (showing the first "&amp;ROWS(CriticalTasks[_Task])&amp;")","")</f>
        <v>OPEN CRITICAL TASKS (by start): 3</v>
      </c>
    </row>
    <row r="76" customFormat="false" ht="23.85" hidden="false" customHeight="false" outlineLevel="0" collapsed="false">
      <c r="A76" s="42" t="s">
        <v>175</v>
      </c>
      <c r="B76" s="17" t="s">
        <v>176</v>
      </c>
      <c r="C76" s="17" t="s">
        <v>177</v>
      </c>
      <c r="D76" s="17" t="s">
        <v>183</v>
      </c>
      <c r="E76" s="17" t="s">
        <v>184</v>
      </c>
      <c r="F76" s="17" t="s">
        <v>182</v>
      </c>
      <c r="G76" s="17" t="s">
        <v>178</v>
      </c>
    </row>
    <row r="77" customFormat="false" ht="15" hidden="false" customHeight="false" outlineLevel="0" collapsed="false">
      <c r="A77" s="43" t="n">
        <f aca="false">IFERROR(MATCH(SMALL(tsk_CriticalKey,ROW()-ROW(CriticalTasks[[#Headers],[_Task]])),tsk_CriticalKey,0),"")</f>
        <v>10</v>
      </c>
      <c r="B77" s="20" t="str">
        <f aca="false">IF(CriticalTasks[[#This Row],[_Task]]="","",INDEX(tsk_Name,CriticalTasks[[#This Row],[_Task]])&amp;"")</f>
        <v>System integration testing</v>
      </c>
      <c r="C77" s="20" t="str">
        <f aca="false">IF(CriticalTasks[[#This Row],[_Task]]="","",INDEX(tsk_ResourceNames,CriticalTasks[[#This Row],[_Task]])&amp;"")</f>
        <v>Taylor Morgan, Sam Rivera[50%]</v>
      </c>
      <c r="D77" s="44" t="n">
        <f aca="false">IF(CriticalTasks[[#This Row],[_Task]]="","",IF(N(INDEX(tsk_FcStart,CriticalTasks[[#This Row],[_Task]]))=0,"",INDEX(tsk_FcStart,CriticalTasks[[#This Row],[_Task]])))</f>
        <v>46302</v>
      </c>
      <c r="E77" s="47" t="n">
        <f aca="false">IF(CriticalTasks[[#This Row],[_Task]]="","",INDEX(tsk_TotalSlack,CriticalTasks[[#This Row],[_Task]]))</f>
        <v>0</v>
      </c>
      <c r="F77" s="20" t="str">
        <f aca="false">IF(CriticalTasks[[#This Row],[_Task]]="","",INDEX(tsk_DeadlineCheck,CriticalTasks[[#This Row],[_Task]])&amp;"")</f>
        <v/>
      </c>
      <c r="G77" s="44" t="n">
        <f aca="false">IF(CriticalTasks[[#This Row],[_Task]]="","",IF(N(INDEX(tsk_FcFinish,CriticalTasks[[#This Row],[_Task]]))=0,"",INDEX(tsk_FcFinish,CriticalTasks[[#This Row],[_Task]])))</f>
        <v>46323</v>
      </c>
    </row>
    <row r="78" customFormat="false" ht="15" hidden="false" customHeight="false" outlineLevel="0" collapsed="false">
      <c r="A78" s="43" t="n">
        <f aca="false">IFERROR(MATCH(SMALL(tsk_CriticalKey,ROW()-ROW(CriticalTasks[[#Headers],[_Task]])),tsk_CriticalKey,0),"")</f>
        <v>11</v>
      </c>
      <c r="B78" s="20" t="str">
        <f aca="false">IF(CriticalTasks[[#This Row],[_Task]]="","",INDEX(tsk_Name,CriticalTasks[[#This Row],[_Task]])&amp;"")</f>
        <v>Go-live readiness review</v>
      </c>
      <c r="C78" s="20" t="str">
        <f aca="false">IF(CriticalTasks[[#This Row],[_Task]]="","",INDEX(tsk_ResourceNames,CriticalTasks[[#This Row],[_Task]])&amp;"")</f>
        <v>Priya Sharma</v>
      </c>
      <c r="D78" s="44" t="n">
        <f aca="false">IF(CriticalTasks[[#This Row],[_Task]]="","",IF(N(INDEX(tsk_FcStart,CriticalTasks[[#This Row],[_Task]]))=0,"",INDEX(tsk_FcStart,CriticalTasks[[#This Row],[_Task]])))</f>
        <v>46324</v>
      </c>
      <c r="E78" s="47" t="n">
        <f aca="false">IF(CriticalTasks[[#This Row],[_Task]]="","",INDEX(tsk_TotalSlack,CriticalTasks[[#This Row],[_Task]]))</f>
        <v>0</v>
      </c>
      <c r="F78" s="20" t="str">
        <f aca="false">IF(CriticalTasks[[#This Row],[_Task]]="","",INDEX(tsk_DeadlineCheck,CriticalTasks[[#This Row],[_Task]])&amp;"")</f>
        <v/>
      </c>
      <c r="G78" s="44" t="n">
        <f aca="false">IF(CriticalTasks[[#This Row],[_Task]]="","",IF(N(INDEX(tsk_FcFinish,CriticalTasks[[#This Row],[_Task]]))=0,"",INDEX(tsk_FcFinish,CriticalTasks[[#This Row],[_Task]])))</f>
        <v>46324</v>
      </c>
    </row>
    <row r="79" customFormat="false" ht="15" hidden="false" customHeight="false" outlineLevel="0" collapsed="false">
      <c r="A79" s="43" t="n">
        <f aca="false">IFERROR(MATCH(SMALL(tsk_CriticalKey,ROW()-ROW(CriticalTasks[[#Headers],[_Task]])),tsk_CriticalKey,0),"")</f>
        <v>12</v>
      </c>
      <c r="B79" s="20" t="str">
        <f aca="false">IF(CriticalTasks[[#This Row],[_Task]]="","",INDEX(tsk_Name,CriticalTasks[[#This Row],[_Task]])&amp;"")</f>
        <v>Go-live</v>
      </c>
      <c r="C79" s="20" t="str">
        <f aca="false">IF(CriticalTasks[[#This Row],[_Task]]="","",INDEX(tsk_ResourceNames,CriticalTasks[[#This Row],[_Task]])&amp;"")</f>
        <v/>
      </c>
      <c r="D79" s="44" t="n">
        <f aca="false">IF(CriticalTasks[[#This Row],[_Task]]="","",IF(N(INDEX(tsk_FcStart,CriticalTasks[[#This Row],[_Task]]))=0,"",INDEX(tsk_FcStart,CriticalTasks[[#This Row],[_Task]])))</f>
        <v>46324</v>
      </c>
      <c r="E79" s="47" t="n">
        <f aca="false">IF(CriticalTasks[[#This Row],[_Task]]="","",INDEX(tsk_TotalSlack,CriticalTasks[[#This Row],[_Task]]))</f>
        <v>0</v>
      </c>
      <c r="F79" s="20" t="str">
        <f aca="false">IF(CriticalTasks[[#This Row],[_Task]]="","",INDEX(tsk_DeadlineCheck,CriticalTasks[[#This Row],[_Task]])&amp;"")</f>
        <v>OK</v>
      </c>
      <c r="G79" s="44" t="n">
        <f aca="false">IF(CriticalTasks[[#This Row],[_Task]]="","",IF(N(INDEX(tsk_FcFinish,CriticalTasks[[#This Row],[_Task]]))=0,"",INDEX(tsk_FcFinish,CriticalTasks[[#This Row],[_Task]])))</f>
        <v>46324</v>
      </c>
    </row>
    <row r="80" customFormat="false" ht="15" hidden="false" customHeight="false" outlineLevel="0" collapsed="false">
      <c r="A80" s="43" t="str">
        <f aca="false">IFERROR(MATCH(SMALL(tsk_CriticalKey,ROW()-ROW(CriticalTasks[[#Headers],[_Task]])),tsk_CriticalKey,0),"")</f>
        <v/>
      </c>
      <c r="B80" s="20" t="str">
        <f aca="false">IF(CriticalTasks[[#This Row],[_Task]]="","",INDEX(tsk_Name,CriticalTasks[[#This Row],[_Task]])&amp;"")</f>
        <v/>
      </c>
      <c r="C80" s="20" t="str">
        <f aca="false">IF(CriticalTasks[[#This Row],[_Task]]="","",INDEX(tsk_ResourceNames,CriticalTasks[[#This Row],[_Task]])&amp;"")</f>
        <v/>
      </c>
      <c r="D80" s="44" t="str">
        <f aca="false">IF(CriticalTasks[[#This Row],[_Task]]="","",IF(N(INDEX(tsk_FcStart,CriticalTasks[[#This Row],[_Task]]))=0,"",INDEX(tsk_FcStart,CriticalTasks[[#This Row],[_Task]])))</f>
        <v/>
      </c>
      <c r="E80" s="47" t="str">
        <f aca="false">IF(CriticalTasks[[#This Row],[_Task]]="","",INDEX(tsk_TotalSlack,CriticalTasks[[#This Row],[_Task]]))</f>
        <v/>
      </c>
      <c r="F80" s="20" t="str">
        <f aca="false">IF(CriticalTasks[[#This Row],[_Task]]="","",INDEX(tsk_DeadlineCheck,CriticalTasks[[#This Row],[_Task]])&amp;"")</f>
        <v/>
      </c>
      <c r="G80" s="44" t="str">
        <f aca="false">IF(CriticalTasks[[#This Row],[_Task]]="","",IF(N(INDEX(tsk_FcFinish,CriticalTasks[[#This Row],[_Task]]))=0,"",INDEX(tsk_FcFinish,CriticalTasks[[#This Row],[_Task]])))</f>
        <v/>
      </c>
    </row>
    <row r="81" customFormat="false" ht="15" hidden="false" customHeight="false" outlineLevel="0" collapsed="false">
      <c r="A81" s="43" t="str">
        <f aca="false">IFERROR(MATCH(SMALL(tsk_CriticalKey,ROW()-ROW(CriticalTasks[[#Headers],[_Task]])),tsk_CriticalKey,0),"")</f>
        <v/>
      </c>
      <c r="B81" s="20" t="str">
        <f aca="false">IF(CriticalTasks[[#This Row],[_Task]]="","",INDEX(tsk_Name,CriticalTasks[[#This Row],[_Task]])&amp;"")</f>
        <v/>
      </c>
      <c r="C81" s="20" t="str">
        <f aca="false">IF(CriticalTasks[[#This Row],[_Task]]="","",INDEX(tsk_ResourceNames,CriticalTasks[[#This Row],[_Task]])&amp;"")</f>
        <v/>
      </c>
      <c r="D81" s="44" t="str">
        <f aca="false">IF(CriticalTasks[[#This Row],[_Task]]="","",IF(N(INDEX(tsk_FcStart,CriticalTasks[[#This Row],[_Task]]))=0,"",INDEX(tsk_FcStart,CriticalTasks[[#This Row],[_Task]])))</f>
        <v/>
      </c>
      <c r="E81" s="47" t="str">
        <f aca="false">IF(CriticalTasks[[#This Row],[_Task]]="","",INDEX(tsk_TotalSlack,CriticalTasks[[#This Row],[_Task]]))</f>
        <v/>
      </c>
      <c r="F81" s="20" t="str">
        <f aca="false">IF(CriticalTasks[[#This Row],[_Task]]="","",INDEX(tsk_DeadlineCheck,CriticalTasks[[#This Row],[_Task]])&amp;"")</f>
        <v/>
      </c>
      <c r="G81" s="44" t="str">
        <f aca="false">IF(CriticalTasks[[#This Row],[_Task]]="","",IF(N(INDEX(tsk_FcFinish,CriticalTasks[[#This Row],[_Task]]))=0,"",INDEX(tsk_FcFinish,CriticalTasks[[#This Row],[_Task]])))</f>
        <v/>
      </c>
    </row>
    <row r="83" customFormat="false" ht="15" hidden="false" customHeight="false" outlineLevel="0" collapsed="false">
      <c r="B83" s="28" t="s">
        <v>185</v>
      </c>
    </row>
    <row r="84" customFormat="false" ht="15" hidden="false" customHeight="false" outlineLevel="0" collapsed="false">
      <c r="B84" s="17" t="s">
        <v>186</v>
      </c>
      <c r="C84" s="18" t="s">
        <v>187</v>
      </c>
    </row>
    <row r="85" customFormat="false" ht="36" hidden="false" customHeight="true" outlineLevel="0" collapsed="false">
      <c r="B85" s="48" t="s">
        <v>74</v>
      </c>
      <c r="C85" s="49"/>
    </row>
    <row r="86" customFormat="false" ht="36" hidden="false" customHeight="true" outlineLevel="0" collapsed="false">
      <c r="B86" s="48" t="s">
        <v>188</v>
      </c>
      <c r="C86" s="49"/>
    </row>
    <row r="87" customFormat="false" ht="36" hidden="false" customHeight="true" outlineLevel="0" collapsed="false">
      <c r="B87" s="48" t="s">
        <v>189</v>
      </c>
      <c r="C87" s="49"/>
    </row>
    <row r="88" customFormat="false" ht="36" hidden="false" customHeight="true" outlineLevel="0" collapsed="false">
      <c r="B88" s="48" t="s">
        <v>190</v>
      </c>
      <c r="C88" s="49"/>
    </row>
    <row r="89" customFormat="false" ht="36" hidden="false" customHeight="true" outlineLevel="0" collapsed="false">
      <c r="B89" s="48" t="s">
        <v>191</v>
      </c>
      <c r="C89" s="49"/>
    </row>
    <row r="90" customFormat="false" ht="36" hidden="false" customHeight="true" outlineLevel="0" collapsed="false">
      <c r="B90" s="48" t="s">
        <v>192</v>
      </c>
      <c r="C90" s="49"/>
    </row>
  </sheetData>
  <sheetProtection sheet="true" formatColumns="false" formatRows="false" sort="false" autoFilter="false"/>
  <mergeCells count="1">
    <mergeCell ref="B24:H24"/>
  </mergeCells>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9">
      <formula>E14="Green"</formula>
    </cfRule>
    <cfRule type="expression" priority="4" aboveAverage="0" equalAverage="0" bottom="0" percent="0" rank="0" text="" dxfId="20">
      <formula>E14="Amber"</formula>
    </cfRule>
    <cfRule type="expression" priority="5" aboveAverage="0" equalAverage="0" bottom="0" percent="0" rank="0" text="" dxfId="21">
      <formula>E14="Red"</formula>
    </cfRule>
  </conditionalFormatting>
  <conditionalFormatting sqref="D39">
    <cfRule type="expression" priority="6" aboveAverage="0" equalAverage="0" bottom="0" percent="0" rank="0" text="" dxfId="22">
      <formula>D39&gt;0</formula>
    </cfRule>
    <cfRule type="expression" priority="7" aboveAverage="0" equalAverage="0" bottom="0" percent="0" rank="0" text="" dxfId="23">
      <formula>D39&lt;=0</formula>
    </cfRule>
  </conditionalFormatting>
  <conditionalFormatting sqref="E53:E57">
    <cfRule type="expression" priority="8" aboveAverage="0" equalAverage="0" bottom="0" percent="0" rank="0" text="" dxfId="24">
      <formula>AND(ISNUMBER(E53),E53&gt;0)</formula>
    </cfRule>
  </conditionalFormatting>
  <conditionalFormatting sqref="G53:G57">
    <cfRule type="expression" priority="9" aboveAverage="0" equalAverage="0" bottom="0" percent="0" rank="0" text="" dxfId="25">
      <formula>G53="Yes"</formula>
    </cfRule>
  </conditionalFormatting>
  <conditionalFormatting sqref="G61:G65">
    <cfRule type="expression" priority="10" aboveAverage="0" equalAverage="0" bottom="0" percent="0" rank="0" text="" dxfId="25">
      <formula>G61="Yes"</formula>
    </cfRule>
  </conditionalFormatting>
  <conditionalFormatting sqref="F61:F65">
    <cfRule type="expression" priority="11" aboveAverage="0" equalAverage="0" bottom="0" percent="0" rank="0" text="" dxfId="24">
      <formula>LEFT(F61,4)="Late"</formula>
    </cfRule>
  </conditionalFormatting>
  <conditionalFormatting sqref="G69:G73">
    <cfRule type="expression" priority="12" aboveAverage="0" equalAverage="0" bottom="0" percent="0" rank="0" text="" dxfId="25">
      <formula>G69="Yes"</formula>
    </cfRule>
  </conditionalFormatting>
  <conditionalFormatting sqref="F77:F81">
    <cfRule type="expression" priority="13" aboveAverage="0" equalAverage="0" bottom="0" percent="0" rank="0" text="" dxfId="24">
      <formula>LEFT(F77,4)="Late"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50"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1" t="str">
        <f aca="false">IF(OR(COLUMN()-COLUMN(rm_Origin)=1,MONTH(EDATE(RoadmapStart,COLUMN()-COLUMN(rm_Origin)-1))=1),TEXT(EDATE(RoadmapStart,COLUMN()-COLUMN(rm_Origin)-1),"yyyy"),"")</f>
        <v>2026</v>
      </c>
      <c r="S4" s="51" t="str">
        <f aca="false">IF(OR(COLUMN()-COLUMN(rm_Origin)=1,MONTH(EDATE(RoadmapStart,COLUMN()-COLUMN(rm_Origin)-1))=1),TEXT(EDATE(RoadmapStart,COLUMN()-COLUMN(rm_Origin)-1),"yyyy"),"")</f>
        <v/>
      </c>
      <c r="T4" s="51" t="str">
        <f aca="false">IF(OR(COLUMN()-COLUMN(rm_Origin)=1,MONTH(EDATE(RoadmapStart,COLUMN()-COLUMN(rm_Origin)-1))=1),TEXT(EDATE(RoadmapStart,COLUMN()-COLUMN(rm_Origin)-1),"yyyy"),"")</f>
        <v/>
      </c>
      <c r="U4" s="51" t="str">
        <f aca="false">IF(OR(COLUMN()-COLUMN(rm_Origin)=1,MONTH(EDATE(RoadmapStart,COLUMN()-COLUMN(rm_Origin)-1))=1),TEXT(EDATE(RoadmapStart,COLUMN()-COLUMN(rm_Origin)-1),"yyyy"),"")</f>
        <v/>
      </c>
      <c r="V4" s="51" t="str">
        <f aca="false">IF(OR(COLUMN()-COLUMN(rm_Origin)=1,MONTH(EDATE(RoadmapStart,COLUMN()-COLUMN(rm_Origin)-1))=1),TEXT(EDATE(RoadmapStart,COLUMN()-COLUMN(rm_Origin)-1),"yyyy"),"")</f>
        <v>2027</v>
      </c>
      <c r="W4" s="51" t="str">
        <f aca="false">IF(OR(COLUMN()-COLUMN(rm_Origin)=1,MONTH(EDATE(RoadmapStart,COLUMN()-COLUMN(rm_Origin)-1))=1),TEXT(EDATE(RoadmapStart,COLUMN()-COLUMN(rm_Origin)-1),"yyyy"),"")</f>
        <v/>
      </c>
      <c r="X4" s="51" t="str">
        <f aca="false">IF(OR(COLUMN()-COLUMN(rm_Origin)=1,MONTH(EDATE(RoadmapStart,COLUMN()-COLUMN(rm_Origin)-1))=1),TEXT(EDATE(RoadmapStart,COLUMN()-COLUMN(rm_Origin)-1),"yyyy"),"")</f>
        <v/>
      </c>
      <c r="Y4" s="51" t="str">
        <f aca="false">IF(OR(COLUMN()-COLUMN(rm_Origin)=1,MONTH(EDATE(RoadmapStart,COLUMN()-COLUMN(rm_Origin)-1))=1),TEXT(EDATE(RoadmapStart,COLUMN()-COLUMN(rm_Origin)-1),"yyyy"),"")</f>
        <v/>
      </c>
      <c r="Z4" s="51" t="str">
        <f aca="false">IF(OR(COLUMN()-COLUMN(rm_Origin)=1,MONTH(EDATE(RoadmapStart,COLUMN()-COLUMN(rm_Origin)-1))=1),TEXT(EDATE(RoadmapStart,COLUMN()-COLUMN(rm_Origin)-1),"yyyy"),"")</f>
        <v/>
      </c>
      <c r="AA4" s="51" t="str">
        <f aca="false">IF(OR(COLUMN()-COLUMN(rm_Origin)=1,MONTH(EDATE(RoadmapStart,COLUMN()-COLUMN(rm_Origin)-1))=1),TEXT(EDATE(RoadmapStart,COLUMN()-COLUMN(rm_Origin)-1),"yyyy"),"")</f>
        <v/>
      </c>
      <c r="AB4" s="51" t="str">
        <f aca="false">IF(OR(COLUMN()-COLUMN(rm_Origin)=1,MONTH(EDATE(RoadmapStart,COLUMN()-COLUMN(rm_Origin)-1))=1),TEXT(EDATE(RoadmapStart,COLUMN()-COLUMN(rm_Origin)-1),"yyyy"),"")</f>
        <v/>
      </c>
      <c r="AC4" s="51" t="str">
        <f aca="false">IF(OR(COLUMN()-COLUMN(rm_Origin)=1,MONTH(EDATE(RoadmapStart,COLUMN()-COLUMN(rm_Origin)-1))=1),TEXT(EDATE(RoadmapStart,COLUMN()-COLUMN(rm_Origin)-1),"yyyy"),"")</f>
        <v/>
      </c>
      <c r="AD4" s="51" t="str">
        <f aca="false">IF(OR(COLUMN()-COLUMN(rm_Origin)=1,MONTH(EDATE(RoadmapStart,COLUMN()-COLUMN(rm_Origin)-1))=1),TEXT(EDATE(RoadmapStart,COLUMN()-COLUMN(rm_Origin)-1),"yyyy"),"")</f>
        <v/>
      </c>
      <c r="AE4" s="51" t="str">
        <f aca="false">IF(OR(COLUMN()-COLUMN(rm_Origin)=1,MONTH(EDATE(RoadmapStart,COLUMN()-COLUMN(rm_Origin)-1))=1),TEXT(EDATE(RoadmapStart,COLUMN()-COLUMN(rm_Origin)-1),"yyyy"),"")</f>
        <v/>
      </c>
      <c r="AF4" s="51" t="str">
        <f aca="false">IF(OR(COLUMN()-COLUMN(rm_Origin)=1,MONTH(EDATE(RoadmapStart,COLUMN()-COLUMN(rm_Origin)-1))=1),TEXT(EDATE(RoadmapStart,COLUMN()-COLUMN(rm_Origin)-1),"yyyy"),"")</f>
        <v/>
      </c>
      <c r="AG4" s="51" t="str">
        <f aca="false">IF(OR(COLUMN()-COLUMN(rm_Origin)=1,MONTH(EDATE(RoadmapStart,COLUMN()-COLUMN(rm_Origin)-1))=1),TEXT(EDATE(RoadmapStart,COLUMN()-COLUMN(rm_Origin)-1),"yyyy"),"")</f>
        <v/>
      </c>
      <c r="AH4" s="51" t="str">
        <f aca="false">IF(OR(COLUMN()-COLUMN(rm_Origin)=1,MONTH(EDATE(RoadmapStart,COLUMN()-COLUMN(rm_Origin)-1))=1),TEXT(EDATE(RoadmapStart,COLUMN()-COLUMN(rm_Origin)-1),"yyyy"),"")</f>
        <v>2028</v>
      </c>
      <c r="AI4" s="51" t="str">
        <f aca="false">IF(OR(COLUMN()-COLUMN(rm_Origin)=1,MONTH(EDATE(RoadmapStart,COLUMN()-COLUMN(rm_Origin)-1))=1),TEXT(EDATE(RoadmapStart,COLUMN()-COLUMN(rm_Origin)-1),"yyyy"),"")</f>
        <v/>
      </c>
    </row>
    <row r="5" customFormat="false" ht="15" hidden="false" customHeight="false" outlineLevel="0" collapsed="false">
      <c r="R5" s="52" t="n">
        <f aca="false">EDATE(RoadmapStart,COLUMN()-COLUMN(rm_Origin)-1)</f>
        <v>46266</v>
      </c>
      <c r="S5" s="52" t="n">
        <f aca="false">EDATE(RoadmapStart,COLUMN()-COLUMN(rm_Origin)-1)</f>
        <v>46296</v>
      </c>
      <c r="T5" s="52" t="n">
        <f aca="false">EDATE(RoadmapStart,COLUMN()-COLUMN(rm_Origin)-1)</f>
        <v>46327</v>
      </c>
      <c r="U5" s="52" t="n">
        <f aca="false">EDATE(RoadmapStart,COLUMN()-COLUMN(rm_Origin)-1)</f>
        <v>46357</v>
      </c>
      <c r="V5" s="52" t="n">
        <f aca="false">EDATE(RoadmapStart,COLUMN()-COLUMN(rm_Origin)-1)</f>
        <v>46388</v>
      </c>
      <c r="W5" s="52" t="n">
        <f aca="false">EDATE(RoadmapStart,COLUMN()-COLUMN(rm_Origin)-1)</f>
        <v>46419</v>
      </c>
      <c r="X5" s="52" t="n">
        <f aca="false">EDATE(RoadmapStart,COLUMN()-COLUMN(rm_Origin)-1)</f>
        <v>46447</v>
      </c>
      <c r="Y5" s="52" t="n">
        <f aca="false">EDATE(RoadmapStart,COLUMN()-COLUMN(rm_Origin)-1)</f>
        <v>46478</v>
      </c>
      <c r="Z5" s="52" t="n">
        <f aca="false">EDATE(RoadmapStart,COLUMN()-COLUMN(rm_Origin)-1)</f>
        <v>46508</v>
      </c>
      <c r="AA5" s="52" t="n">
        <f aca="false">EDATE(RoadmapStart,COLUMN()-COLUMN(rm_Origin)-1)</f>
        <v>46539</v>
      </c>
      <c r="AB5" s="52" t="n">
        <f aca="false">EDATE(RoadmapStart,COLUMN()-COLUMN(rm_Origin)-1)</f>
        <v>46569</v>
      </c>
      <c r="AC5" s="52" t="n">
        <f aca="false">EDATE(RoadmapStart,COLUMN()-COLUMN(rm_Origin)-1)</f>
        <v>46600</v>
      </c>
      <c r="AD5" s="52" t="n">
        <f aca="false">EDATE(RoadmapStart,COLUMN()-COLUMN(rm_Origin)-1)</f>
        <v>46631</v>
      </c>
      <c r="AE5" s="52" t="n">
        <f aca="false">EDATE(RoadmapStart,COLUMN()-COLUMN(rm_Origin)-1)</f>
        <v>46661</v>
      </c>
      <c r="AF5" s="52" t="n">
        <f aca="false">EDATE(RoadmapStart,COLUMN()-COLUMN(rm_Origin)-1)</f>
        <v>46692</v>
      </c>
      <c r="AG5" s="52" t="n">
        <f aca="false">EDATE(RoadmapStart,COLUMN()-COLUMN(rm_Origin)-1)</f>
        <v>46722</v>
      </c>
      <c r="AH5" s="52" t="n">
        <f aca="false">EDATE(RoadmapStart,COLUMN()-COLUMN(rm_Origin)-1)</f>
        <v>46753</v>
      </c>
      <c r="AI5" s="52"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2" t="s">
        <v>175</v>
      </c>
      <c r="C7" s="17" t="s">
        <v>193</v>
      </c>
      <c r="D7" s="17" t="s">
        <v>194</v>
      </c>
      <c r="E7" s="17" t="s">
        <v>195</v>
      </c>
      <c r="F7" s="17" t="s">
        <v>196</v>
      </c>
      <c r="G7" s="17" t="s">
        <v>197</v>
      </c>
      <c r="H7" s="17" t="s">
        <v>183</v>
      </c>
      <c r="I7" s="17" t="s">
        <v>178</v>
      </c>
      <c r="J7" s="17" t="s">
        <v>181</v>
      </c>
      <c r="K7" s="17" t="s">
        <v>179</v>
      </c>
      <c r="L7" s="17" t="s">
        <v>198</v>
      </c>
      <c r="M7" s="17" t="s">
        <v>130</v>
      </c>
      <c r="N7" s="17" t="s">
        <v>199</v>
      </c>
      <c r="O7" s="17" t="s">
        <v>200</v>
      </c>
      <c r="P7" s="42" t="s">
        <v>201</v>
      </c>
    </row>
    <row r="8" customFormat="false" ht="15" hidden="false" customHeight="false" outlineLevel="0" collapsed="false">
      <c r="B8" s="43"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3" t="n">
        <f aca="false">IF(RoadmapPhases[[#This Row],[_Task]]="","",IF(N(INDEX(tsk_PlanStart,RoadmapPhases[[#This Row],[_Task]]))=0,"",INDEX(tsk_PlanStart,RoadmapPhases[[#This Row],[_Task]])))</f>
        <v>46272</v>
      </c>
      <c r="G8" s="53" t="n">
        <f aca="false">IF(RoadmapPhases[[#This Row],[_Task]]="","",IF(N(INDEX(tsk_PlanFinish,RoadmapPhases[[#This Row],[_Task]]))=0,"",INDEX(tsk_PlanFinish,RoadmapPhases[[#This Row],[_Task]])))</f>
        <v>46276</v>
      </c>
      <c r="H8" s="53" t="n">
        <f aca="false">IF(RoadmapPhases[[#This Row],[_Task]]="","",IF(N(INDEX(tsk_FcStart,RoadmapPhases[[#This Row],[_Task]]))=0,"",INDEX(tsk_FcStart,RoadmapPhases[[#This Row],[_Task]])))</f>
        <v>46272</v>
      </c>
      <c r="I8" s="53" t="n">
        <f aca="false">IF(RoadmapPhases[[#This Row],[_Task]]="","",IF(N(INDEX(tsk_FcFinish,RoadmapPhases[[#This Row],[_Task]]))=0,"",INDEX(tsk_FcFinish,RoadmapPhases[[#This Row],[_Task]])))</f>
        <v>46279</v>
      </c>
      <c r="J8" s="46" t="n">
        <f aca="false">IF(RoadmapPhases[[#This Row],[_Task]]="","",INDEX(tsk_Progress,RoadmapPhases[[#This Row],[_Task]]))</f>
        <v>1</v>
      </c>
      <c r="K8" s="45" t="n">
        <f aca="false">IF(RoadmapPhases[[#This Row],[_Task]]="","",INDEX(tsk_Variance,RoadmapPhases[[#This Row],[_Task]]))</f>
        <v>1</v>
      </c>
      <c r="L8" s="47"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3" t="str">
        <f aca="false">IF(RoadmapPhases[[#This Row],[_Task]]="","",IFERROR(MATCH(_xlfn.MINIFS(tsk_MilestoneKey,tsk_Phase,RoadmapPhases[[#This Row],[WBS]]),tsk_MilestoneKey,0),""))</f>
        <v/>
      </c>
    </row>
    <row r="9" customFormat="false" ht="15" hidden="false" customHeight="false" outlineLevel="0" collapsed="false">
      <c r="B9" s="43"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3" t="n">
        <f aca="false">IF(RoadmapPhases[[#This Row],[_Task]]="","",IF(N(INDEX(tsk_PlanStart,RoadmapPhases[[#This Row],[_Task]]))=0,"",INDEX(tsk_PlanStart,RoadmapPhases[[#This Row],[_Task]])))</f>
        <v>46279</v>
      </c>
      <c r="G9" s="53" t="n">
        <f aca="false">IF(RoadmapPhases[[#This Row],[_Task]]="","",IF(N(INDEX(tsk_PlanFinish,RoadmapPhases[[#This Row],[_Task]]))=0,"",INDEX(tsk_PlanFinish,RoadmapPhases[[#This Row],[_Task]])))</f>
        <v>46296</v>
      </c>
      <c r="H9" s="53" t="n">
        <f aca="false">IF(RoadmapPhases[[#This Row],[_Task]]="","",IF(N(INDEX(tsk_FcStart,RoadmapPhases[[#This Row],[_Task]]))=0,"",INDEX(tsk_FcStart,RoadmapPhases[[#This Row],[_Task]])))</f>
        <v>46280</v>
      </c>
      <c r="I9" s="53" t="n">
        <f aca="false">IF(RoadmapPhases[[#This Row],[_Task]]="","",IF(N(INDEX(tsk_FcFinish,RoadmapPhases[[#This Row],[_Task]]))=0,"",INDEX(tsk_FcFinish,RoadmapPhases[[#This Row],[_Task]])))</f>
        <v>46301</v>
      </c>
      <c r="J9" s="46" t="n">
        <f aca="false">IF(RoadmapPhases[[#This Row],[_Task]]="","",INDEX(tsk_Progress,RoadmapPhases[[#This Row],[_Task]]))</f>
        <v>1</v>
      </c>
      <c r="K9" s="45" t="n">
        <f aca="false">IF(RoadmapPhases[[#This Row],[_Task]]="","",INDEX(tsk_Variance,RoadmapPhases[[#This Row],[_Task]]))</f>
        <v>3</v>
      </c>
      <c r="L9" s="47"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3" t="str">
        <f aca="false">IF(RoadmapPhases[[#This Row],[_Task]]="","",IFERROR(MATCH(_xlfn.MINIFS(tsk_MilestoneKey,tsk_Phase,RoadmapPhases[[#This Row],[WBS]]),tsk_MilestoneKey,0),""))</f>
        <v/>
      </c>
    </row>
    <row r="10" customFormat="false" ht="15" hidden="false" customHeight="false" outlineLevel="0" collapsed="false">
      <c r="B10" s="43"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3" t="n">
        <f aca="false">IF(RoadmapPhases[[#This Row],[_Task]]="","",IF(N(INDEX(tsk_PlanStart,RoadmapPhases[[#This Row],[_Task]]))=0,"",INDEX(tsk_PlanStart,RoadmapPhases[[#This Row],[_Task]])))</f>
        <v>46297</v>
      </c>
      <c r="G10" s="53" t="n">
        <f aca="false">IF(RoadmapPhases[[#This Row],[_Task]]="","",IF(N(INDEX(tsk_PlanFinish,RoadmapPhases[[#This Row],[_Task]]))=0,"",INDEX(tsk_PlanFinish,RoadmapPhases[[#This Row],[_Task]])))</f>
        <v>46318</v>
      </c>
      <c r="H10" s="53" t="n">
        <f aca="false">IF(RoadmapPhases[[#This Row],[_Task]]="","",IF(N(INDEX(tsk_FcStart,RoadmapPhases[[#This Row],[_Task]]))=0,"",INDEX(tsk_FcStart,RoadmapPhases[[#This Row],[_Task]])))</f>
        <v>46302</v>
      </c>
      <c r="I10" s="53" t="n">
        <f aca="false">IF(RoadmapPhases[[#This Row],[_Task]]="","",IF(N(INDEX(tsk_FcFinish,RoadmapPhases[[#This Row],[_Task]]))=0,"",INDEX(tsk_FcFinish,RoadmapPhases[[#This Row],[_Task]])))</f>
        <v>46324</v>
      </c>
      <c r="J10" s="46" t="n">
        <f aca="false">IF(RoadmapPhases[[#This Row],[_Task]]="","",INDEX(tsk_Progress,RoadmapPhases[[#This Row],[_Task]]))</f>
        <v>0.791925465838509</v>
      </c>
      <c r="K10" s="45" t="n">
        <f aca="false">IF(RoadmapPhases[[#This Row],[_Task]]="","",INDEX(tsk_Variance,RoadmapPhases[[#This Row],[_Task]]))</f>
        <v>4</v>
      </c>
      <c r="L10" s="47"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3" t="n">
        <f aca="false">IF(RoadmapPhases[[#This Row],[_Task]]="","",IFERROR(MATCH(_xlfn.MINIFS(tsk_MilestoneKey,tsk_Phase,RoadmapPhases[[#This Row],[WBS]]),tsk_MilestoneKey,0),""))</f>
        <v>12</v>
      </c>
    </row>
    <row r="11" customFormat="false" ht="15" hidden="false" customHeight="false" outlineLevel="0" collapsed="false">
      <c r="B11" s="43"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3" t="str">
        <f aca="false">IF(RoadmapPhases[[#This Row],[_Task]]="","",IF(N(INDEX(tsk_PlanStart,RoadmapPhases[[#This Row],[_Task]]))=0,"",INDEX(tsk_PlanStart,RoadmapPhases[[#This Row],[_Task]])))</f>
        <v/>
      </c>
      <c r="G11" s="53" t="str">
        <f aca="false">IF(RoadmapPhases[[#This Row],[_Task]]="","",IF(N(INDEX(tsk_PlanFinish,RoadmapPhases[[#This Row],[_Task]]))=0,"",INDEX(tsk_PlanFinish,RoadmapPhases[[#This Row],[_Task]])))</f>
        <v/>
      </c>
      <c r="H11" s="53" t="str">
        <f aca="false">IF(RoadmapPhases[[#This Row],[_Task]]="","",IF(N(INDEX(tsk_FcStart,RoadmapPhases[[#This Row],[_Task]]))=0,"",INDEX(tsk_FcStart,RoadmapPhases[[#This Row],[_Task]])))</f>
        <v/>
      </c>
      <c r="I11" s="53" t="str">
        <f aca="false">IF(RoadmapPhases[[#This Row],[_Task]]="","",IF(N(INDEX(tsk_FcFinish,RoadmapPhases[[#This Row],[_Task]]))=0,"",INDEX(tsk_FcFinish,RoadmapPhases[[#This Row],[_Task]])))</f>
        <v/>
      </c>
      <c r="J11" s="46" t="str">
        <f aca="false">IF(RoadmapPhases[[#This Row],[_Task]]="","",INDEX(tsk_Progress,RoadmapPhases[[#This Row],[_Task]]))</f>
        <v/>
      </c>
      <c r="K11" s="45" t="str">
        <f aca="false">IF(RoadmapPhases[[#This Row],[_Task]]="","",INDEX(tsk_Variance,RoadmapPhases[[#This Row],[_Task]]))</f>
        <v/>
      </c>
      <c r="L11" s="47"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3" t="str">
        <f aca="false">IF(RoadmapPhases[[#This Row],[_Task]]="","",IFERROR(MATCH(_xlfn.MINIFS(tsk_MilestoneKey,tsk_Phase,RoadmapPhases[[#This Row],[WBS]]),tsk_MilestoneKey,0),""))</f>
        <v/>
      </c>
    </row>
    <row r="12" customFormat="false" ht="15" hidden="false" customHeight="false" outlineLevel="0" collapsed="false">
      <c r="B12" s="43"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3" t="str">
        <f aca="false">IF(RoadmapPhases[[#This Row],[_Task]]="","",IF(N(INDEX(tsk_PlanStart,RoadmapPhases[[#This Row],[_Task]]))=0,"",INDEX(tsk_PlanStart,RoadmapPhases[[#This Row],[_Task]])))</f>
        <v/>
      </c>
      <c r="G12" s="53" t="str">
        <f aca="false">IF(RoadmapPhases[[#This Row],[_Task]]="","",IF(N(INDEX(tsk_PlanFinish,RoadmapPhases[[#This Row],[_Task]]))=0,"",INDEX(tsk_PlanFinish,RoadmapPhases[[#This Row],[_Task]])))</f>
        <v/>
      </c>
      <c r="H12" s="53" t="str">
        <f aca="false">IF(RoadmapPhases[[#This Row],[_Task]]="","",IF(N(INDEX(tsk_FcStart,RoadmapPhases[[#This Row],[_Task]]))=0,"",INDEX(tsk_FcStart,RoadmapPhases[[#This Row],[_Task]])))</f>
        <v/>
      </c>
      <c r="I12" s="53" t="str">
        <f aca="false">IF(RoadmapPhases[[#This Row],[_Task]]="","",IF(N(INDEX(tsk_FcFinish,RoadmapPhases[[#This Row],[_Task]]))=0,"",INDEX(tsk_FcFinish,RoadmapPhases[[#This Row],[_Task]])))</f>
        <v/>
      </c>
      <c r="J12" s="46" t="str">
        <f aca="false">IF(RoadmapPhases[[#This Row],[_Task]]="","",INDEX(tsk_Progress,RoadmapPhases[[#This Row],[_Task]]))</f>
        <v/>
      </c>
      <c r="K12" s="45" t="str">
        <f aca="false">IF(RoadmapPhases[[#This Row],[_Task]]="","",INDEX(tsk_Variance,RoadmapPhases[[#This Row],[_Task]]))</f>
        <v/>
      </c>
      <c r="L12" s="47"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3" t="str">
        <f aca="false">IF(RoadmapPhases[[#This Row],[_Task]]="","",IFERROR(MATCH(_xlfn.MINIFS(tsk_MilestoneKey,tsk_Phase,RoadmapPhases[[#This Row],[WBS]]),tsk_MilestoneKey,0),""))</f>
        <v/>
      </c>
    </row>
    <row r="13" customFormat="false" ht="15" hidden="false" customHeight="false" outlineLevel="0" collapsed="false">
      <c r="B13" s="43"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3" t="str">
        <f aca="false">IF(RoadmapPhases[[#This Row],[_Task]]="","",IF(N(INDEX(tsk_PlanStart,RoadmapPhases[[#This Row],[_Task]]))=0,"",INDEX(tsk_PlanStart,RoadmapPhases[[#This Row],[_Task]])))</f>
        <v/>
      </c>
      <c r="G13" s="53" t="str">
        <f aca="false">IF(RoadmapPhases[[#This Row],[_Task]]="","",IF(N(INDEX(tsk_PlanFinish,RoadmapPhases[[#This Row],[_Task]]))=0,"",INDEX(tsk_PlanFinish,RoadmapPhases[[#This Row],[_Task]])))</f>
        <v/>
      </c>
      <c r="H13" s="53" t="str">
        <f aca="false">IF(RoadmapPhases[[#This Row],[_Task]]="","",IF(N(INDEX(tsk_FcStart,RoadmapPhases[[#This Row],[_Task]]))=0,"",INDEX(tsk_FcStart,RoadmapPhases[[#This Row],[_Task]])))</f>
        <v/>
      </c>
      <c r="I13" s="53" t="str">
        <f aca="false">IF(RoadmapPhases[[#This Row],[_Task]]="","",IF(N(INDEX(tsk_FcFinish,RoadmapPhases[[#This Row],[_Task]]))=0,"",INDEX(tsk_FcFinish,RoadmapPhases[[#This Row],[_Task]])))</f>
        <v/>
      </c>
      <c r="J13" s="46" t="str">
        <f aca="false">IF(RoadmapPhases[[#This Row],[_Task]]="","",INDEX(tsk_Progress,RoadmapPhases[[#This Row],[_Task]]))</f>
        <v/>
      </c>
      <c r="K13" s="45" t="str">
        <f aca="false">IF(RoadmapPhases[[#This Row],[_Task]]="","",INDEX(tsk_Variance,RoadmapPhases[[#This Row],[_Task]]))</f>
        <v/>
      </c>
      <c r="L13" s="47"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3" t="str">
        <f aca="false">IF(RoadmapPhases[[#This Row],[_Task]]="","",IFERROR(MATCH(_xlfn.MINIFS(tsk_MilestoneKey,tsk_Phase,RoadmapPhases[[#This Row],[WBS]]),tsk_MilestoneKey,0),""))</f>
        <v/>
      </c>
    </row>
    <row r="14" customFormat="false" ht="15" hidden="false" customHeight="false" outlineLevel="0" collapsed="false">
      <c r="B14" s="43"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3" t="str">
        <f aca="false">IF(RoadmapPhases[[#This Row],[_Task]]="","",IF(N(INDEX(tsk_PlanStart,RoadmapPhases[[#This Row],[_Task]]))=0,"",INDEX(tsk_PlanStart,RoadmapPhases[[#This Row],[_Task]])))</f>
        <v/>
      </c>
      <c r="G14" s="53" t="str">
        <f aca="false">IF(RoadmapPhases[[#This Row],[_Task]]="","",IF(N(INDEX(tsk_PlanFinish,RoadmapPhases[[#This Row],[_Task]]))=0,"",INDEX(tsk_PlanFinish,RoadmapPhases[[#This Row],[_Task]])))</f>
        <v/>
      </c>
      <c r="H14" s="53" t="str">
        <f aca="false">IF(RoadmapPhases[[#This Row],[_Task]]="","",IF(N(INDEX(tsk_FcStart,RoadmapPhases[[#This Row],[_Task]]))=0,"",INDEX(tsk_FcStart,RoadmapPhases[[#This Row],[_Task]])))</f>
        <v/>
      </c>
      <c r="I14" s="53" t="str">
        <f aca="false">IF(RoadmapPhases[[#This Row],[_Task]]="","",IF(N(INDEX(tsk_FcFinish,RoadmapPhases[[#This Row],[_Task]]))=0,"",INDEX(tsk_FcFinish,RoadmapPhases[[#This Row],[_Task]])))</f>
        <v/>
      </c>
      <c r="J14" s="46" t="str">
        <f aca="false">IF(RoadmapPhases[[#This Row],[_Task]]="","",INDEX(tsk_Progress,RoadmapPhases[[#This Row],[_Task]]))</f>
        <v/>
      </c>
      <c r="K14" s="45" t="str">
        <f aca="false">IF(RoadmapPhases[[#This Row],[_Task]]="","",INDEX(tsk_Variance,RoadmapPhases[[#This Row],[_Task]]))</f>
        <v/>
      </c>
      <c r="L14" s="47"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3" t="str">
        <f aca="false">IF(RoadmapPhases[[#This Row],[_Task]]="","",IFERROR(MATCH(_xlfn.MINIFS(tsk_MilestoneKey,tsk_Phase,RoadmapPhases[[#This Row],[WBS]]),tsk_MilestoneKey,0),""))</f>
        <v/>
      </c>
    </row>
    <row r="15" customFormat="false" ht="15" hidden="false" customHeight="false" outlineLevel="0" collapsed="false">
      <c r="B15" s="43"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3" t="str">
        <f aca="false">IF(RoadmapPhases[[#This Row],[_Task]]="","",IF(N(INDEX(tsk_PlanStart,RoadmapPhases[[#This Row],[_Task]]))=0,"",INDEX(tsk_PlanStart,RoadmapPhases[[#This Row],[_Task]])))</f>
        <v/>
      </c>
      <c r="G15" s="53" t="str">
        <f aca="false">IF(RoadmapPhases[[#This Row],[_Task]]="","",IF(N(INDEX(tsk_PlanFinish,RoadmapPhases[[#This Row],[_Task]]))=0,"",INDEX(tsk_PlanFinish,RoadmapPhases[[#This Row],[_Task]])))</f>
        <v/>
      </c>
      <c r="H15" s="53" t="str">
        <f aca="false">IF(RoadmapPhases[[#This Row],[_Task]]="","",IF(N(INDEX(tsk_FcStart,RoadmapPhases[[#This Row],[_Task]]))=0,"",INDEX(tsk_FcStart,RoadmapPhases[[#This Row],[_Task]])))</f>
        <v/>
      </c>
      <c r="I15" s="53" t="str">
        <f aca="false">IF(RoadmapPhases[[#This Row],[_Task]]="","",IF(N(INDEX(tsk_FcFinish,RoadmapPhases[[#This Row],[_Task]]))=0,"",INDEX(tsk_FcFinish,RoadmapPhases[[#This Row],[_Task]])))</f>
        <v/>
      </c>
      <c r="J15" s="46" t="str">
        <f aca="false">IF(RoadmapPhases[[#This Row],[_Task]]="","",INDEX(tsk_Progress,RoadmapPhases[[#This Row],[_Task]]))</f>
        <v/>
      </c>
      <c r="K15" s="45" t="str">
        <f aca="false">IF(RoadmapPhases[[#This Row],[_Task]]="","",INDEX(tsk_Variance,RoadmapPhases[[#This Row],[_Task]]))</f>
        <v/>
      </c>
      <c r="L15" s="47"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3" t="str">
        <f aca="false">IF(RoadmapPhases[[#This Row],[_Task]]="","",IFERROR(MATCH(_xlfn.MINIFS(tsk_MilestoneKey,tsk_Phase,RoadmapPhases[[#This Row],[WBS]]),tsk_MilestoneKey,0),""))</f>
        <v/>
      </c>
    </row>
    <row r="16" customFormat="false" ht="15" hidden="false" customHeight="false" outlineLevel="0" collapsed="false">
      <c r="B16" s="43"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3" t="str">
        <f aca="false">IF(RoadmapPhases[[#This Row],[_Task]]="","",IF(N(INDEX(tsk_PlanStart,RoadmapPhases[[#This Row],[_Task]]))=0,"",INDEX(tsk_PlanStart,RoadmapPhases[[#This Row],[_Task]])))</f>
        <v/>
      </c>
      <c r="G16" s="53" t="str">
        <f aca="false">IF(RoadmapPhases[[#This Row],[_Task]]="","",IF(N(INDEX(tsk_PlanFinish,RoadmapPhases[[#This Row],[_Task]]))=0,"",INDEX(tsk_PlanFinish,RoadmapPhases[[#This Row],[_Task]])))</f>
        <v/>
      </c>
      <c r="H16" s="53" t="str">
        <f aca="false">IF(RoadmapPhases[[#This Row],[_Task]]="","",IF(N(INDEX(tsk_FcStart,RoadmapPhases[[#This Row],[_Task]]))=0,"",INDEX(tsk_FcStart,RoadmapPhases[[#This Row],[_Task]])))</f>
        <v/>
      </c>
      <c r="I16" s="53" t="str">
        <f aca="false">IF(RoadmapPhases[[#This Row],[_Task]]="","",IF(N(INDEX(tsk_FcFinish,RoadmapPhases[[#This Row],[_Task]]))=0,"",INDEX(tsk_FcFinish,RoadmapPhases[[#This Row],[_Task]])))</f>
        <v/>
      </c>
      <c r="J16" s="46" t="str">
        <f aca="false">IF(RoadmapPhases[[#This Row],[_Task]]="","",INDEX(tsk_Progress,RoadmapPhases[[#This Row],[_Task]]))</f>
        <v/>
      </c>
      <c r="K16" s="45" t="str">
        <f aca="false">IF(RoadmapPhases[[#This Row],[_Task]]="","",INDEX(tsk_Variance,RoadmapPhases[[#This Row],[_Task]]))</f>
        <v/>
      </c>
      <c r="L16" s="47"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3" t="str">
        <f aca="false">IF(RoadmapPhases[[#This Row],[_Task]]="","",IFERROR(MATCH(_xlfn.MINIFS(tsk_MilestoneKey,tsk_Phase,RoadmapPhases[[#This Row],[WBS]]),tsk_MilestoneKey,0),""))</f>
        <v/>
      </c>
    </row>
    <row r="17" customFormat="false" ht="15" hidden="false" customHeight="false" outlineLevel="0" collapsed="false">
      <c r="B17" s="43"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3" t="str">
        <f aca="false">IF(RoadmapPhases[[#This Row],[_Task]]="","",IF(N(INDEX(tsk_PlanStart,RoadmapPhases[[#This Row],[_Task]]))=0,"",INDEX(tsk_PlanStart,RoadmapPhases[[#This Row],[_Task]])))</f>
        <v/>
      </c>
      <c r="G17" s="53" t="str">
        <f aca="false">IF(RoadmapPhases[[#This Row],[_Task]]="","",IF(N(INDEX(tsk_PlanFinish,RoadmapPhases[[#This Row],[_Task]]))=0,"",INDEX(tsk_PlanFinish,RoadmapPhases[[#This Row],[_Task]])))</f>
        <v/>
      </c>
      <c r="H17" s="53" t="str">
        <f aca="false">IF(RoadmapPhases[[#This Row],[_Task]]="","",IF(N(INDEX(tsk_FcStart,RoadmapPhases[[#This Row],[_Task]]))=0,"",INDEX(tsk_FcStart,RoadmapPhases[[#This Row],[_Task]])))</f>
        <v/>
      </c>
      <c r="I17" s="53" t="str">
        <f aca="false">IF(RoadmapPhases[[#This Row],[_Task]]="","",IF(N(INDEX(tsk_FcFinish,RoadmapPhases[[#This Row],[_Task]]))=0,"",INDEX(tsk_FcFinish,RoadmapPhases[[#This Row],[_Task]])))</f>
        <v/>
      </c>
      <c r="J17" s="46" t="str">
        <f aca="false">IF(RoadmapPhases[[#This Row],[_Task]]="","",INDEX(tsk_Progress,RoadmapPhases[[#This Row],[_Task]]))</f>
        <v/>
      </c>
      <c r="K17" s="45" t="str">
        <f aca="false">IF(RoadmapPhases[[#This Row],[_Task]]="","",INDEX(tsk_Variance,RoadmapPhases[[#This Row],[_Task]]))</f>
        <v/>
      </c>
      <c r="L17" s="47"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3"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2" t="s">
        <v>175</v>
      </c>
      <c r="C20" s="17" t="s">
        <v>193</v>
      </c>
      <c r="D20" s="17" t="s">
        <v>202</v>
      </c>
      <c r="E20" s="17" t="s">
        <v>203</v>
      </c>
      <c r="F20" s="17" t="s">
        <v>204</v>
      </c>
      <c r="G20" s="17" t="s">
        <v>205</v>
      </c>
      <c r="H20" s="17" t="s">
        <v>182</v>
      </c>
      <c r="I20" s="17" t="s">
        <v>146</v>
      </c>
      <c r="J20" s="17" t="s">
        <v>179</v>
      </c>
    </row>
    <row r="21" customFormat="false" ht="15" hidden="false" customHeight="false" outlineLevel="0" collapsed="false">
      <c r="B21" s="43"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3" t="n">
        <f aca="false">IF(RoadmapMilestones[[#This Row],[_Task]]="","",IF(N(INDEX(tsk_PlanFinish,RoadmapMilestones[[#This Row],[_Task]]))=0,"",INDEX(tsk_PlanFinish,RoadmapMilestones[[#This Row],[_Task]])))</f>
        <v>46276</v>
      </c>
      <c r="F21" s="53" t="str">
        <f aca="false">IF(RoadmapMilestones[[#This Row],[_Task]]="","",IF(N(INDEX(tsk_Deadline,RoadmapMilestones[[#This Row],[_Task]]))=0,"",INDEX(tsk_Deadline,RoadmapMilestones[[#This Row],[_Task]])))</f>
        <v/>
      </c>
      <c r="G21" s="53"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5" t="n">
        <f aca="false">IF(RoadmapMilestones[[#This Row],[_Task]]="","",INDEX(tsk_Variance,RoadmapMilestones[[#This Row],[_Task]]))</f>
        <v>1</v>
      </c>
    </row>
    <row r="22" customFormat="false" ht="15" hidden="false" customHeight="false" outlineLevel="0" collapsed="false">
      <c r="B22" s="43"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3" t="n">
        <f aca="false">IF(RoadmapMilestones[[#This Row],[_Task]]="","",IF(N(INDEX(tsk_PlanFinish,RoadmapMilestones[[#This Row],[_Task]]))=0,"",INDEX(tsk_PlanFinish,RoadmapMilestones[[#This Row],[_Task]])))</f>
        <v>46296</v>
      </c>
      <c r="F22" s="53" t="str">
        <f aca="false">IF(RoadmapMilestones[[#This Row],[_Task]]="","",IF(N(INDEX(tsk_Deadline,RoadmapMilestones[[#This Row],[_Task]]))=0,"",INDEX(tsk_Deadline,RoadmapMilestones[[#This Row],[_Task]])))</f>
        <v/>
      </c>
      <c r="G22" s="53"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5" t="n">
        <f aca="false">IF(RoadmapMilestones[[#This Row],[_Task]]="","",INDEX(tsk_Variance,RoadmapMilestones[[#This Row],[_Task]]))</f>
        <v>3</v>
      </c>
    </row>
    <row r="23" customFormat="false" ht="15" hidden="false" customHeight="false" outlineLevel="0" collapsed="false">
      <c r="B23" s="43"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3" t="n">
        <f aca="false">IF(RoadmapMilestones[[#This Row],[_Task]]="","",IF(N(INDEX(tsk_PlanFinish,RoadmapMilestones[[#This Row],[_Task]]))=0,"",INDEX(tsk_PlanFinish,RoadmapMilestones[[#This Row],[_Task]])))</f>
        <v>46318</v>
      </c>
      <c r="F23" s="53" t="n">
        <f aca="false">IF(RoadmapMilestones[[#This Row],[_Task]]="","",IF(N(INDEX(tsk_Deadline,RoadmapMilestones[[#This Row],[_Task]]))=0,"",INDEX(tsk_Deadline,RoadmapMilestones[[#This Row],[_Task]])))</f>
        <v>46374</v>
      </c>
      <c r="G23" s="53"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5" t="n">
        <f aca="false">IF(RoadmapMilestones[[#This Row],[_Task]]="","",INDEX(tsk_Variance,RoadmapMilestones[[#This Row],[_Task]]))</f>
        <v>4</v>
      </c>
    </row>
    <row r="24" customFormat="false" ht="15" hidden="false" customHeight="false" outlineLevel="0" collapsed="false">
      <c r="B24" s="43"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3" t="str">
        <f aca="false">IF(RoadmapMilestones[[#This Row],[_Task]]="","",IF(N(INDEX(tsk_PlanFinish,RoadmapMilestones[[#This Row],[_Task]]))=0,"",INDEX(tsk_PlanFinish,RoadmapMilestones[[#This Row],[_Task]])))</f>
        <v/>
      </c>
      <c r="F24" s="53" t="str">
        <f aca="false">IF(RoadmapMilestones[[#This Row],[_Task]]="","",IF(N(INDEX(tsk_Deadline,RoadmapMilestones[[#This Row],[_Task]]))=0,"",INDEX(tsk_Deadline,RoadmapMilestones[[#This Row],[_Task]])))</f>
        <v/>
      </c>
      <c r="G24" s="53"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5" t="str">
        <f aca="false">IF(RoadmapMilestones[[#This Row],[_Task]]="","",INDEX(tsk_Variance,RoadmapMilestones[[#This Row],[_Task]]))</f>
        <v/>
      </c>
    </row>
    <row r="25" customFormat="false" ht="15" hidden="false" customHeight="false" outlineLevel="0" collapsed="false">
      <c r="B25" s="43"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3" t="str">
        <f aca="false">IF(RoadmapMilestones[[#This Row],[_Task]]="","",IF(N(INDEX(tsk_PlanFinish,RoadmapMilestones[[#This Row],[_Task]]))=0,"",INDEX(tsk_PlanFinish,RoadmapMilestones[[#This Row],[_Task]])))</f>
        <v/>
      </c>
      <c r="F25" s="53" t="str">
        <f aca="false">IF(RoadmapMilestones[[#This Row],[_Task]]="","",IF(N(INDEX(tsk_Deadline,RoadmapMilestones[[#This Row],[_Task]]))=0,"",INDEX(tsk_Deadline,RoadmapMilestones[[#This Row],[_Task]])))</f>
        <v/>
      </c>
      <c r="G25" s="53"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5" t="str">
        <f aca="false">IF(RoadmapMilestones[[#This Row],[_Task]]="","",INDEX(tsk_Variance,RoadmapMilestones[[#This Row],[_Task]]))</f>
        <v/>
      </c>
    </row>
    <row r="26" customFormat="false" ht="15" hidden="false" customHeight="false" outlineLevel="0" collapsed="false">
      <c r="B26" s="43"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3" t="str">
        <f aca="false">IF(RoadmapMilestones[[#This Row],[_Task]]="","",IF(N(INDEX(tsk_PlanFinish,RoadmapMilestones[[#This Row],[_Task]]))=0,"",INDEX(tsk_PlanFinish,RoadmapMilestones[[#This Row],[_Task]])))</f>
        <v/>
      </c>
      <c r="F26" s="53" t="str">
        <f aca="false">IF(RoadmapMilestones[[#This Row],[_Task]]="","",IF(N(INDEX(tsk_Deadline,RoadmapMilestones[[#This Row],[_Task]]))=0,"",INDEX(tsk_Deadline,RoadmapMilestones[[#This Row],[_Task]])))</f>
        <v/>
      </c>
      <c r="G26" s="53"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5" t="str">
        <f aca="false">IF(RoadmapMilestones[[#This Row],[_Task]]="","",INDEX(tsk_Variance,RoadmapMilestones[[#This Row],[_Task]]))</f>
        <v/>
      </c>
    </row>
    <row r="27" customFormat="false" ht="15" hidden="false" customHeight="false" outlineLevel="0" collapsed="false">
      <c r="B27" s="43"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3" t="str">
        <f aca="false">IF(RoadmapMilestones[[#This Row],[_Task]]="","",IF(N(INDEX(tsk_PlanFinish,RoadmapMilestones[[#This Row],[_Task]]))=0,"",INDEX(tsk_PlanFinish,RoadmapMilestones[[#This Row],[_Task]])))</f>
        <v/>
      </c>
      <c r="F27" s="53" t="str">
        <f aca="false">IF(RoadmapMilestones[[#This Row],[_Task]]="","",IF(N(INDEX(tsk_Deadline,RoadmapMilestones[[#This Row],[_Task]]))=0,"",INDEX(tsk_Deadline,RoadmapMilestones[[#This Row],[_Task]])))</f>
        <v/>
      </c>
      <c r="G27" s="53"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5" t="str">
        <f aca="false">IF(RoadmapMilestones[[#This Row],[_Task]]="","",INDEX(tsk_Variance,RoadmapMilestones[[#This Row],[_Task]]))</f>
        <v/>
      </c>
    </row>
    <row r="28" customFormat="false" ht="15" hidden="false" customHeight="false" outlineLevel="0" collapsed="false">
      <c r="B28" s="43"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3" t="str">
        <f aca="false">IF(RoadmapMilestones[[#This Row],[_Task]]="","",IF(N(INDEX(tsk_PlanFinish,RoadmapMilestones[[#This Row],[_Task]]))=0,"",INDEX(tsk_PlanFinish,RoadmapMilestones[[#This Row],[_Task]])))</f>
        <v/>
      </c>
      <c r="F28" s="53" t="str">
        <f aca="false">IF(RoadmapMilestones[[#This Row],[_Task]]="","",IF(N(INDEX(tsk_Deadline,RoadmapMilestones[[#This Row],[_Task]]))=0,"",INDEX(tsk_Deadline,RoadmapMilestones[[#This Row],[_Task]])))</f>
        <v/>
      </c>
      <c r="G28" s="53"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5" t="str">
        <f aca="false">IF(RoadmapMilestones[[#This Row],[_Task]]="","",INDEX(tsk_Variance,RoadmapMilestones[[#This Row],[_Task]]))</f>
        <v/>
      </c>
    </row>
    <row r="29" customFormat="false" ht="15" hidden="false" customHeight="false" outlineLevel="0" collapsed="false">
      <c r="B29" s="43"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3" t="str">
        <f aca="false">IF(RoadmapMilestones[[#This Row],[_Task]]="","",IF(N(INDEX(tsk_PlanFinish,RoadmapMilestones[[#This Row],[_Task]]))=0,"",INDEX(tsk_PlanFinish,RoadmapMilestones[[#This Row],[_Task]])))</f>
        <v/>
      </c>
      <c r="F29" s="53" t="str">
        <f aca="false">IF(RoadmapMilestones[[#This Row],[_Task]]="","",IF(N(INDEX(tsk_Deadline,RoadmapMilestones[[#This Row],[_Task]]))=0,"",INDEX(tsk_Deadline,RoadmapMilestones[[#This Row],[_Task]])))</f>
        <v/>
      </c>
      <c r="G29" s="53"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5" t="str">
        <f aca="false">IF(RoadmapMilestones[[#This Row],[_Task]]="","",INDEX(tsk_Variance,RoadmapMilestones[[#This Row],[_Task]]))</f>
        <v/>
      </c>
    </row>
    <row r="30" customFormat="false" ht="15" hidden="false" customHeight="false" outlineLevel="0" collapsed="false">
      <c r="B30" s="43"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3" t="str">
        <f aca="false">IF(RoadmapMilestones[[#This Row],[_Task]]="","",IF(N(INDEX(tsk_PlanFinish,RoadmapMilestones[[#This Row],[_Task]]))=0,"",INDEX(tsk_PlanFinish,RoadmapMilestones[[#This Row],[_Task]])))</f>
        <v/>
      </c>
      <c r="F30" s="53" t="str">
        <f aca="false">IF(RoadmapMilestones[[#This Row],[_Task]]="","",IF(N(INDEX(tsk_Deadline,RoadmapMilestones[[#This Row],[_Task]]))=0,"",INDEX(tsk_Deadline,RoadmapMilestones[[#This Row],[_Task]])))</f>
        <v/>
      </c>
      <c r="G30" s="53"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5" t="str">
        <f aca="false">IF(RoadmapMilestones[[#This Row],[_Task]]="","",INDEX(tsk_Variance,RoadmapMilestones[[#This Row],[_Task]]))</f>
        <v/>
      </c>
    </row>
    <row r="31" customFormat="false" ht="15" hidden="false" customHeight="false" outlineLevel="0" collapsed="false">
      <c r="B31" s="43"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3" t="str">
        <f aca="false">IF(RoadmapMilestones[[#This Row],[_Task]]="","",IF(N(INDEX(tsk_PlanFinish,RoadmapMilestones[[#This Row],[_Task]]))=0,"",INDEX(tsk_PlanFinish,RoadmapMilestones[[#This Row],[_Task]])))</f>
        <v/>
      </c>
      <c r="F31" s="53" t="str">
        <f aca="false">IF(RoadmapMilestones[[#This Row],[_Task]]="","",IF(N(INDEX(tsk_Deadline,RoadmapMilestones[[#This Row],[_Task]]))=0,"",INDEX(tsk_Deadline,RoadmapMilestones[[#This Row],[_Task]])))</f>
        <v/>
      </c>
      <c r="G31" s="53"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5" t="str">
        <f aca="false">IF(RoadmapMilestones[[#This Row],[_Task]]="","",INDEX(tsk_Variance,RoadmapMilestones[[#This Row],[_Task]]))</f>
        <v/>
      </c>
    </row>
    <row r="32" customFormat="false" ht="15" hidden="false" customHeight="false" outlineLevel="0" collapsed="false">
      <c r="B32" s="43"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3" t="str">
        <f aca="false">IF(RoadmapMilestones[[#This Row],[_Task]]="","",IF(N(INDEX(tsk_PlanFinish,RoadmapMilestones[[#This Row],[_Task]]))=0,"",INDEX(tsk_PlanFinish,RoadmapMilestones[[#This Row],[_Task]])))</f>
        <v/>
      </c>
      <c r="F32" s="53" t="str">
        <f aca="false">IF(RoadmapMilestones[[#This Row],[_Task]]="","",IF(N(INDEX(tsk_Deadline,RoadmapMilestones[[#This Row],[_Task]]))=0,"",INDEX(tsk_Deadline,RoadmapMilestones[[#This Row],[_Task]])))</f>
        <v/>
      </c>
      <c r="G32" s="53"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5" t="str">
        <f aca="false">IF(RoadmapMilestones[[#This Row],[_Task]]="","",INDEX(tsk_Variance,RoadmapMilestones[[#This Row],[_Task]]))</f>
        <v/>
      </c>
    </row>
    <row r="33" customFormat="false" ht="15" hidden="false" customHeight="false" outlineLevel="0" collapsed="false">
      <c r="B33" s="43"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3" t="str">
        <f aca="false">IF(RoadmapMilestones[[#This Row],[_Task]]="","",IF(N(INDEX(tsk_PlanFinish,RoadmapMilestones[[#This Row],[_Task]]))=0,"",INDEX(tsk_PlanFinish,RoadmapMilestones[[#This Row],[_Task]])))</f>
        <v/>
      </c>
      <c r="F33" s="53" t="str">
        <f aca="false">IF(RoadmapMilestones[[#This Row],[_Task]]="","",IF(N(INDEX(tsk_Deadline,RoadmapMilestones[[#This Row],[_Task]]))=0,"",INDEX(tsk_Deadline,RoadmapMilestones[[#This Row],[_Task]])))</f>
        <v/>
      </c>
      <c r="G33" s="53"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5" t="str">
        <f aca="false">IF(RoadmapMilestones[[#This Row],[_Task]]="","",INDEX(tsk_Variance,RoadmapMilestones[[#This Row],[_Task]]))</f>
        <v/>
      </c>
    </row>
    <row r="34" customFormat="false" ht="15" hidden="false" customHeight="false" outlineLevel="0" collapsed="false">
      <c r="B34" s="43"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3" t="str">
        <f aca="false">IF(RoadmapMilestones[[#This Row],[_Task]]="","",IF(N(INDEX(tsk_PlanFinish,RoadmapMilestones[[#This Row],[_Task]]))=0,"",INDEX(tsk_PlanFinish,RoadmapMilestones[[#This Row],[_Task]])))</f>
        <v/>
      </c>
      <c r="F34" s="53" t="str">
        <f aca="false">IF(RoadmapMilestones[[#This Row],[_Task]]="","",IF(N(INDEX(tsk_Deadline,RoadmapMilestones[[#This Row],[_Task]]))=0,"",INDEX(tsk_Deadline,RoadmapMilestones[[#This Row],[_Task]])))</f>
        <v/>
      </c>
      <c r="G34" s="53"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5" t="str">
        <f aca="false">IF(RoadmapMilestones[[#This Row],[_Task]]="","",INDEX(tsk_Variance,RoadmapMilestones[[#This Row],[_Task]]))</f>
        <v/>
      </c>
    </row>
    <row r="35" customFormat="false" ht="15" hidden="false" customHeight="false" outlineLevel="0" collapsed="false">
      <c r="B35" s="43"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3" t="str">
        <f aca="false">IF(RoadmapMilestones[[#This Row],[_Task]]="","",IF(N(INDEX(tsk_PlanFinish,RoadmapMilestones[[#This Row],[_Task]]))=0,"",INDEX(tsk_PlanFinish,RoadmapMilestones[[#This Row],[_Task]])))</f>
        <v/>
      </c>
      <c r="F35" s="53" t="str">
        <f aca="false">IF(RoadmapMilestones[[#This Row],[_Task]]="","",IF(N(INDEX(tsk_Deadline,RoadmapMilestones[[#This Row],[_Task]]))=0,"",INDEX(tsk_Deadline,RoadmapMilestones[[#This Row],[_Task]])))</f>
        <v/>
      </c>
      <c r="G35" s="53"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5" t="str">
        <f aca="false">IF(RoadmapMilestones[[#This Row],[_Task]]="","",INDEX(tsk_Variance,RoadmapMilestones[[#This Row],[_Task]]))</f>
        <v/>
      </c>
    </row>
    <row r="37" customFormat="false" ht="15" hidden="false" customHeight="false" outlineLevel="0" collapsed="false">
      <c r="C37" s="54"/>
      <c r="D37" s="55" t="s">
        <v>205</v>
      </c>
      <c r="E37" s="56"/>
      <c r="F37" s="55" t="s">
        <v>206</v>
      </c>
      <c r="G37" s="57"/>
      <c r="H37" s="55" t="s">
        <v>207</v>
      </c>
      <c r="I37" s="58"/>
      <c r="J37" s="55" t="s">
        <v>208</v>
      </c>
    </row>
    <row r="38" customFormat="false" ht="15" hidden="false" customHeight="false" outlineLevel="0" collapsed="false">
      <c r="C38" s="59"/>
      <c r="D38" s="55" t="s">
        <v>202</v>
      </c>
      <c r="E38" s="60"/>
      <c r="F38" s="55" t="s">
        <v>209</v>
      </c>
      <c r="G38" s="61"/>
      <c r="H38" s="55" t="s">
        <v>210</v>
      </c>
    </row>
    <row r="39" customFormat="false" ht="15" hidden="false" customHeight="false" outlineLevel="0" collapsed="false">
      <c r="C39" s="2" t="s">
        <v>211</v>
      </c>
    </row>
  </sheetData>
  <sheetProtection sheet="true" formatColumns="false" formatRows="false" sort="false" autoFilter="false"/>
  <conditionalFormatting sqref="M8:M17">
    <cfRule type="expression" priority="2" aboveAverage="0" equalAverage="0" bottom="0" percent="0" rank="0" text="" dxfId="19">
      <formula>M8="Green"</formula>
    </cfRule>
    <cfRule type="expression" priority="3" aboveAverage="0" equalAverage="0" bottom="0" percent="0" rank="0" text="" dxfId="20">
      <formula>M8="Amber"</formula>
    </cfRule>
    <cfRule type="expression" priority="4" aboveAverage="0" equalAverage="0" bottom="0" percent="0" rank="0" text="" dxfId="21">
      <formula>M8="Red"</formula>
    </cfRule>
  </conditionalFormatting>
  <conditionalFormatting sqref="R8:AI17">
    <cfRule type="expression" priority="5" aboveAverage="0" equalAverage="0" bottom="0" percent="0" rank="0" text="" dxfId="26">
      <formula>AND(AND(ISNUMBER($H8),ISNUMBER($I8),R$5&lt;=$I8,EDATE(R$5,1)&gt;$H8),N($J8)&gt;0,R$5&lt;$H8+($I8-$H8+1)*N($J8))</formula>
    </cfRule>
    <cfRule type="expression" priority="6" aboveAverage="0" equalAverage="0" bottom="0" percent="0" rank="0" text="" dxfId="27">
      <formula>AND(AND(ISNUMBER($H8),ISNUMBER($I8),R$5&lt;=$I8,EDATE(R$5,1)&gt;$H8),N($K8)&gt;0)</formula>
    </cfRule>
    <cfRule type="expression" priority="7" aboveAverage="0" equalAverage="0" bottom="0" percent="0" rank="0" text="" dxfId="28">
      <formula>AND(ISNUMBER($H8),ISNUMBER($I8),R$5&lt;=$I8,EDATE(R$5,1)&gt;$H8)</formula>
    </cfRule>
    <cfRule type="expression" priority="8" aboveAverage="0" equalAverage="0" bottom="0" percent="0" rank="0" text="" dxfId="29">
      <formula>AND(ISNUMBER($F8),ISNUMBER($G8),R$5&lt;=$G8,EDATE(R$5,1)&gt;$F8)</formula>
    </cfRule>
    <cfRule type="expression" priority="9" aboveAverage="0" equalAverage="0" bottom="0" percent="0" rank="0" text="" dxfId="30">
      <formula>AND(StatusDate&gt;=R$5,StatusDate&lt;EDATE(R$5,1))</formula>
    </cfRule>
  </conditionalFormatting>
  <conditionalFormatting sqref="R21:AI35">
    <cfRule type="expression" priority="10" aboveAverage="0" equalAverage="0" bottom="0" percent="0" rank="0" text="" dxfId="31">
      <formula>AND(AND(ISNUMBER($G21),$G21&gt;=R$5,$G21&lt;EDATE(R$5,1)),LEFT($H21,4)="Late")</formula>
    </cfRule>
    <cfRule type="expression" priority="11" aboveAverage="0" equalAverage="0" bottom="0" percent="0" rank="0" text="" dxfId="32">
      <formula>AND(ISNUMBER($G21),$G21&gt;=R$5,$G21&lt;EDATE(R$5,1))</formula>
    </cfRule>
    <cfRule type="expression" priority="12" aboveAverage="0" equalAverage="0" bottom="0" percent="0" rank="0" text="" dxfId="29">
      <formula>AND(ISNUMBER($E21),$E21&gt;=R$5,$E21&lt;EDATE(R$5,1))</formula>
    </cfRule>
    <cfRule type="expression" priority="13" aboveAverage="0" equalAverage="0" bottom="0" percent="0" rank="0" text="" dxfId="33">
      <formula>AND(ISNUMBER($F21),$F21&gt;=R$5,$F21&lt;EDATE(R$5,1))</formula>
    </cfRule>
    <cfRule type="expression" priority="14" aboveAverage="0" equalAverage="0" bottom="0" percent="0" rank="0" text="" dxfId="30">
      <formula>AND(StatusDate&gt;=R$5,StatusDate&lt;EDATE(R$5,1))</formula>
    </cfRule>
  </conditionalFormatting>
  <conditionalFormatting sqref="H21:H35">
    <cfRule type="expression" priority="15" aboveAverage="0" equalAverage="0" bottom="0" percent="0" rank="0" text="" dxfId="24">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212</v>
      </c>
    </row>
    <row r="2" customFormat="false" ht="15" hidden="false" customHeight="false" outlineLevel="0" collapsed="false">
      <c r="A2" s="2" t="s">
        <v>213</v>
      </c>
    </row>
    <row r="4" customFormat="false" ht="23.85" hidden="false" customHeight="false" outlineLevel="0" collapsed="false">
      <c r="B4" s="17" t="s">
        <v>214</v>
      </c>
      <c r="C4" s="17" t="s">
        <v>127</v>
      </c>
      <c r="D4" s="17" t="s">
        <v>215</v>
      </c>
      <c r="E4" s="17" t="s">
        <v>187</v>
      </c>
      <c r="F4" s="28" t="s">
        <v>216</v>
      </c>
      <c r="G4" s="18" t="s">
        <v>217</v>
      </c>
      <c r="I4" s="18" t="s">
        <v>218</v>
      </c>
      <c r="K4" s="18" t="s">
        <v>219</v>
      </c>
      <c r="M4" s="18" t="s">
        <v>220</v>
      </c>
      <c r="O4" s="18" t="s">
        <v>221</v>
      </c>
      <c r="Q4" s="18" t="s">
        <v>222</v>
      </c>
      <c r="S4" s="18" t="s">
        <v>223</v>
      </c>
      <c r="U4" s="18" t="s">
        <v>130</v>
      </c>
      <c r="W4" s="18" t="s">
        <v>224</v>
      </c>
      <c r="Y4" s="18" t="s">
        <v>225</v>
      </c>
      <c r="AA4" s="18" t="s">
        <v>226</v>
      </c>
      <c r="AC4" s="18" t="s">
        <v>227</v>
      </c>
      <c r="AE4" s="18" t="s">
        <v>228</v>
      </c>
      <c r="AF4" s="18" t="s">
        <v>229</v>
      </c>
      <c r="AG4" s="18" t="s">
        <v>230</v>
      </c>
      <c r="AH4" s="18" t="s">
        <v>231</v>
      </c>
      <c r="AI4" s="18" t="s">
        <v>232</v>
      </c>
      <c r="AJ4" s="18" t="s">
        <v>233</v>
      </c>
      <c r="AK4" s="18" t="s">
        <v>234</v>
      </c>
      <c r="AL4" s="18" t="s">
        <v>235</v>
      </c>
      <c r="AM4" s="18" t="s">
        <v>236</v>
      </c>
      <c r="AN4" s="18" t="s">
        <v>237</v>
      </c>
      <c r="AO4" s="18" t="s">
        <v>238</v>
      </c>
      <c r="AP4" s="18" t="s">
        <v>239</v>
      </c>
      <c r="AQ4" s="18" t="s">
        <v>240</v>
      </c>
      <c r="AR4" s="18" t="s">
        <v>241</v>
      </c>
      <c r="AS4" s="18" t="s">
        <v>242</v>
      </c>
      <c r="AT4" s="18" t="s">
        <v>243</v>
      </c>
    </row>
    <row r="5" customFormat="false" ht="15" hidden="false" customHeight="false" outlineLevel="0" collapsed="false">
      <c r="B5" s="62" t="s">
        <v>244</v>
      </c>
      <c r="C5" s="63" t="n">
        <f aca="false">MAX(1,N(ProjectStartDate))</f>
        <v>46272</v>
      </c>
      <c r="D5" s="64" t="s">
        <v>245</v>
      </c>
      <c r="E5" s="2" t="s">
        <v>246</v>
      </c>
      <c r="G5" s="23" t="s">
        <v>247</v>
      </c>
      <c r="I5" s="23" t="s">
        <v>248</v>
      </c>
      <c r="K5" s="23" t="s">
        <v>9</v>
      </c>
      <c r="M5" s="23" t="s">
        <v>249</v>
      </c>
      <c r="O5" s="23" t="s">
        <v>250</v>
      </c>
      <c r="Q5" s="23" t="s">
        <v>251</v>
      </c>
      <c r="S5" s="23" t="n">
        <v>1</v>
      </c>
      <c r="U5" s="23" t="s">
        <v>252</v>
      </c>
      <c r="W5" s="23" t="s">
        <v>253</v>
      </c>
      <c r="Y5" s="23" t="s">
        <v>254</v>
      </c>
      <c r="AA5" s="23" t="s">
        <v>255</v>
      </c>
      <c r="AC5" s="23" t="s">
        <v>256</v>
      </c>
      <c r="AE5" s="23" t="s">
        <v>12</v>
      </c>
      <c r="AF5" s="23" t="n">
        <v>14</v>
      </c>
      <c r="AG5" s="23" t="n">
        <v>3</v>
      </c>
      <c r="AH5" s="23" t="n">
        <v>10</v>
      </c>
      <c r="AI5" s="23" t="s">
        <v>159</v>
      </c>
      <c r="AJ5" s="23" t="s">
        <v>257</v>
      </c>
      <c r="AK5" s="23" t="s">
        <v>258</v>
      </c>
      <c r="AL5" s="23" t="s">
        <v>259</v>
      </c>
      <c r="AM5" s="23" t="s">
        <v>260</v>
      </c>
      <c r="AN5" s="23" t="s">
        <v>150</v>
      </c>
      <c r="AO5" s="65" t="n">
        <v>0</v>
      </c>
      <c r="AP5" s="65" t="n">
        <v>0.15</v>
      </c>
      <c r="AQ5" s="65" t="n">
        <v>0.4</v>
      </c>
      <c r="AR5" s="65" t="n">
        <v>0.7</v>
      </c>
      <c r="AS5" s="65" t="n">
        <v>0.85</v>
      </c>
      <c r="AT5" s="65" t="n">
        <v>1</v>
      </c>
    </row>
    <row r="6" customFormat="false" ht="15" hidden="false" customHeight="false" outlineLevel="0" collapsed="false">
      <c r="B6" s="62" t="s">
        <v>261</v>
      </c>
      <c r="C6" s="63" t="n">
        <f aca="false">IF(N(StatusDateInput)&gt;0,StatusDateInput,ProjectStart)</f>
        <v>46320</v>
      </c>
      <c r="D6" s="64" t="s">
        <v>262</v>
      </c>
      <c r="E6" s="2" t="s">
        <v>263</v>
      </c>
      <c r="G6" s="23" t="s">
        <v>264</v>
      </c>
      <c r="I6" s="23" t="s">
        <v>265</v>
      </c>
      <c r="K6" s="23" t="s">
        <v>266</v>
      </c>
      <c r="M6" s="23" t="s">
        <v>267</v>
      </c>
      <c r="O6" s="23" t="s">
        <v>268</v>
      </c>
      <c r="Q6" s="23" t="s">
        <v>269</v>
      </c>
      <c r="S6" s="23" t="n">
        <v>7</v>
      </c>
      <c r="U6" s="23" t="s">
        <v>270</v>
      </c>
      <c r="W6" s="23" t="s">
        <v>271</v>
      </c>
      <c r="Y6" s="23" t="s">
        <v>153</v>
      </c>
      <c r="AA6" s="23" t="s">
        <v>272</v>
      </c>
      <c r="AC6" s="23" t="s">
        <v>273</v>
      </c>
      <c r="AE6" s="23" t="s">
        <v>274</v>
      </c>
      <c r="AF6" s="23" t="n">
        <v>28</v>
      </c>
      <c r="AG6" s="23" t="n">
        <v>5</v>
      </c>
      <c r="AH6" s="23" t="n">
        <v>15</v>
      </c>
      <c r="AI6" s="23" t="s">
        <v>159</v>
      </c>
      <c r="AJ6" s="23" t="s">
        <v>275</v>
      </c>
      <c r="AK6" s="23" t="s">
        <v>276</v>
      </c>
      <c r="AL6" s="23" t="s">
        <v>277</v>
      </c>
      <c r="AM6" s="23" t="s">
        <v>278</v>
      </c>
      <c r="AN6" s="23" t="s">
        <v>150</v>
      </c>
      <c r="AO6" s="65" t="n">
        <v>0</v>
      </c>
      <c r="AP6" s="65" t="n">
        <v>0.1</v>
      </c>
      <c r="AQ6" s="65" t="n">
        <v>0.5</v>
      </c>
      <c r="AR6" s="65" t="n">
        <v>0.85</v>
      </c>
      <c r="AS6" s="65" t="n">
        <v>0.95</v>
      </c>
      <c r="AT6" s="65" t="n">
        <v>1</v>
      </c>
    </row>
    <row r="7" customFormat="false" ht="15" hidden="false" customHeight="false" outlineLevel="0" collapsed="false">
      <c r="B7" s="62" t="s">
        <v>279</v>
      </c>
      <c r="C7" s="63" t="n">
        <f aca="false">WORKDAY.INTL(StatusDate-1,1,WorkWeek,Holidays)</f>
        <v>46321</v>
      </c>
      <c r="D7" s="64" t="s">
        <v>280</v>
      </c>
      <c r="E7" s="2"/>
      <c r="G7" s="23" t="s">
        <v>281</v>
      </c>
      <c r="K7" s="23" t="s">
        <v>282</v>
      </c>
      <c r="M7" s="23" t="s">
        <v>283</v>
      </c>
      <c r="Q7" s="23" t="s">
        <v>284</v>
      </c>
      <c r="S7" s="23" t="n">
        <v>30</v>
      </c>
      <c r="U7" s="23" t="s">
        <v>285</v>
      </c>
      <c r="W7" s="23" t="s">
        <v>286</v>
      </c>
      <c r="Y7" s="23" t="s">
        <v>287</v>
      </c>
      <c r="AA7" s="23" t="s">
        <v>288</v>
      </c>
      <c r="AC7" s="23" t="s">
        <v>272</v>
      </c>
      <c r="AE7" s="23" t="s">
        <v>289</v>
      </c>
      <c r="AF7" s="23" t="n">
        <v>14</v>
      </c>
      <c r="AG7" s="23" t="n">
        <v>2</v>
      </c>
      <c r="AH7" s="23" t="n">
        <v>5</v>
      </c>
      <c r="AI7" s="23" t="s">
        <v>159</v>
      </c>
      <c r="AJ7" s="23" t="s">
        <v>257</v>
      </c>
      <c r="AK7" s="23" t="s">
        <v>290</v>
      </c>
      <c r="AL7" s="23" t="s">
        <v>291</v>
      </c>
      <c r="AM7" s="23" t="s">
        <v>292</v>
      </c>
      <c r="AN7" s="23" t="s">
        <v>150</v>
      </c>
      <c r="AO7" s="65" t="n">
        <v>0</v>
      </c>
      <c r="AP7" s="65" t="n">
        <v>0.15</v>
      </c>
      <c r="AQ7" s="65" t="n">
        <v>0.5</v>
      </c>
      <c r="AR7" s="65" t="n">
        <v>0.8</v>
      </c>
      <c r="AS7" s="65" t="n">
        <v>0.95</v>
      </c>
      <c r="AT7" s="65" t="n">
        <v>1</v>
      </c>
    </row>
    <row r="8" customFormat="false" ht="15" hidden="false" customHeight="false" outlineLevel="0" collapsed="false">
      <c r="B8" s="62" t="s">
        <v>293</v>
      </c>
      <c r="C8" s="6" t="s">
        <v>250</v>
      </c>
      <c r="D8" s="64" t="s">
        <v>294</v>
      </c>
      <c r="E8" s="2" t="s">
        <v>295</v>
      </c>
      <c r="G8" s="23" t="s">
        <v>296</v>
      </c>
      <c r="K8" s="23" t="s">
        <v>297</v>
      </c>
      <c r="M8" s="23" t="s">
        <v>298</v>
      </c>
      <c r="S8" s="23" t="n">
        <v>91</v>
      </c>
      <c r="W8" s="23" t="s">
        <v>299</v>
      </c>
      <c r="AA8" s="23" t="s">
        <v>300</v>
      </c>
      <c r="AC8" s="23" t="s">
        <v>288</v>
      </c>
      <c r="AE8" s="23"/>
      <c r="AF8" s="23"/>
      <c r="AG8" s="23"/>
      <c r="AH8" s="23"/>
      <c r="AI8" s="23"/>
      <c r="AJ8" s="23"/>
      <c r="AK8" s="23"/>
      <c r="AL8" s="23"/>
      <c r="AM8" s="23"/>
      <c r="AN8" s="23"/>
      <c r="AO8" s="65"/>
      <c r="AP8" s="65"/>
      <c r="AQ8" s="65"/>
      <c r="AR8" s="65"/>
      <c r="AS8" s="65"/>
      <c r="AT8" s="65"/>
    </row>
    <row r="9" customFormat="false" ht="15" hidden="false" customHeight="false" outlineLevel="0" collapsed="false">
      <c r="B9" s="62" t="s">
        <v>301</v>
      </c>
      <c r="C9" s="65" t="n">
        <v>1</v>
      </c>
      <c r="D9" s="64" t="s">
        <v>302</v>
      </c>
      <c r="E9" s="2" t="s">
        <v>303</v>
      </c>
      <c r="M9" s="23" t="s">
        <v>304</v>
      </c>
      <c r="W9" s="23" t="s">
        <v>305</v>
      </c>
      <c r="AC9" s="23" t="s">
        <v>306</v>
      </c>
      <c r="AE9" s="23"/>
      <c r="AF9" s="23"/>
      <c r="AG9" s="23"/>
      <c r="AH9" s="23"/>
      <c r="AI9" s="23"/>
      <c r="AJ9" s="23"/>
      <c r="AK9" s="23"/>
      <c r="AL9" s="23"/>
      <c r="AM9" s="23"/>
      <c r="AN9" s="23"/>
      <c r="AO9" s="65"/>
      <c r="AP9" s="65"/>
      <c r="AQ9" s="65"/>
      <c r="AR9" s="65"/>
      <c r="AS9" s="65"/>
      <c r="AT9" s="65"/>
    </row>
    <row r="10" customFormat="false" ht="15" hidden="false" customHeight="false" outlineLevel="0" collapsed="false">
      <c r="B10" s="62" t="s">
        <v>307</v>
      </c>
      <c r="C10" s="6" t="s">
        <v>250</v>
      </c>
      <c r="D10" s="64" t="s">
        <v>308</v>
      </c>
      <c r="E10" s="2" t="s">
        <v>309</v>
      </c>
      <c r="M10" s="23" t="s">
        <v>310</v>
      </c>
      <c r="W10" s="23" t="s">
        <v>311</v>
      </c>
      <c r="AE10" s="23"/>
      <c r="AF10" s="23"/>
      <c r="AG10" s="23"/>
      <c r="AH10" s="23"/>
      <c r="AI10" s="23"/>
      <c r="AJ10" s="23"/>
      <c r="AK10" s="23"/>
      <c r="AL10" s="23"/>
      <c r="AM10" s="23"/>
      <c r="AN10" s="23"/>
      <c r="AO10" s="65"/>
      <c r="AP10" s="65"/>
      <c r="AQ10" s="65"/>
      <c r="AR10" s="65"/>
      <c r="AS10" s="65"/>
      <c r="AT10" s="65"/>
    </row>
    <row r="11" customFormat="false" ht="15" hidden="false" customHeight="false" outlineLevel="0" collapsed="false">
      <c r="B11" s="62" t="s">
        <v>312</v>
      </c>
      <c r="C11" s="6" t="s">
        <v>250</v>
      </c>
      <c r="D11" s="64" t="s">
        <v>313</v>
      </c>
      <c r="E11" s="2"/>
      <c r="M11" s="23" t="s">
        <v>314</v>
      </c>
    </row>
    <row r="12" customFormat="false" ht="15" hidden="false" customHeight="false" outlineLevel="0" collapsed="false">
      <c r="B12" s="62" t="s">
        <v>315</v>
      </c>
      <c r="C12" s="6" t="s">
        <v>250</v>
      </c>
      <c r="D12" s="64" t="s">
        <v>316</v>
      </c>
      <c r="E12" s="2"/>
      <c r="M12" s="23" t="s">
        <v>317</v>
      </c>
    </row>
    <row r="13" customFormat="false" ht="15" hidden="false" customHeight="false" outlineLevel="0" collapsed="false">
      <c r="B13" s="62" t="s">
        <v>318</v>
      </c>
      <c r="C13" s="6" t="s">
        <v>250</v>
      </c>
      <c r="D13" s="64" t="s">
        <v>319</v>
      </c>
      <c r="E13" s="2"/>
    </row>
    <row r="14" customFormat="false" ht="15" hidden="false" customHeight="false" outlineLevel="0" collapsed="false">
      <c r="B14" s="62" t="s">
        <v>320</v>
      </c>
      <c r="C14" s="6" t="s">
        <v>250</v>
      </c>
      <c r="D14" s="64" t="s">
        <v>321</v>
      </c>
      <c r="E14" s="2"/>
      <c r="G14" s="2" t="s">
        <v>322</v>
      </c>
    </row>
    <row r="15" customFormat="false" ht="15" hidden="false" customHeight="false" outlineLevel="0" collapsed="false">
      <c r="B15" s="62" t="s">
        <v>323</v>
      </c>
      <c r="C15" s="6" t="s">
        <v>268</v>
      </c>
      <c r="D15" s="64" t="s">
        <v>324</v>
      </c>
      <c r="E15" s="2"/>
    </row>
    <row r="16" customFormat="false" ht="15" hidden="false" customHeight="false" outlineLevel="0" collapsed="false">
      <c r="B16" s="62" t="s">
        <v>325</v>
      </c>
      <c r="C16" s="6" t="s">
        <v>268</v>
      </c>
      <c r="D16" s="64" t="s">
        <v>326</v>
      </c>
      <c r="E16" s="2"/>
    </row>
    <row r="17" customFormat="false" ht="15" hidden="false" customHeight="false" outlineLevel="0" collapsed="false">
      <c r="B17" s="62" t="s">
        <v>327</v>
      </c>
      <c r="C17" s="66" t="str">
        <f aca="false">IF(WorkingWeek="Mon-Fri","0000011",IF(WorkingWeek="Sun-Thu","0000110",IF(WorkingWeek="Mon-Sat","0000001",IF(WorkMon="Yes","0","1")&amp;IF(WorkTue="Yes","0","1")&amp;IF(WorkWed="Yes","0","1")&amp;IF(WorkThu="Yes","0","1")&amp;IF(WorkFri="Yes","0","1")&amp;IF(WorkSat="Yes","0","1")&amp;IF(WorkSun="Yes","0","1"))))</f>
        <v>0000011</v>
      </c>
      <c r="D17" s="64" t="s">
        <v>328</v>
      </c>
      <c r="E17" s="2" t="s">
        <v>329</v>
      </c>
    </row>
    <row r="18" customFormat="false" ht="15" hidden="false" customHeight="false" outlineLevel="0" collapsed="false">
      <c r="B18" s="62" t="s">
        <v>330</v>
      </c>
      <c r="C18" s="7" t="n">
        <f aca="false">MAX(ProjectStart,StatusDate-14)</f>
        <v>46306</v>
      </c>
      <c r="D18" s="64" t="s">
        <v>331</v>
      </c>
      <c r="E18" s="2" t="s">
        <v>332</v>
      </c>
    </row>
    <row r="19" customFormat="false" ht="15" hidden="false" customHeight="false" outlineLevel="0" collapsed="false">
      <c r="B19" s="62" t="s">
        <v>333</v>
      </c>
      <c r="C19" s="7" t="n">
        <f aca="false">ViewFrom-WEEKDAY(ViewFrom,3)</f>
        <v>46300</v>
      </c>
      <c r="D19" s="64" t="s">
        <v>334</v>
      </c>
      <c r="E19" s="2" t="s">
        <v>335</v>
      </c>
    </row>
    <row r="20" customFormat="false" ht="15" hidden="false" customHeight="false" outlineLevel="0" collapsed="false">
      <c r="B20" s="62" t="s">
        <v>336</v>
      </c>
      <c r="C20" s="67" t="n">
        <v>1</v>
      </c>
      <c r="D20" s="64" t="s">
        <v>337</v>
      </c>
      <c r="E20" s="2" t="s">
        <v>338</v>
      </c>
    </row>
    <row r="21" customFormat="false" ht="15" hidden="false" customHeight="false" outlineLevel="0" collapsed="false">
      <c r="B21" s="62" t="s">
        <v>339</v>
      </c>
      <c r="C21" s="67" t="n">
        <v>9</v>
      </c>
      <c r="D21" s="64" t="s">
        <v>340</v>
      </c>
      <c r="E21" s="2" t="s">
        <v>341</v>
      </c>
    </row>
    <row r="22" customFormat="false" ht="15" hidden="false" customHeight="false" outlineLevel="0" collapsed="false">
      <c r="B22" s="62" t="s">
        <v>342</v>
      </c>
      <c r="C22" s="6" t="s">
        <v>250</v>
      </c>
      <c r="D22" s="64" t="s">
        <v>343</v>
      </c>
      <c r="E22" s="2" t="s">
        <v>344</v>
      </c>
    </row>
    <row r="23" customFormat="false" ht="15" hidden="false" customHeight="false" outlineLevel="0" collapsed="false">
      <c r="B23" s="62" t="s">
        <v>345</v>
      </c>
      <c r="C23" s="68" t="n">
        <f aca="false">DATE(YEAR(ProjectStart),MONTH(ProjectStart),1)</f>
        <v>46266</v>
      </c>
      <c r="D23" s="64" t="s">
        <v>346</v>
      </c>
      <c r="E23" s="2" t="s">
        <v>347</v>
      </c>
    </row>
    <row r="24" customFormat="false" ht="15" hidden="false" customHeight="false" outlineLevel="0" collapsed="false">
      <c r="B24" s="62" t="s">
        <v>348</v>
      </c>
      <c r="C24" s="65" t="n">
        <v>0.8</v>
      </c>
      <c r="D24" s="64" t="s">
        <v>349</v>
      </c>
      <c r="E24" s="2" t="s">
        <v>350</v>
      </c>
    </row>
    <row r="25" customFormat="false" ht="15" hidden="false" customHeight="false" outlineLevel="0" collapsed="false">
      <c r="B25" s="62" t="s">
        <v>351</v>
      </c>
      <c r="C25" s="69" t="n">
        <f aca="false">MAX(tsk_People)</f>
        <v>2</v>
      </c>
      <c r="D25" s="64" t="s">
        <v>352</v>
      </c>
      <c r="E25" s="2" t="s">
        <v>353</v>
      </c>
    </row>
    <row r="26" customFormat="false" ht="15" hidden="false" customHeight="false" outlineLevel="0" collapsed="false">
      <c r="B26" s="62" t="s">
        <v>354</v>
      </c>
      <c r="C26" s="67" t="n">
        <v>0</v>
      </c>
      <c r="D26" s="64" t="s">
        <v>355</v>
      </c>
      <c r="E26" s="2" t="s">
        <v>356</v>
      </c>
    </row>
    <row r="27" customFormat="false" ht="15" hidden="false" customHeight="false" outlineLevel="0" collapsed="false">
      <c r="B27" s="62" t="s">
        <v>357</v>
      </c>
      <c r="C27" s="63" t="n">
        <f aca="false">MAX(tsk_LeafFcstFinish)</f>
        <v>46324</v>
      </c>
      <c r="D27" s="64" t="s">
        <v>358</v>
      </c>
      <c r="E27" s="2" t="s">
        <v>359</v>
      </c>
    </row>
    <row r="28" customFormat="false" ht="15" hidden="false" customHeight="false" outlineLevel="0" collapsed="false">
      <c r="B28" s="62" t="s">
        <v>360</v>
      </c>
      <c r="C28" s="63" t="n">
        <f aca="false">MAX(tsk_PlanFinish)</f>
        <v>46318</v>
      </c>
      <c r="D28" s="64" t="s">
        <v>361</v>
      </c>
      <c r="E28" s="2" t="s">
        <v>362</v>
      </c>
    </row>
    <row r="29" customFormat="false" ht="15" hidden="false" customHeight="false" outlineLevel="0" collapsed="false">
      <c r="B29" s="62" t="s">
        <v>363</v>
      </c>
      <c r="C29" s="66" t="n">
        <f aca="false">COUNT(tsk_BaseStart)&gt;0</f>
        <v>1</v>
      </c>
      <c r="D29" s="64" t="s">
        <v>364</v>
      </c>
      <c r="E29" s="2" t="s">
        <v>365</v>
      </c>
    </row>
    <row r="30" customFormat="false" ht="15" hidden="false" customHeight="false" outlineLevel="0" collapsed="false">
      <c r="B30" s="62" t="s">
        <v>366</v>
      </c>
      <c r="C30" s="70" t="n">
        <f aca="false">IF(ProjectFinish&gt;=PlannedFinish,NETWORKDAYS.INTL(PlannedFinish,ProjectFinish,WorkWeek,Holidays)-1,1-NETWORKDAYS.INTL(ProjectFinish,PlannedFinish,WorkWeek,Holidays))</f>
        <v>4</v>
      </c>
      <c r="D30" s="64" t="s">
        <v>367</v>
      </c>
      <c r="E30" s="2" t="s">
        <v>368</v>
      </c>
    </row>
    <row r="31" customFormat="false" ht="15" hidden="false" customHeight="false" outlineLevel="0" collapsed="false">
      <c r="B31" s="62" t="s">
        <v>369</v>
      </c>
      <c r="C31" s="67" t="n">
        <v>10</v>
      </c>
      <c r="D31" s="64" t="s">
        <v>370</v>
      </c>
      <c r="E31" s="2" t="s">
        <v>371</v>
      </c>
    </row>
    <row r="32" customFormat="false" ht="15" hidden="false" customHeight="false" outlineLevel="0" collapsed="false">
      <c r="B32" s="62" t="s">
        <v>372</v>
      </c>
      <c r="C32" s="63" t="n">
        <f aca="false">WORKDAY.INTL(StatusDate-1,LookaheadDays,WorkWeek,Holidays)</f>
        <v>46332</v>
      </c>
      <c r="D32" s="64" t="s">
        <v>373</v>
      </c>
      <c r="E32" s="2"/>
    </row>
    <row r="33" customFormat="false" ht="15" hidden="false" customHeight="false" outlineLevel="0" collapsed="false">
      <c r="B33" s="62" t="s">
        <v>374</v>
      </c>
      <c r="C33" s="67" t="n">
        <f aca="false">IFERROR(INDEX(ProjectPresets[Amber Slip],MATCH(ProjectType,ProjectPresets[Project Type],0)),3)</f>
        <v>3</v>
      </c>
      <c r="D33" s="64" t="s">
        <v>375</v>
      </c>
      <c r="E33" s="2" t="s">
        <v>376</v>
      </c>
    </row>
    <row r="34" customFormat="false" ht="15" hidden="false" customHeight="false" outlineLevel="0" collapsed="false">
      <c r="B34" s="62" t="s">
        <v>377</v>
      </c>
      <c r="C34" s="67" t="n">
        <f aca="false">IFERROR(INDEX(ProjectPresets[Red Slip],MATCH(ProjectType,ProjectPresets[Project Type],0)),10)</f>
        <v>10</v>
      </c>
      <c r="D34" s="64" t="s">
        <v>378</v>
      </c>
      <c r="E34" s="2" t="s">
        <v>379</v>
      </c>
    </row>
    <row r="35" customFormat="false" ht="15" hidden="false" customHeight="false" outlineLevel="0" collapsed="false">
      <c r="B35" s="62" t="s">
        <v>380</v>
      </c>
      <c r="C35" s="71" t="n">
        <v>0.95</v>
      </c>
      <c r="D35" s="64" t="s">
        <v>381</v>
      </c>
      <c r="E35" s="2" t="s">
        <v>382</v>
      </c>
    </row>
    <row r="36" customFormat="false" ht="15" hidden="false" customHeight="false" outlineLevel="0" collapsed="false">
      <c r="B36" s="62" t="s">
        <v>383</v>
      </c>
      <c r="C36" s="71" t="n">
        <v>0.85</v>
      </c>
      <c r="D36" s="64" t="s">
        <v>384</v>
      </c>
      <c r="E36" s="2"/>
    </row>
    <row r="37" customFormat="false" ht="15" hidden="false" customHeight="false" outlineLevel="0" collapsed="false">
      <c r="B37" s="62" t="s">
        <v>385</v>
      </c>
      <c r="C37" s="67" t="n">
        <v>15</v>
      </c>
      <c r="D37" s="64" t="s">
        <v>386</v>
      </c>
      <c r="E37" s="2" t="s">
        <v>387</v>
      </c>
    </row>
    <row r="38" customFormat="false" ht="15" hidden="false" customHeight="false" outlineLevel="0" collapsed="false">
      <c r="B38" s="62" t="s">
        <v>388</v>
      </c>
      <c r="C38" s="67" t="n">
        <v>8</v>
      </c>
      <c r="D38" s="64" t="s">
        <v>389</v>
      </c>
      <c r="E38" s="2"/>
    </row>
    <row r="39" customFormat="false" ht="15" hidden="false" customHeight="false" outlineLevel="0" collapsed="false">
      <c r="B39" s="62" t="s">
        <v>390</v>
      </c>
      <c r="C39" s="7" t="n">
        <f aca="false">MAX(2,ViewFrom-WEEKDAY(ViewFrom,3))</f>
        <v>46300</v>
      </c>
      <c r="D39" s="64" t="s">
        <v>391</v>
      </c>
      <c r="E39" s="2" t="s">
        <v>392</v>
      </c>
    </row>
    <row r="40" customFormat="false" ht="15" hidden="false" customHeight="false" outlineLevel="0" collapsed="false">
      <c r="B40" s="62" t="s">
        <v>393</v>
      </c>
      <c r="C40" s="69" t="n">
        <f aca="false">MAX(tsk_UID)+1</f>
        <v>214</v>
      </c>
      <c r="D40" s="64" t="s">
        <v>394</v>
      </c>
      <c r="E40" s="2" t="s">
        <v>395</v>
      </c>
    </row>
    <row r="41" customFormat="false" ht="15" hidden="false" customHeight="false" outlineLevel="0" collapsed="false">
      <c r="B41" s="62" t="s">
        <v>396</v>
      </c>
      <c r="C41" s="6" t="s">
        <v>268</v>
      </c>
      <c r="D41" s="64" t="s">
        <v>397</v>
      </c>
      <c r="E41" s="2" t="s">
        <v>398</v>
      </c>
    </row>
    <row r="42" customFormat="false" ht="15" hidden="false" customHeight="false" outlineLevel="0" collapsed="false">
      <c r="B42" s="62" t="s">
        <v>399</v>
      </c>
      <c r="C42" s="69" t="n">
        <f aca="false">COUNTIF(tsk_Issues,"*is used twice*")</f>
        <v>0</v>
      </c>
      <c r="D42" s="64" t="s">
        <v>400</v>
      </c>
      <c r="E42" s="2" t="s">
        <v>401</v>
      </c>
    </row>
    <row r="43" customFormat="false" ht="15" hidden="false" customHeight="false" outlineLevel="0" collapsed="false">
      <c r="B43" s="62" t="s">
        <v>402</v>
      </c>
      <c r="C43" s="69" t="n">
        <f aca="false">COUNTIF(tsk_Issues,"No UID*")</f>
        <v>0</v>
      </c>
      <c r="D43" s="64" t="s">
        <v>403</v>
      </c>
      <c r="E43" s="2" t="s">
        <v>404</v>
      </c>
    </row>
    <row r="44" customFormat="false" ht="15" hidden="false" customHeight="false" outlineLevel="0" collapsed="false">
      <c r="B44" s="62" t="s">
        <v>405</v>
      </c>
      <c r="C44" s="6" t="s">
        <v>268</v>
      </c>
      <c r="D44" s="64" t="s">
        <v>70</v>
      </c>
      <c r="E44" s="2" t="s">
        <v>406</v>
      </c>
    </row>
    <row r="45" customFormat="false" ht="15" hidden="false" customHeight="false" outlineLevel="0" collapsed="false">
      <c r="B45" s="62" t="s">
        <v>407</v>
      </c>
      <c r="C45" s="63" t="n">
        <f aca="false">WORKDAY.INTL(ProjectFinish,ROUND(SUMIFS(tsk_PertShift,tsk_Critical,"Yes",tsk_IsLeaf,1),0),WorkWeek,Holidays)</f>
        <v>46322</v>
      </c>
      <c r="D45" s="64" t="s">
        <v>408</v>
      </c>
      <c r="E45" s="2" t="s">
        <v>409</v>
      </c>
    </row>
    <row r="46" customFormat="false" ht="15" hidden="false" customHeight="false" outlineLevel="0" collapsed="false">
      <c r="B46" s="62" t="s">
        <v>410</v>
      </c>
      <c r="C46" s="63" t="n">
        <f aca="false">WORKDAY.INTL(ProjectFinish,ROUND(SUMIFS(tsk_PertShift,tsk_Critical,"Yes",tsk_IsLeaf,1)+0.84*SQRT(SUMIFS(tsk_PertVariance,tsk_Critical,"Yes",tsk_IsLeaf,1)),0),WorkWeek,Holidays)</f>
        <v>46323</v>
      </c>
      <c r="D46" s="64" t="s">
        <v>411</v>
      </c>
      <c r="E46" s="2" t="s">
        <v>412</v>
      </c>
    </row>
    <row r="48" customFormat="false" ht="15" hidden="false" customHeight="false" outlineLevel="0" collapsed="false">
      <c r="B48" s="28" t="s">
        <v>413</v>
      </c>
    </row>
    <row r="49" customFormat="false" ht="15" hidden="false" customHeight="false" outlineLevel="0" collapsed="false">
      <c r="B49" s="18" t="s">
        <v>414</v>
      </c>
      <c r="C49" s="18" t="s">
        <v>415</v>
      </c>
    </row>
    <row r="50" customFormat="false" ht="15" hidden="false" customHeight="false" outlineLevel="0" collapsed="false">
      <c r="B50" s="23" t="str">
        <f aca="false">IFERROR(INDEX(ProjectPresets[[Stage 1]:[Stage 6]],MATCH(ProjectType,ProjectPresets[Project Type],0),ROW()-ROW(StageTable[[#Headers],[Stage]]))&amp;"","")</f>
        <v>Not Started</v>
      </c>
      <c r="C50" s="65" t="n">
        <f aca="false">N(IFERROR(INDEX(ProjectPresets[[% 1]:[% 6]],MATCH(ProjectType,ProjectPresets[Project Type],0),ROW()-ROW(StageTable[[#Headers],[Stage]])),0))</f>
        <v>0</v>
      </c>
    </row>
    <row r="51" customFormat="false" ht="15" hidden="false" customHeight="false" outlineLevel="0" collapsed="false">
      <c r="B51" s="23" t="str">
        <f aca="false">IFERROR(INDEX(ProjectPresets[[Stage 1]:[Stage 6]],MATCH(ProjectType,ProjectPresets[Project Type],0),ROW()-ROW(StageTable[[#Headers],[Stage]]))&amp;"","")</f>
        <v>Design</v>
      </c>
      <c r="C51" s="65" t="n">
        <f aca="false">N(IFERROR(INDEX(ProjectPresets[[% 1]:[% 6]],MATCH(ProjectType,ProjectPresets[Project Type],0),ROW()-ROW(StageTable[[#Headers],[Stage]])),0))</f>
        <v>0.15</v>
      </c>
    </row>
    <row r="52" customFormat="false" ht="15" hidden="false" customHeight="false" outlineLevel="0" collapsed="false">
      <c r="B52" s="23" t="str">
        <f aca="false">IFERROR(INDEX(ProjectPresets[[Stage 1]:[Stage 6]],MATCH(ProjectType,ProjectPresets[Project Type],0),ROW()-ROW(StageTable[[#Headers],[Stage]]))&amp;"","")</f>
        <v>In Development</v>
      </c>
      <c r="C52" s="65" t="n">
        <f aca="false">N(IFERROR(INDEX(ProjectPresets[[% 1]:[% 6]],MATCH(ProjectType,ProjectPresets[Project Type],0),ROW()-ROW(StageTable[[#Headers],[Stage]])),0))</f>
        <v>0.4</v>
      </c>
    </row>
    <row r="53" customFormat="false" ht="15" hidden="false" customHeight="false" outlineLevel="0" collapsed="false">
      <c r="B53" s="23" t="str">
        <f aca="false">IFERROR(INDEX(ProjectPresets[[Stage 1]:[Stage 6]],MATCH(ProjectType,ProjectPresets[Project Type],0),ROW()-ROW(StageTable[[#Headers],[Stage]]))&amp;"","")</f>
        <v>Test Ready</v>
      </c>
      <c r="C53" s="65" t="n">
        <f aca="false">N(IFERROR(INDEX(ProjectPresets[[% 1]:[% 6]],MATCH(ProjectType,ProjectPresets[Project Type],0),ROW()-ROW(StageTable[[#Headers],[Stage]])),0))</f>
        <v>0.7</v>
      </c>
    </row>
    <row r="54" customFormat="false" ht="15" hidden="false" customHeight="false" outlineLevel="0" collapsed="false">
      <c r="B54" s="23" t="str">
        <f aca="false">IFERROR(INDEX(ProjectPresets[[Stage 1]:[Stage 6]],MATCH(ProjectType,ProjectPresets[Project Type],0),ROW()-ROW(StageTable[[#Headers],[Stage]]))&amp;"","")</f>
        <v>In Testing</v>
      </c>
      <c r="C54" s="65" t="n">
        <f aca="false">N(IFERROR(INDEX(ProjectPresets[[% 1]:[% 6]],MATCH(ProjectType,ProjectPresets[Project Type],0),ROW()-ROW(StageTable[[#Headers],[Stage]])),0))</f>
        <v>0.85</v>
      </c>
    </row>
    <row r="55" customFormat="false" ht="15" hidden="false" customHeight="false" outlineLevel="0" collapsed="false">
      <c r="B55" s="23" t="str">
        <f aca="false">IFERROR(INDEX(ProjectPresets[[Stage 1]:[Stage 6]],MATCH(ProjectType,ProjectPresets[Project Type],0),ROW()-ROW(StageTable[[#Headers],[Stage]]))&amp;"","")</f>
        <v>Complete</v>
      </c>
      <c r="C55" s="65" t="n">
        <f aca="false">N(IFERROR(INDEX(ProjectPresets[[% 1]:[% 6]],MATCH(ProjectType,ProjectPresets[Project Type],0),ROW()-ROW(StageTable[[#Headers],[Stage]])),0))</f>
        <v>1</v>
      </c>
    </row>
    <row r="57" customFormat="false" ht="15" hidden="false" customHeight="false" outlineLevel="0" collapsed="false">
      <c r="B57" s="28" t="s">
        <v>416</v>
      </c>
    </row>
    <row r="58" customFormat="false" ht="15" hidden="false" customHeight="false" outlineLevel="0" collapsed="false">
      <c r="B58" s="18" t="s">
        <v>417</v>
      </c>
      <c r="C58" s="18" t="s">
        <v>418</v>
      </c>
    </row>
    <row r="59" customFormat="false" ht="15" hidden="false" customHeight="false" outlineLevel="0" collapsed="false">
      <c r="B59" s="7" t="n">
        <v>46380</v>
      </c>
      <c r="C59" s="23" t="s">
        <v>419</v>
      </c>
    </row>
    <row r="60" customFormat="false" ht="15" hidden="false" customHeight="false" outlineLevel="0" collapsed="false">
      <c r="B60" s="7" t="n">
        <v>46381</v>
      </c>
      <c r="C60" s="23" t="s">
        <v>420</v>
      </c>
    </row>
    <row r="61" customFormat="false" ht="15" hidden="false" customHeight="false" outlineLevel="0" collapsed="false">
      <c r="B61" s="7" t="n">
        <v>46387</v>
      </c>
      <c r="C61" s="23" t="s">
        <v>421</v>
      </c>
    </row>
    <row r="62" customFormat="false" ht="15" hidden="false" customHeight="false" outlineLevel="0" collapsed="false">
      <c r="B62" s="7" t="n">
        <v>46388</v>
      </c>
      <c r="C62" s="23" t="s">
        <v>422</v>
      </c>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row r="156" customFormat="false" ht="15" hidden="false" customHeight="false" outlineLevel="0" collapsed="false">
      <c r="B156" s="7"/>
      <c r="C156" s="23"/>
    </row>
    <row r="157" customFormat="false" ht="15" hidden="false" customHeight="false" outlineLevel="0" collapsed="false">
      <c r="B157" s="7"/>
      <c r="C157" s="23"/>
    </row>
    <row r="158" customFormat="false" ht="15" hidden="false" customHeight="false" outlineLevel="0" collapsed="false">
      <c r="B158" s="7"/>
      <c r="C158" s="23"/>
    </row>
  </sheetData>
  <dataValidations count="3">
    <dataValidation allowBlank="false" errorStyle="stop" operator="between" showDropDown="false" showErrorMessage="false" showInputMessage="false" sqref="C8 C10:C16 C22 C41 C44"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NB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false" outlineLevel="0" max="73" min="73" style="0" width="16"/>
    <col collapsed="false" customWidth="true" hidden="true" outlineLevel="1" max="75" min="74" style="0" width="18"/>
    <col collapsed="false" customWidth="true" hidden="false" outlineLevel="0" max="76" min="76" style="0" width="9"/>
    <col collapsed="false" customWidth="true" hidden="true" outlineLevel="1" max="78" min="77" style="0" width="9"/>
    <col collapsed="false" customWidth="true" hidden="true" outlineLevel="1" max="79" min="79" style="0" width="10"/>
    <col collapsed="false" customWidth="true" hidden="true" outlineLevel="2" max="213" min="80" style="0" width="11"/>
    <col collapsed="false" customWidth="true" hidden="true" outlineLevel="2" max="215" min="214" style="0" width="8"/>
    <col collapsed="false" customWidth="true" hidden="false" outlineLevel="0" max="216" min="216" style="0" width="1"/>
    <col collapsed="false" customWidth="true" hidden="false" outlineLevel="0" max="366" min="217" style="0" width="2.9"/>
  </cols>
  <sheetData>
    <row r="1" customFormat="false" ht="19.7" hidden="false" customHeight="false" outlineLevel="0" collapsed="false">
      <c r="A1" s="14" t="str">
        <f aca="false">ProjectName&amp;"  -  Task Entry"</f>
        <v>Customer Portal Implementation  -  Task Entry</v>
      </c>
      <c r="HI1" s="72"/>
      <c r="HJ1" s="73" t="s">
        <v>208</v>
      </c>
      <c r="HT1" s="56"/>
      <c r="HU1" s="73" t="s">
        <v>423</v>
      </c>
      <c r="IE1" s="74"/>
      <c r="IF1" s="73" t="s">
        <v>424</v>
      </c>
      <c r="IP1" s="75"/>
      <c r="IQ1" s="73" t="s">
        <v>425</v>
      </c>
      <c r="JA1" s="57"/>
      <c r="JB1" s="73" t="s">
        <v>426</v>
      </c>
      <c r="JL1" s="76"/>
      <c r="JM1" s="73" t="s">
        <v>427</v>
      </c>
    </row>
    <row r="2" customFormat="false" ht="15" hidden="false" customHeight="false" outlineLevel="0" collapsed="false">
      <c r="A2" s="2" t="s">
        <v>428</v>
      </c>
      <c r="HI2" s="77"/>
      <c r="HJ2" s="73" t="s">
        <v>429</v>
      </c>
      <c r="HT2" s="59"/>
      <c r="HU2" s="73" t="s">
        <v>430</v>
      </c>
      <c r="IE2" s="60"/>
      <c r="IF2" s="73" t="s">
        <v>204</v>
      </c>
      <c r="IP2" s="78"/>
      <c r="IQ2" s="73" t="s">
        <v>431</v>
      </c>
      <c r="JA2" s="79"/>
      <c r="JB2" s="73" t="s">
        <v>432</v>
      </c>
    </row>
    <row r="3" customFormat="false" ht="15" hidden="false" customHeight="false" outlineLevel="0" collapsed="false">
      <c r="A3" s="28" t="str">
        <f aca="false">"Next free UID for a new row: "&amp;NextFreeUID</f>
        <v>Next free UID for a new row: 214</v>
      </c>
      <c r="AA3" s="80" t="s">
        <v>433</v>
      </c>
      <c r="H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N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N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434</v>
      </c>
      <c r="F4" s="28" t="s">
        <v>435</v>
      </c>
      <c r="H4" s="28" t="s">
        <v>436</v>
      </c>
      <c r="S4" s="28" t="s">
        <v>437</v>
      </c>
      <c r="T4" s="28" t="s">
        <v>438</v>
      </c>
      <c r="AB4" s="28" t="s">
        <v>439</v>
      </c>
      <c r="AJ4" s="28" t="s">
        <v>440</v>
      </c>
      <c r="AN4" s="28" t="s">
        <v>441</v>
      </c>
      <c r="BE4" s="28" t="s">
        <v>442</v>
      </c>
      <c r="BI4" s="28" t="s">
        <v>443</v>
      </c>
      <c r="BK4" s="28" t="s">
        <v>444</v>
      </c>
      <c r="BU4" s="28" t="s">
        <v>66</v>
      </c>
      <c r="BX4" s="28" t="s">
        <v>445</v>
      </c>
      <c r="CB4" s="28" t="s">
        <v>446</v>
      </c>
      <c r="H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H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N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447</v>
      </c>
      <c r="B5" s="18" t="s">
        <v>448</v>
      </c>
      <c r="C5" s="18" t="s">
        <v>449</v>
      </c>
      <c r="D5" s="18" t="s">
        <v>450</v>
      </c>
      <c r="E5" s="18" t="s">
        <v>60</v>
      </c>
      <c r="F5" s="18" t="s">
        <v>451</v>
      </c>
      <c r="G5" s="18" t="s">
        <v>452</v>
      </c>
      <c r="H5" s="18" t="s">
        <v>453</v>
      </c>
      <c r="I5" s="18" t="s">
        <v>454</v>
      </c>
      <c r="J5" s="18" t="s">
        <v>455</v>
      </c>
      <c r="K5" s="18" t="s">
        <v>456</v>
      </c>
      <c r="L5" s="18" t="s">
        <v>457</v>
      </c>
      <c r="M5" s="18" t="s">
        <v>458</v>
      </c>
      <c r="N5" s="18" t="s">
        <v>459</v>
      </c>
      <c r="O5" s="18" t="s">
        <v>460</v>
      </c>
      <c r="P5" s="18" t="s">
        <v>461</v>
      </c>
      <c r="Q5" s="18" t="s">
        <v>462</v>
      </c>
      <c r="R5" s="18" t="s">
        <v>83</v>
      </c>
      <c r="S5" s="18" t="s">
        <v>463</v>
      </c>
      <c r="T5" s="18" t="s">
        <v>464</v>
      </c>
      <c r="U5" s="18" t="s">
        <v>465</v>
      </c>
      <c r="V5" s="18" t="s">
        <v>466</v>
      </c>
      <c r="W5" s="18" t="s">
        <v>467</v>
      </c>
      <c r="X5" s="18" t="s">
        <v>468</v>
      </c>
      <c r="Y5" s="18" t="s">
        <v>469</v>
      </c>
      <c r="Z5" s="18" t="s">
        <v>470</v>
      </c>
      <c r="AA5" s="18" t="s">
        <v>177</v>
      </c>
      <c r="AB5" s="18" t="s">
        <v>414</v>
      </c>
      <c r="AC5" s="18" t="s">
        <v>471</v>
      </c>
      <c r="AD5" s="18" t="s">
        <v>472</v>
      </c>
      <c r="AE5" s="17" t="s">
        <v>183</v>
      </c>
      <c r="AF5" s="17" t="s">
        <v>178</v>
      </c>
      <c r="AG5" s="17" t="s">
        <v>473</v>
      </c>
      <c r="AH5" s="18" t="s">
        <v>187</v>
      </c>
      <c r="AI5" s="17" t="s">
        <v>474</v>
      </c>
      <c r="AJ5" s="18" t="s">
        <v>204</v>
      </c>
      <c r="AK5" s="18" t="s">
        <v>85</v>
      </c>
      <c r="AL5" s="18" t="s">
        <v>220</v>
      </c>
      <c r="AM5" s="18" t="s">
        <v>475</v>
      </c>
      <c r="AN5" s="17" t="s">
        <v>179</v>
      </c>
      <c r="AO5" s="17" t="s">
        <v>146</v>
      </c>
      <c r="AP5" s="17" t="s">
        <v>180</v>
      </c>
      <c r="AQ5" s="17" t="s">
        <v>196</v>
      </c>
      <c r="AR5" s="17" t="s">
        <v>197</v>
      </c>
      <c r="AS5" s="17" t="s">
        <v>476</v>
      </c>
      <c r="AT5" s="17" t="s">
        <v>157</v>
      </c>
      <c r="AU5" s="17" t="s">
        <v>477</v>
      </c>
      <c r="AV5" s="17" t="s">
        <v>184</v>
      </c>
      <c r="AW5" s="17" t="s">
        <v>478</v>
      </c>
      <c r="AX5" s="17" t="s">
        <v>182</v>
      </c>
      <c r="AY5" s="17" t="s">
        <v>479</v>
      </c>
      <c r="AZ5" s="18" t="s">
        <v>415</v>
      </c>
      <c r="BA5" s="17" t="s">
        <v>181</v>
      </c>
      <c r="BB5" s="17" t="s">
        <v>480</v>
      </c>
      <c r="BC5" s="17" t="s">
        <v>193</v>
      </c>
      <c r="BD5" s="17" t="s">
        <v>481</v>
      </c>
      <c r="BE5" s="17" t="s">
        <v>251</v>
      </c>
      <c r="BF5" s="18" t="s">
        <v>195</v>
      </c>
      <c r="BG5" s="17" t="s">
        <v>482</v>
      </c>
      <c r="BH5" s="17" t="s">
        <v>483</v>
      </c>
      <c r="BI5" s="18" t="s">
        <v>484</v>
      </c>
      <c r="BJ5" s="18" t="s">
        <v>485</v>
      </c>
      <c r="BK5" s="17" t="s">
        <v>486</v>
      </c>
      <c r="BL5" s="17" t="s">
        <v>487</v>
      </c>
      <c r="BM5" s="17" t="s">
        <v>488</v>
      </c>
      <c r="BN5" s="17" t="s">
        <v>489</v>
      </c>
      <c r="BO5" s="17" t="s">
        <v>490</v>
      </c>
      <c r="BP5" s="17" t="s">
        <v>491</v>
      </c>
      <c r="BQ5" s="18" t="s">
        <v>492</v>
      </c>
      <c r="BR5" s="18" t="s">
        <v>493</v>
      </c>
      <c r="BS5" s="18" t="s">
        <v>494</v>
      </c>
      <c r="BT5" s="18" t="s">
        <v>495</v>
      </c>
      <c r="BU5" s="18" t="s">
        <v>496</v>
      </c>
      <c r="BV5" s="18" t="s">
        <v>497</v>
      </c>
      <c r="BW5" s="18" t="s">
        <v>498</v>
      </c>
      <c r="BX5" s="17" t="s">
        <v>499</v>
      </c>
      <c r="BY5" s="18" t="s">
        <v>500</v>
      </c>
      <c r="BZ5" s="18" t="s">
        <v>501</v>
      </c>
      <c r="CA5" s="18" t="s">
        <v>502</v>
      </c>
      <c r="CB5" s="42" t="s">
        <v>503</v>
      </c>
      <c r="CC5" s="42" t="s">
        <v>504</v>
      </c>
      <c r="CD5" s="42" t="s">
        <v>505</v>
      </c>
      <c r="CE5" s="42" t="s">
        <v>506</v>
      </c>
      <c r="CF5" s="42" t="s">
        <v>507</v>
      </c>
      <c r="CG5" s="42" t="s">
        <v>508</v>
      </c>
      <c r="CH5" s="42" t="s">
        <v>509</v>
      </c>
      <c r="CI5" s="42" t="s">
        <v>510</v>
      </c>
      <c r="CJ5" s="42" t="s">
        <v>511</v>
      </c>
      <c r="CK5" s="42" t="s">
        <v>512</v>
      </c>
      <c r="CL5" s="42" t="s">
        <v>513</v>
      </c>
      <c r="CM5" s="42" t="s">
        <v>514</v>
      </c>
      <c r="CN5" s="42" t="s">
        <v>515</v>
      </c>
      <c r="CO5" s="42" t="s">
        <v>516</v>
      </c>
      <c r="CP5" s="42" t="s">
        <v>517</v>
      </c>
      <c r="CQ5" s="42" t="s">
        <v>518</v>
      </c>
      <c r="CR5" s="42" t="s">
        <v>519</v>
      </c>
      <c r="CS5" s="42" t="s">
        <v>520</v>
      </c>
      <c r="CT5" s="42" t="s">
        <v>521</v>
      </c>
      <c r="CU5" s="42" t="s">
        <v>522</v>
      </c>
      <c r="CV5" s="42" t="s">
        <v>523</v>
      </c>
      <c r="CW5" s="42" t="s">
        <v>524</v>
      </c>
      <c r="CX5" s="42" t="s">
        <v>525</v>
      </c>
      <c r="CY5" s="42" t="s">
        <v>526</v>
      </c>
      <c r="CZ5" s="42" t="s">
        <v>527</v>
      </c>
      <c r="DA5" s="42" t="s">
        <v>528</v>
      </c>
      <c r="DB5" s="42" t="s">
        <v>529</v>
      </c>
      <c r="DC5" s="42" t="s">
        <v>530</v>
      </c>
      <c r="DD5" s="42" t="s">
        <v>531</v>
      </c>
      <c r="DE5" s="42" t="s">
        <v>532</v>
      </c>
      <c r="DF5" s="42" t="s">
        <v>533</v>
      </c>
      <c r="DG5" s="42" t="s">
        <v>534</v>
      </c>
      <c r="DH5" s="42" t="s">
        <v>535</v>
      </c>
      <c r="DI5" s="42" t="s">
        <v>536</v>
      </c>
      <c r="DJ5" s="42" t="s">
        <v>537</v>
      </c>
      <c r="DK5" s="42" t="s">
        <v>538</v>
      </c>
      <c r="DL5" s="42" t="s">
        <v>539</v>
      </c>
      <c r="DM5" s="42" t="s">
        <v>540</v>
      </c>
      <c r="DN5" s="42" t="s">
        <v>541</v>
      </c>
      <c r="DO5" s="42" t="s">
        <v>542</v>
      </c>
      <c r="DP5" s="42" t="s">
        <v>543</v>
      </c>
      <c r="DQ5" s="42" t="s">
        <v>544</v>
      </c>
      <c r="DR5" s="42" t="s">
        <v>545</v>
      </c>
      <c r="DS5" s="42" t="s">
        <v>546</v>
      </c>
      <c r="DT5" s="42" t="s">
        <v>547</v>
      </c>
      <c r="DU5" s="42" t="s">
        <v>548</v>
      </c>
      <c r="DV5" s="42" t="s">
        <v>549</v>
      </c>
      <c r="DW5" s="42" t="s">
        <v>550</v>
      </c>
      <c r="DX5" s="42" t="s">
        <v>551</v>
      </c>
      <c r="DY5" s="42" t="s">
        <v>552</v>
      </c>
      <c r="DZ5" s="42" t="s">
        <v>553</v>
      </c>
      <c r="EA5" s="42" t="s">
        <v>554</v>
      </c>
      <c r="EB5" s="42" t="s">
        <v>555</v>
      </c>
      <c r="EC5" s="42" t="s">
        <v>556</v>
      </c>
      <c r="ED5" s="42" t="s">
        <v>557</v>
      </c>
      <c r="EE5" s="42" t="s">
        <v>558</v>
      </c>
      <c r="EF5" s="42" t="s">
        <v>559</v>
      </c>
      <c r="EG5" s="42" t="s">
        <v>560</v>
      </c>
      <c r="EH5" s="42" t="s">
        <v>561</v>
      </c>
      <c r="EI5" s="42" t="s">
        <v>562</v>
      </c>
      <c r="EJ5" s="42" t="s">
        <v>563</v>
      </c>
      <c r="EK5" s="42" t="s">
        <v>564</v>
      </c>
      <c r="EL5" s="42" t="s">
        <v>565</v>
      </c>
      <c r="EM5" s="42" t="s">
        <v>566</v>
      </c>
      <c r="EN5" s="42" t="s">
        <v>567</v>
      </c>
      <c r="EO5" s="42" t="s">
        <v>568</v>
      </c>
      <c r="EP5" s="42" t="s">
        <v>569</v>
      </c>
      <c r="EQ5" s="42" t="s">
        <v>570</v>
      </c>
      <c r="ER5" s="42" t="s">
        <v>571</v>
      </c>
      <c r="ES5" s="42" t="s">
        <v>572</v>
      </c>
      <c r="ET5" s="42" t="s">
        <v>573</v>
      </c>
      <c r="EU5" s="42" t="s">
        <v>574</v>
      </c>
      <c r="EV5" s="42" t="s">
        <v>575</v>
      </c>
      <c r="EW5" s="42" t="s">
        <v>576</v>
      </c>
      <c r="EX5" s="42" t="s">
        <v>577</v>
      </c>
      <c r="EY5" s="42" t="s">
        <v>578</v>
      </c>
      <c r="EZ5" s="42" t="s">
        <v>579</v>
      </c>
      <c r="FA5" s="42" t="s">
        <v>580</v>
      </c>
      <c r="FB5" s="42" t="s">
        <v>581</v>
      </c>
      <c r="FC5" s="42" t="s">
        <v>582</v>
      </c>
      <c r="FD5" s="42" t="s">
        <v>583</v>
      </c>
      <c r="FE5" s="42" t="s">
        <v>584</v>
      </c>
      <c r="FF5" s="42" t="s">
        <v>585</v>
      </c>
      <c r="FG5" s="42" t="s">
        <v>586</v>
      </c>
      <c r="FH5" s="42" t="s">
        <v>587</v>
      </c>
      <c r="FI5" s="42" t="s">
        <v>588</v>
      </c>
      <c r="FJ5" s="42" t="s">
        <v>589</v>
      </c>
      <c r="FK5" s="42" t="s">
        <v>590</v>
      </c>
      <c r="FL5" s="42" t="s">
        <v>591</v>
      </c>
      <c r="FM5" s="42" t="s">
        <v>592</v>
      </c>
      <c r="FN5" s="42" t="s">
        <v>593</v>
      </c>
      <c r="FO5" s="42" t="s">
        <v>594</v>
      </c>
      <c r="FP5" s="42" t="s">
        <v>595</v>
      </c>
      <c r="FQ5" s="42" t="s">
        <v>596</v>
      </c>
      <c r="FR5" s="42" t="s">
        <v>597</v>
      </c>
      <c r="FS5" s="42" t="s">
        <v>598</v>
      </c>
      <c r="FT5" s="42" t="s">
        <v>599</v>
      </c>
      <c r="FU5" s="42" t="s">
        <v>600</v>
      </c>
      <c r="FV5" s="42" t="s">
        <v>601</v>
      </c>
      <c r="FW5" s="42" t="s">
        <v>602</v>
      </c>
      <c r="FX5" s="42" t="s">
        <v>603</v>
      </c>
      <c r="FY5" s="42" t="s">
        <v>604</v>
      </c>
      <c r="FZ5" s="42" t="s">
        <v>605</v>
      </c>
      <c r="GA5" s="42" t="s">
        <v>606</v>
      </c>
      <c r="GB5" s="42" t="s">
        <v>607</v>
      </c>
      <c r="GC5" s="42" t="s">
        <v>608</v>
      </c>
      <c r="GD5" s="42" t="s">
        <v>609</v>
      </c>
      <c r="GE5" s="42" t="s">
        <v>610</v>
      </c>
      <c r="GF5" s="42" t="s">
        <v>611</v>
      </c>
      <c r="GG5" s="42" t="s">
        <v>612</v>
      </c>
      <c r="GH5" s="42" t="s">
        <v>613</v>
      </c>
      <c r="GI5" s="42" t="s">
        <v>614</v>
      </c>
      <c r="GJ5" s="42" t="s">
        <v>615</v>
      </c>
      <c r="GK5" s="42" t="s">
        <v>616</v>
      </c>
      <c r="GL5" s="42" t="s">
        <v>617</v>
      </c>
      <c r="GM5" s="42" t="s">
        <v>618</v>
      </c>
      <c r="GN5" s="42" t="s">
        <v>619</v>
      </c>
      <c r="GO5" s="42" t="s">
        <v>620</v>
      </c>
      <c r="GP5" s="42" t="s">
        <v>621</v>
      </c>
      <c r="GQ5" s="42" t="s">
        <v>622</v>
      </c>
      <c r="GR5" s="42" t="s">
        <v>623</v>
      </c>
      <c r="GS5" s="42" t="s">
        <v>624</v>
      </c>
      <c r="GT5" s="42" t="s">
        <v>625</v>
      </c>
      <c r="GU5" s="42" t="s">
        <v>626</v>
      </c>
      <c r="GV5" s="42" t="s">
        <v>627</v>
      </c>
      <c r="GW5" s="42" t="s">
        <v>628</v>
      </c>
      <c r="GX5" s="42" t="s">
        <v>629</v>
      </c>
      <c r="GY5" s="42" t="s">
        <v>630</v>
      </c>
      <c r="GZ5" s="42" t="s">
        <v>631</v>
      </c>
      <c r="HA5" s="42" t="s">
        <v>632</v>
      </c>
      <c r="HB5" s="42" t="s">
        <v>633</v>
      </c>
      <c r="HC5" s="42" t="s">
        <v>634</v>
      </c>
      <c r="HD5" s="42" t="s">
        <v>635</v>
      </c>
      <c r="HE5" s="42" t="s">
        <v>636</v>
      </c>
      <c r="HF5" s="42" t="s">
        <v>637</v>
      </c>
      <c r="HG5" s="42" t="s">
        <v>638</v>
      </c>
      <c r="HI5" s="83" t="n">
        <f aca="false">IF(GanttPeriod&lt;28,GanttStart+((COLUMN()-COLUMN(gantt_Origin))-1)*GanttPeriod,EDATE(DATE(YEAR(GanttStart),MONTH(GanttStart)-IF(GanttPeriod&gt;=90,MOD(MONTH(GanttStart)-1,3),0),1),((COLUMN()-COLUMN(gantt_Origin))-1)*IF(GanttPeriod&gt;=90,3,1)))</f>
        <v>46300</v>
      </c>
      <c r="HJ5" s="83" t="n">
        <f aca="false">IF(GanttPeriod&lt;28,GanttStart+((COLUMN()-COLUMN(gantt_Origin))-1)*GanttPeriod,EDATE(DATE(YEAR(GanttStart),MONTH(GanttStart)-IF(GanttPeriod&gt;=90,MOD(MONTH(GanttStart)-1,3),0),1),((COLUMN()-COLUMN(gantt_Origin))-1)*IF(GanttPeriod&gt;=90,3,1)))</f>
        <v>46301</v>
      </c>
      <c r="HK5" s="83" t="n">
        <f aca="false">IF(GanttPeriod&lt;28,GanttStart+((COLUMN()-COLUMN(gantt_Origin))-1)*GanttPeriod,EDATE(DATE(YEAR(GanttStart),MONTH(GanttStart)-IF(GanttPeriod&gt;=90,MOD(MONTH(GanttStart)-1,3),0),1),((COLUMN()-COLUMN(gantt_Origin))-1)*IF(GanttPeriod&gt;=90,3,1)))</f>
        <v>46302</v>
      </c>
      <c r="HL5" s="83" t="n">
        <f aca="false">IF(GanttPeriod&lt;28,GanttStart+((COLUMN()-COLUMN(gantt_Origin))-1)*GanttPeriod,EDATE(DATE(YEAR(GanttStart),MONTH(GanttStart)-IF(GanttPeriod&gt;=90,MOD(MONTH(GanttStart)-1,3),0),1),((COLUMN()-COLUMN(gantt_Origin))-1)*IF(GanttPeriod&gt;=90,3,1)))</f>
        <v>46303</v>
      </c>
      <c r="HM5" s="83" t="n">
        <f aca="false">IF(GanttPeriod&lt;28,GanttStart+((COLUMN()-COLUMN(gantt_Origin))-1)*GanttPeriod,EDATE(DATE(YEAR(GanttStart),MONTH(GanttStart)-IF(GanttPeriod&gt;=90,MOD(MONTH(GanttStart)-1,3),0),1),((COLUMN()-COLUMN(gantt_Origin))-1)*IF(GanttPeriod&gt;=90,3,1)))</f>
        <v>46304</v>
      </c>
      <c r="HN5" s="83" t="n">
        <f aca="false">IF(GanttPeriod&lt;28,GanttStart+((COLUMN()-COLUMN(gantt_Origin))-1)*GanttPeriod,EDATE(DATE(YEAR(GanttStart),MONTH(GanttStart)-IF(GanttPeriod&gt;=90,MOD(MONTH(GanttStart)-1,3),0),1),((COLUMN()-COLUMN(gantt_Origin))-1)*IF(GanttPeriod&gt;=90,3,1)))</f>
        <v>46305</v>
      </c>
      <c r="HO5" s="83" t="n">
        <f aca="false">IF(GanttPeriod&lt;28,GanttStart+((COLUMN()-COLUMN(gantt_Origin))-1)*GanttPeriod,EDATE(DATE(YEAR(GanttStart),MONTH(GanttStart)-IF(GanttPeriod&gt;=90,MOD(MONTH(GanttStart)-1,3),0),1),((COLUMN()-COLUMN(gantt_Origin))-1)*IF(GanttPeriod&gt;=90,3,1)))</f>
        <v>46306</v>
      </c>
      <c r="HP5" s="83" t="n">
        <f aca="false">IF(GanttPeriod&lt;28,GanttStart+((COLUMN()-COLUMN(gantt_Origin))-1)*GanttPeriod,EDATE(DATE(YEAR(GanttStart),MONTH(GanttStart)-IF(GanttPeriod&gt;=90,MOD(MONTH(GanttStart)-1,3),0),1),((COLUMN()-COLUMN(gantt_Origin))-1)*IF(GanttPeriod&gt;=90,3,1)))</f>
        <v>46307</v>
      </c>
      <c r="HQ5" s="83" t="n">
        <f aca="false">IF(GanttPeriod&lt;28,GanttStart+((COLUMN()-COLUMN(gantt_Origin))-1)*GanttPeriod,EDATE(DATE(YEAR(GanttStart),MONTH(GanttStart)-IF(GanttPeriod&gt;=90,MOD(MONTH(GanttStart)-1,3),0),1),((COLUMN()-COLUMN(gantt_Origin))-1)*IF(GanttPeriod&gt;=90,3,1)))</f>
        <v>46308</v>
      </c>
      <c r="HR5" s="83" t="n">
        <f aca="false">IF(GanttPeriod&lt;28,GanttStart+((COLUMN()-COLUMN(gantt_Origin))-1)*GanttPeriod,EDATE(DATE(YEAR(GanttStart),MONTH(GanttStart)-IF(GanttPeriod&gt;=90,MOD(MONTH(GanttStart)-1,3),0),1),((COLUMN()-COLUMN(gantt_Origin))-1)*IF(GanttPeriod&gt;=90,3,1)))</f>
        <v>46309</v>
      </c>
      <c r="HS5" s="83" t="n">
        <f aca="false">IF(GanttPeriod&lt;28,GanttStart+((COLUMN()-COLUMN(gantt_Origin))-1)*GanttPeriod,EDATE(DATE(YEAR(GanttStart),MONTH(GanttStart)-IF(GanttPeriod&gt;=90,MOD(MONTH(GanttStart)-1,3),0),1),((COLUMN()-COLUMN(gantt_Origin))-1)*IF(GanttPeriod&gt;=90,3,1)))</f>
        <v>46310</v>
      </c>
      <c r="HT5" s="83" t="n">
        <f aca="false">IF(GanttPeriod&lt;28,GanttStart+((COLUMN()-COLUMN(gantt_Origin))-1)*GanttPeriod,EDATE(DATE(YEAR(GanttStart),MONTH(GanttStart)-IF(GanttPeriod&gt;=90,MOD(MONTH(GanttStart)-1,3),0),1),((COLUMN()-COLUMN(gantt_Origin))-1)*IF(GanttPeriod&gt;=90,3,1)))</f>
        <v>46311</v>
      </c>
      <c r="HU5" s="83" t="n">
        <f aca="false">IF(GanttPeriod&lt;28,GanttStart+((COLUMN()-COLUMN(gantt_Origin))-1)*GanttPeriod,EDATE(DATE(YEAR(GanttStart),MONTH(GanttStart)-IF(GanttPeriod&gt;=90,MOD(MONTH(GanttStart)-1,3),0),1),((COLUMN()-COLUMN(gantt_Origin))-1)*IF(GanttPeriod&gt;=90,3,1)))</f>
        <v>46312</v>
      </c>
      <c r="HV5" s="83" t="n">
        <f aca="false">IF(GanttPeriod&lt;28,GanttStart+((COLUMN()-COLUMN(gantt_Origin))-1)*GanttPeriod,EDATE(DATE(YEAR(GanttStart),MONTH(GanttStart)-IF(GanttPeriod&gt;=90,MOD(MONTH(GanttStart)-1,3),0),1),((COLUMN()-COLUMN(gantt_Origin))-1)*IF(GanttPeriod&gt;=90,3,1)))</f>
        <v>46313</v>
      </c>
      <c r="HW5" s="83" t="n">
        <f aca="false">IF(GanttPeriod&lt;28,GanttStart+((COLUMN()-COLUMN(gantt_Origin))-1)*GanttPeriod,EDATE(DATE(YEAR(GanttStart),MONTH(GanttStart)-IF(GanttPeriod&gt;=90,MOD(MONTH(GanttStart)-1,3),0),1),((COLUMN()-COLUMN(gantt_Origin))-1)*IF(GanttPeriod&gt;=90,3,1)))</f>
        <v>46314</v>
      </c>
      <c r="HX5" s="83" t="n">
        <f aca="false">IF(GanttPeriod&lt;28,GanttStart+((COLUMN()-COLUMN(gantt_Origin))-1)*GanttPeriod,EDATE(DATE(YEAR(GanttStart),MONTH(GanttStart)-IF(GanttPeriod&gt;=90,MOD(MONTH(GanttStart)-1,3),0),1),((COLUMN()-COLUMN(gantt_Origin))-1)*IF(GanttPeriod&gt;=90,3,1)))</f>
        <v>46315</v>
      </c>
      <c r="HY5" s="83" t="n">
        <f aca="false">IF(GanttPeriod&lt;28,GanttStart+((COLUMN()-COLUMN(gantt_Origin))-1)*GanttPeriod,EDATE(DATE(YEAR(GanttStart),MONTH(GanttStart)-IF(GanttPeriod&gt;=90,MOD(MONTH(GanttStart)-1,3),0),1),((COLUMN()-COLUMN(gantt_Origin))-1)*IF(GanttPeriod&gt;=90,3,1)))</f>
        <v>46316</v>
      </c>
      <c r="HZ5" s="83" t="n">
        <f aca="false">IF(GanttPeriod&lt;28,GanttStart+((COLUMN()-COLUMN(gantt_Origin))-1)*GanttPeriod,EDATE(DATE(YEAR(GanttStart),MONTH(GanttStart)-IF(GanttPeriod&gt;=90,MOD(MONTH(GanttStart)-1,3),0),1),((COLUMN()-COLUMN(gantt_Origin))-1)*IF(GanttPeriod&gt;=90,3,1)))</f>
        <v>46317</v>
      </c>
      <c r="IA5" s="83" t="n">
        <f aca="false">IF(GanttPeriod&lt;28,GanttStart+((COLUMN()-COLUMN(gantt_Origin))-1)*GanttPeriod,EDATE(DATE(YEAR(GanttStart),MONTH(GanttStart)-IF(GanttPeriod&gt;=90,MOD(MONTH(GanttStart)-1,3),0),1),((COLUMN()-COLUMN(gantt_Origin))-1)*IF(GanttPeriod&gt;=90,3,1)))</f>
        <v>46318</v>
      </c>
      <c r="IB5" s="83" t="n">
        <f aca="false">IF(GanttPeriod&lt;28,GanttStart+((COLUMN()-COLUMN(gantt_Origin))-1)*GanttPeriod,EDATE(DATE(YEAR(GanttStart),MONTH(GanttStart)-IF(GanttPeriod&gt;=90,MOD(MONTH(GanttStart)-1,3),0),1),((COLUMN()-COLUMN(gantt_Origin))-1)*IF(GanttPeriod&gt;=90,3,1)))</f>
        <v>46319</v>
      </c>
      <c r="IC5" s="83" t="n">
        <f aca="false">IF(GanttPeriod&lt;28,GanttStart+((COLUMN()-COLUMN(gantt_Origin))-1)*GanttPeriod,EDATE(DATE(YEAR(GanttStart),MONTH(GanttStart)-IF(GanttPeriod&gt;=90,MOD(MONTH(GanttStart)-1,3),0),1),((COLUMN()-COLUMN(gantt_Origin))-1)*IF(GanttPeriod&gt;=90,3,1)))</f>
        <v>46320</v>
      </c>
      <c r="ID5" s="83" t="n">
        <f aca="false">IF(GanttPeriod&lt;28,GanttStart+((COLUMN()-COLUMN(gantt_Origin))-1)*GanttPeriod,EDATE(DATE(YEAR(GanttStart),MONTH(GanttStart)-IF(GanttPeriod&gt;=90,MOD(MONTH(GanttStart)-1,3),0),1),((COLUMN()-COLUMN(gantt_Origin))-1)*IF(GanttPeriod&gt;=90,3,1)))</f>
        <v>46321</v>
      </c>
      <c r="IE5" s="83" t="n">
        <f aca="false">IF(GanttPeriod&lt;28,GanttStart+((COLUMN()-COLUMN(gantt_Origin))-1)*GanttPeriod,EDATE(DATE(YEAR(GanttStart),MONTH(GanttStart)-IF(GanttPeriod&gt;=90,MOD(MONTH(GanttStart)-1,3),0),1),((COLUMN()-COLUMN(gantt_Origin))-1)*IF(GanttPeriod&gt;=90,3,1)))</f>
        <v>46322</v>
      </c>
      <c r="IF5" s="83" t="n">
        <f aca="false">IF(GanttPeriod&lt;28,GanttStart+((COLUMN()-COLUMN(gantt_Origin))-1)*GanttPeriod,EDATE(DATE(YEAR(GanttStart),MONTH(GanttStart)-IF(GanttPeriod&gt;=90,MOD(MONTH(GanttStart)-1,3),0),1),((COLUMN()-COLUMN(gantt_Origin))-1)*IF(GanttPeriod&gt;=90,3,1)))</f>
        <v>46323</v>
      </c>
      <c r="IG5" s="83" t="n">
        <f aca="false">IF(GanttPeriod&lt;28,GanttStart+((COLUMN()-COLUMN(gantt_Origin))-1)*GanttPeriod,EDATE(DATE(YEAR(GanttStart),MONTH(GanttStart)-IF(GanttPeriod&gt;=90,MOD(MONTH(GanttStart)-1,3),0),1),((COLUMN()-COLUMN(gantt_Origin))-1)*IF(GanttPeriod&gt;=90,3,1)))</f>
        <v>46324</v>
      </c>
      <c r="IH5" s="83" t="n">
        <f aca="false">IF(GanttPeriod&lt;28,GanttStart+((COLUMN()-COLUMN(gantt_Origin))-1)*GanttPeriod,EDATE(DATE(YEAR(GanttStart),MONTH(GanttStart)-IF(GanttPeriod&gt;=90,MOD(MONTH(GanttStart)-1,3),0),1),((COLUMN()-COLUMN(gantt_Origin))-1)*IF(GanttPeriod&gt;=90,3,1)))</f>
        <v>46325</v>
      </c>
      <c r="II5" s="83" t="n">
        <f aca="false">IF(GanttPeriod&lt;28,GanttStart+((COLUMN()-COLUMN(gantt_Origin))-1)*GanttPeriod,EDATE(DATE(YEAR(GanttStart),MONTH(GanttStart)-IF(GanttPeriod&gt;=90,MOD(MONTH(GanttStart)-1,3),0),1),((COLUMN()-COLUMN(gantt_Origin))-1)*IF(GanttPeriod&gt;=90,3,1)))</f>
        <v>46326</v>
      </c>
      <c r="IJ5" s="83" t="n">
        <f aca="false">IF(GanttPeriod&lt;28,GanttStart+((COLUMN()-COLUMN(gantt_Origin))-1)*GanttPeriod,EDATE(DATE(YEAR(GanttStart),MONTH(GanttStart)-IF(GanttPeriod&gt;=90,MOD(MONTH(GanttStart)-1,3),0),1),((COLUMN()-COLUMN(gantt_Origin))-1)*IF(GanttPeriod&gt;=90,3,1)))</f>
        <v>46327</v>
      </c>
      <c r="IK5" s="83" t="n">
        <f aca="false">IF(GanttPeriod&lt;28,GanttStart+((COLUMN()-COLUMN(gantt_Origin))-1)*GanttPeriod,EDATE(DATE(YEAR(GanttStart),MONTH(GanttStart)-IF(GanttPeriod&gt;=90,MOD(MONTH(GanttStart)-1,3),0),1),((COLUMN()-COLUMN(gantt_Origin))-1)*IF(GanttPeriod&gt;=90,3,1)))</f>
        <v>46328</v>
      </c>
      <c r="IL5" s="83" t="n">
        <f aca="false">IF(GanttPeriod&lt;28,GanttStart+((COLUMN()-COLUMN(gantt_Origin))-1)*GanttPeriod,EDATE(DATE(YEAR(GanttStart),MONTH(GanttStart)-IF(GanttPeriod&gt;=90,MOD(MONTH(GanttStart)-1,3),0),1),((COLUMN()-COLUMN(gantt_Origin))-1)*IF(GanttPeriod&gt;=90,3,1)))</f>
        <v>46329</v>
      </c>
      <c r="IM5" s="83" t="n">
        <f aca="false">IF(GanttPeriod&lt;28,GanttStart+((COLUMN()-COLUMN(gantt_Origin))-1)*GanttPeriod,EDATE(DATE(YEAR(GanttStart),MONTH(GanttStart)-IF(GanttPeriod&gt;=90,MOD(MONTH(GanttStart)-1,3),0),1),((COLUMN()-COLUMN(gantt_Origin))-1)*IF(GanttPeriod&gt;=90,3,1)))</f>
        <v>46330</v>
      </c>
      <c r="IN5" s="83" t="n">
        <f aca="false">IF(GanttPeriod&lt;28,GanttStart+((COLUMN()-COLUMN(gantt_Origin))-1)*GanttPeriod,EDATE(DATE(YEAR(GanttStart),MONTH(GanttStart)-IF(GanttPeriod&gt;=90,MOD(MONTH(GanttStart)-1,3),0),1),((COLUMN()-COLUMN(gantt_Origin))-1)*IF(GanttPeriod&gt;=90,3,1)))</f>
        <v>46331</v>
      </c>
      <c r="IO5" s="83" t="n">
        <f aca="false">IF(GanttPeriod&lt;28,GanttStart+((COLUMN()-COLUMN(gantt_Origin))-1)*GanttPeriod,EDATE(DATE(YEAR(GanttStart),MONTH(GanttStart)-IF(GanttPeriod&gt;=90,MOD(MONTH(GanttStart)-1,3),0),1),((COLUMN()-COLUMN(gantt_Origin))-1)*IF(GanttPeriod&gt;=90,3,1)))</f>
        <v>46332</v>
      </c>
      <c r="IP5" s="83" t="n">
        <f aca="false">IF(GanttPeriod&lt;28,GanttStart+((COLUMN()-COLUMN(gantt_Origin))-1)*GanttPeriod,EDATE(DATE(YEAR(GanttStart),MONTH(GanttStart)-IF(GanttPeriod&gt;=90,MOD(MONTH(GanttStart)-1,3),0),1),((COLUMN()-COLUMN(gantt_Origin))-1)*IF(GanttPeriod&gt;=90,3,1)))</f>
        <v>46333</v>
      </c>
      <c r="IQ5" s="83" t="n">
        <f aca="false">IF(GanttPeriod&lt;28,GanttStart+((COLUMN()-COLUMN(gantt_Origin))-1)*GanttPeriod,EDATE(DATE(YEAR(GanttStart),MONTH(GanttStart)-IF(GanttPeriod&gt;=90,MOD(MONTH(GanttStart)-1,3),0),1),((COLUMN()-COLUMN(gantt_Origin))-1)*IF(GanttPeriod&gt;=90,3,1)))</f>
        <v>46334</v>
      </c>
      <c r="IR5" s="83" t="n">
        <f aca="false">IF(GanttPeriod&lt;28,GanttStart+((COLUMN()-COLUMN(gantt_Origin))-1)*GanttPeriod,EDATE(DATE(YEAR(GanttStart),MONTH(GanttStart)-IF(GanttPeriod&gt;=90,MOD(MONTH(GanttStart)-1,3),0),1),((COLUMN()-COLUMN(gantt_Origin))-1)*IF(GanttPeriod&gt;=90,3,1)))</f>
        <v>46335</v>
      </c>
      <c r="IS5" s="83" t="n">
        <f aca="false">IF(GanttPeriod&lt;28,GanttStart+((COLUMN()-COLUMN(gantt_Origin))-1)*GanttPeriod,EDATE(DATE(YEAR(GanttStart),MONTH(GanttStart)-IF(GanttPeriod&gt;=90,MOD(MONTH(GanttStart)-1,3),0),1),((COLUMN()-COLUMN(gantt_Origin))-1)*IF(GanttPeriod&gt;=90,3,1)))</f>
        <v>46336</v>
      </c>
      <c r="IT5" s="83" t="n">
        <f aca="false">IF(GanttPeriod&lt;28,GanttStart+((COLUMN()-COLUMN(gantt_Origin))-1)*GanttPeriod,EDATE(DATE(YEAR(GanttStart),MONTH(GanttStart)-IF(GanttPeriod&gt;=90,MOD(MONTH(GanttStart)-1,3),0),1),((COLUMN()-COLUMN(gantt_Origin))-1)*IF(GanttPeriod&gt;=90,3,1)))</f>
        <v>46337</v>
      </c>
      <c r="IU5" s="83" t="n">
        <f aca="false">IF(GanttPeriod&lt;28,GanttStart+((COLUMN()-COLUMN(gantt_Origin))-1)*GanttPeriod,EDATE(DATE(YEAR(GanttStart),MONTH(GanttStart)-IF(GanttPeriod&gt;=90,MOD(MONTH(GanttStart)-1,3),0),1),((COLUMN()-COLUMN(gantt_Origin))-1)*IF(GanttPeriod&gt;=90,3,1)))</f>
        <v>46338</v>
      </c>
      <c r="IV5" s="83" t="n">
        <f aca="false">IF(GanttPeriod&lt;28,GanttStart+((COLUMN()-COLUMN(gantt_Origin))-1)*GanttPeriod,EDATE(DATE(YEAR(GanttStart),MONTH(GanttStart)-IF(GanttPeriod&gt;=90,MOD(MONTH(GanttStart)-1,3),0),1),((COLUMN()-COLUMN(gantt_Origin))-1)*IF(GanttPeriod&gt;=90,3,1)))</f>
        <v>46339</v>
      </c>
      <c r="IW5" s="83" t="n">
        <f aca="false">IF(GanttPeriod&lt;28,GanttStart+((COLUMN()-COLUMN(gantt_Origin))-1)*GanttPeriod,EDATE(DATE(YEAR(GanttStart),MONTH(GanttStart)-IF(GanttPeriod&gt;=90,MOD(MONTH(GanttStart)-1,3),0),1),((COLUMN()-COLUMN(gantt_Origin))-1)*IF(GanttPeriod&gt;=90,3,1)))</f>
        <v>46340</v>
      </c>
      <c r="IX5" s="83" t="n">
        <f aca="false">IF(GanttPeriod&lt;28,GanttStart+((COLUMN()-COLUMN(gantt_Origin))-1)*GanttPeriod,EDATE(DATE(YEAR(GanttStart),MONTH(GanttStart)-IF(GanttPeriod&gt;=90,MOD(MONTH(GanttStart)-1,3),0),1),((COLUMN()-COLUMN(gantt_Origin))-1)*IF(GanttPeriod&gt;=90,3,1)))</f>
        <v>46341</v>
      </c>
      <c r="IY5" s="83" t="n">
        <f aca="false">IF(GanttPeriod&lt;28,GanttStart+((COLUMN()-COLUMN(gantt_Origin))-1)*GanttPeriod,EDATE(DATE(YEAR(GanttStart),MONTH(GanttStart)-IF(GanttPeriod&gt;=90,MOD(MONTH(GanttStart)-1,3),0),1),((COLUMN()-COLUMN(gantt_Origin))-1)*IF(GanttPeriod&gt;=90,3,1)))</f>
        <v>46342</v>
      </c>
      <c r="IZ5" s="83" t="n">
        <f aca="false">IF(GanttPeriod&lt;28,GanttStart+((COLUMN()-COLUMN(gantt_Origin))-1)*GanttPeriod,EDATE(DATE(YEAR(GanttStart),MONTH(GanttStart)-IF(GanttPeriod&gt;=90,MOD(MONTH(GanttStart)-1,3),0),1),((COLUMN()-COLUMN(gantt_Origin))-1)*IF(GanttPeriod&gt;=90,3,1)))</f>
        <v>46343</v>
      </c>
      <c r="JA5" s="83" t="n">
        <f aca="false">IF(GanttPeriod&lt;28,GanttStart+((COLUMN()-COLUMN(gantt_Origin))-1)*GanttPeriod,EDATE(DATE(YEAR(GanttStart),MONTH(GanttStart)-IF(GanttPeriod&gt;=90,MOD(MONTH(GanttStart)-1,3),0),1),((COLUMN()-COLUMN(gantt_Origin))-1)*IF(GanttPeriod&gt;=90,3,1)))</f>
        <v>46344</v>
      </c>
      <c r="JB5" s="83" t="n">
        <f aca="false">IF(GanttPeriod&lt;28,GanttStart+((COLUMN()-COLUMN(gantt_Origin))-1)*GanttPeriod,EDATE(DATE(YEAR(GanttStart),MONTH(GanttStart)-IF(GanttPeriod&gt;=90,MOD(MONTH(GanttStart)-1,3),0),1),((COLUMN()-COLUMN(gantt_Origin))-1)*IF(GanttPeriod&gt;=90,3,1)))</f>
        <v>46345</v>
      </c>
      <c r="JC5" s="83" t="n">
        <f aca="false">IF(GanttPeriod&lt;28,GanttStart+((COLUMN()-COLUMN(gantt_Origin))-1)*GanttPeriod,EDATE(DATE(YEAR(GanttStart),MONTH(GanttStart)-IF(GanttPeriod&gt;=90,MOD(MONTH(GanttStart)-1,3),0),1),((COLUMN()-COLUMN(gantt_Origin))-1)*IF(GanttPeriod&gt;=90,3,1)))</f>
        <v>46346</v>
      </c>
      <c r="JD5" s="83" t="n">
        <f aca="false">IF(GanttPeriod&lt;28,GanttStart+((COLUMN()-COLUMN(gantt_Origin))-1)*GanttPeriod,EDATE(DATE(YEAR(GanttStart),MONTH(GanttStart)-IF(GanttPeriod&gt;=90,MOD(MONTH(GanttStart)-1,3),0),1),((COLUMN()-COLUMN(gantt_Origin))-1)*IF(GanttPeriod&gt;=90,3,1)))</f>
        <v>46347</v>
      </c>
      <c r="JE5" s="83" t="n">
        <f aca="false">IF(GanttPeriod&lt;28,GanttStart+((COLUMN()-COLUMN(gantt_Origin))-1)*GanttPeriod,EDATE(DATE(YEAR(GanttStart),MONTH(GanttStart)-IF(GanttPeriod&gt;=90,MOD(MONTH(GanttStart)-1,3),0),1),((COLUMN()-COLUMN(gantt_Origin))-1)*IF(GanttPeriod&gt;=90,3,1)))</f>
        <v>46348</v>
      </c>
      <c r="JF5" s="83" t="n">
        <f aca="false">IF(GanttPeriod&lt;28,GanttStart+((COLUMN()-COLUMN(gantt_Origin))-1)*GanttPeriod,EDATE(DATE(YEAR(GanttStart),MONTH(GanttStart)-IF(GanttPeriod&gt;=90,MOD(MONTH(GanttStart)-1,3),0),1),((COLUMN()-COLUMN(gantt_Origin))-1)*IF(GanttPeriod&gt;=90,3,1)))</f>
        <v>46349</v>
      </c>
      <c r="JG5" s="83" t="n">
        <f aca="false">IF(GanttPeriod&lt;28,GanttStart+((COLUMN()-COLUMN(gantt_Origin))-1)*GanttPeriod,EDATE(DATE(YEAR(GanttStart),MONTH(GanttStart)-IF(GanttPeriod&gt;=90,MOD(MONTH(GanttStart)-1,3),0),1),((COLUMN()-COLUMN(gantt_Origin))-1)*IF(GanttPeriod&gt;=90,3,1)))</f>
        <v>46350</v>
      </c>
      <c r="JH5" s="83" t="n">
        <f aca="false">IF(GanttPeriod&lt;28,GanttStart+((COLUMN()-COLUMN(gantt_Origin))-1)*GanttPeriod,EDATE(DATE(YEAR(GanttStart),MONTH(GanttStart)-IF(GanttPeriod&gt;=90,MOD(MONTH(GanttStart)-1,3),0),1),((COLUMN()-COLUMN(gantt_Origin))-1)*IF(GanttPeriod&gt;=90,3,1)))</f>
        <v>46351</v>
      </c>
      <c r="JI5" s="83" t="n">
        <f aca="false">IF(GanttPeriod&lt;28,GanttStart+((COLUMN()-COLUMN(gantt_Origin))-1)*GanttPeriod,EDATE(DATE(YEAR(GanttStart),MONTH(GanttStart)-IF(GanttPeriod&gt;=90,MOD(MONTH(GanttStart)-1,3),0),1),((COLUMN()-COLUMN(gantt_Origin))-1)*IF(GanttPeriod&gt;=90,3,1)))</f>
        <v>46352</v>
      </c>
      <c r="JJ5" s="83" t="n">
        <f aca="false">IF(GanttPeriod&lt;28,GanttStart+((COLUMN()-COLUMN(gantt_Origin))-1)*GanttPeriod,EDATE(DATE(YEAR(GanttStart),MONTH(GanttStart)-IF(GanttPeriod&gt;=90,MOD(MONTH(GanttStart)-1,3),0),1),((COLUMN()-COLUMN(gantt_Origin))-1)*IF(GanttPeriod&gt;=90,3,1)))</f>
        <v>46353</v>
      </c>
      <c r="JK5" s="83" t="n">
        <f aca="false">IF(GanttPeriod&lt;28,GanttStart+((COLUMN()-COLUMN(gantt_Origin))-1)*GanttPeriod,EDATE(DATE(YEAR(GanttStart),MONTH(GanttStart)-IF(GanttPeriod&gt;=90,MOD(MONTH(GanttStart)-1,3),0),1),((COLUMN()-COLUMN(gantt_Origin))-1)*IF(GanttPeriod&gt;=90,3,1)))</f>
        <v>46354</v>
      </c>
      <c r="JL5" s="83" t="n">
        <f aca="false">IF(GanttPeriod&lt;28,GanttStart+((COLUMN()-COLUMN(gantt_Origin))-1)*GanttPeriod,EDATE(DATE(YEAR(GanttStart),MONTH(GanttStart)-IF(GanttPeriod&gt;=90,MOD(MONTH(GanttStart)-1,3),0),1),((COLUMN()-COLUMN(gantt_Origin))-1)*IF(GanttPeriod&gt;=90,3,1)))</f>
        <v>46355</v>
      </c>
      <c r="JM5" s="83" t="n">
        <f aca="false">IF(GanttPeriod&lt;28,GanttStart+((COLUMN()-COLUMN(gantt_Origin))-1)*GanttPeriod,EDATE(DATE(YEAR(GanttStart),MONTH(GanttStart)-IF(GanttPeriod&gt;=90,MOD(MONTH(GanttStart)-1,3),0),1),((COLUMN()-COLUMN(gantt_Origin))-1)*IF(GanttPeriod&gt;=90,3,1)))</f>
        <v>46356</v>
      </c>
      <c r="JN5" s="83" t="n">
        <f aca="false">IF(GanttPeriod&lt;28,GanttStart+((COLUMN()-COLUMN(gantt_Origin))-1)*GanttPeriod,EDATE(DATE(YEAR(GanttStart),MONTH(GanttStart)-IF(GanttPeriod&gt;=90,MOD(MONTH(GanttStart)-1,3),0),1),((COLUMN()-COLUMN(gantt_Origin))-1)*IF(GanttPeriod&gt;=90,3,1)))</f>
        <v>46357</v>
      </c>
      <c r="JO5" s="83" t="n">
        <f aca="false">IF(GanttPeriod&lt;28,GanttStart+((COLUMN()-COLUMN(gantt_Origin))-1)*GanttPeriod,EDATE(DATE(YEAR(GanttStart),MONTH(GanttStart)-IF(GanttPeriod&gt;=90,MOD(MONTH(GanttStart)-1,3),0),1),((COLUMN()-COLUMN(gantt_Origin))-1)*IF(GanttPeriod&gt;=90,3,1)))</f>
        <v>46358</v>
      </c>
      <c r="JP5" s="83" t="n">
        <f aca="false">IF(GanttPeriod&lt;28,GanttStart+((COLUMN()-COLUMN(gantt_Origin))-1)*GanttPeriod,EDATE(DATE(YEAR(GanttStart),MONTH(GanttStart)-IF(GanttPeriod&gt;=90,MOD(MONTH(GanttStart)-1,3),0),1),((COLUMN()-COLUMN(gantt_Origin))-1)*IF(GanttPeriod&gt;=90,3,1)))</f>
        <v>46359</v>
      </c>
      <c r="JQ5" s="83" t="n">
        <f aca="false">IF(GanttPeriod&lt;28,GanttStart+((COLUMN()-COLUMN(gantt_Origin))-1)*GanttPeriod,EDATE(DATE(YEAR(GanttStart),MONTH(GanttStart)-IF(GanttPeriod&gt;=90,MOD(MONTH(GanttStart)-1,3),0),1),((COLUMN()-COLUMN(gantt_Origin))-1)*IF(GanttPeriod&gt;=90,3,1)))</f>
        <v>46360</v>
      </c>
      <c r="JR5" s="83" t="n">
        <f aca="false">IF(GanttPeriod&lt;28,GanttStart+((COLUMN()-COLUMN(gantt_Origin))-1)*GanttPeriod,EDATE(DATE(YEAR(GanttStart),MONTH(GanttStart)-IF(GanttPeriod&gt;=90,MOD(MONTH(GanttStart)-1,3),0),1),((COLUMN()-COLUMN(gantt_Origin))-1)*IF(GanttPeriod&gt;=90,3,1)))</f>
        <v>46361</v>
      </c>
      <c r="JS5" s="83" t="n">
        <f aca="false">IF(GanttPeriod&lt;28,GanttStart+((COLUMN()-COLUMN(gantt_Origin))-1)*GanttPeriod,EDATE(DATE(YEAR(GanttStart),MONTH(GanttStart)-IF(GanttPeriod&gt;=90,MOD(MONTH(GanttStart)-1,3),0),1),((COLUMN()-COLUMN(gantt_Origin))-1)*IF(GanttPeriod&gt;=90,3,1)))</f>
        <v>46362</v>
      </c>
      <c r="JT5" s="83" t="n">
        <f aca="false">IF(GanttPeriod&lt;28,GanttStart+((COLUMN()-COLUMN(gantt_Origin))-1)*GanttPeriod,EDATE(DATE(YEAR(GanttStart),MONTH(GanttStart)-IF(GanttPeriod&gt;=90,MOD(MONTH(GanttStart)-1,3),0),1),((COLUMN()-COLUMN(gantt_Origin))-1)*IF(GanttPeriod&gt;=90,3,1)))</f>
        <v>46363</v>
      </c>
      <c r="JU5" s="83" t="n">
        <f aca="false">IF(GanttPeriod&lt;28,GanttStart+((COLUMN()-COLUMN(gantt_Origin))-1)*GanttPeriod,EDATE(DATE(YEAR(GanttStart),MONTH(GanttStart)-IF(GanttPeriod&gt;=90,MOD(MONTH(GanttStart)-1,3),0),1),((COLUMN()-COLUMN(gantt_Origin))-1)*IF(GanttPeriod&gt;=90,3,1)))</f>
        <v>46364</v>
      </c>
      <c r="JV5" s="83" t="n">
        <f aca="false">IF(GanttPeriod&lt;28,GanttStart+((COLUMN()-COLUMN(gantt_Origin))-1)*GanttPeriod,EDATE(DATE(YEAR(GanttStart),MONTH(GanttStart)-IF(GanttPeriod&gt;=90,MOD(MONTH(GanttStart)-1,3),0),1),((COLUMN()-COLUMN(gantt_Origin))-1)*IF(GanttPeriod&gt;=90,3,1)))</f>
        <v>46365</v>
      </c>
      <c r="JW5" s="83" t="n">
        <f aca="false">IF(GanttPeriod&lt;28,GanttStart+((COLUMN()-COLUMN(gantt_Origin))-1)*GanttPeriod,EDATE(DATE(YEAR(GanttStart),MONTH(GanttStart)-IF(GanttPeriod&gt;=90,MOD(MONTH(GanttStart)-1,3),0),1),((COLUMN()-COLUMN(gantt_Origin))-1)*IF(GanttPeriod&gt;=90,3,1)))</f>
        <v>46366</v>
      </c>
      <c r="JX5" s="83" t="n">
        <f aca="false">IF(GanttPeriod&lt;28,GanttStart+((COLUMN()-COLUMN(gantt_Origin))-1)*GanttPeriod,EDATE(DATE(YEAR(GanttStart),MONTH(GanttStart)-IF(GanttPeriod&gt;=90,MOD(MONTH(GanttStart)-1,3),0),1),((COLUMN()-COLUMN(gantt_Origin))-1)*IF(GanttPeriod&gt;=90,3,1)))</f>
        <v>46367</v>
      </c>
      <c r="JY5" s="83" t="n">
        <f aca="false">IF(GanttPeriod&lt;28,GanttStart+((COLUMN()-COLUMN(gantt_Origin))-1)*GanttPeriod,EDATE(DATE(YEAR(GanttStart),MONTH(GanttStart)-IF(GanttPeriod&gt;=90,MOD(MONTH(GanttStart)-1,3),0),1),((COLUMN()-COLUMN(gantt_Origin))-1)*IF(GanttPeriod&gt;=90,3,1)))</f>
        <v>46368</v>
      </c>
      <c r="JZ5" s="83" t="n">
        <f aca="false">IF(GanttPeriod&lt;28,GanttStart+((COLUMN()-COLUMN(gantt_Origin))-1)*GanttPeriod,EDATE(DATE(YEAR(GanttStart),MONTH(GanttStart)-IF(GanttPeriod&gt;=90,MOD(MONTH(GanttStart)-1,3),0),1),((COLUMN()-COLUMN(gantt_Origin))-1)*IF(GanttPeriod&gt;=90,3,1)))</f>
        <v>46369</v>
      </c>
      <c r="KA5" s="83" t="n">
        <f aca="false">IF(GanttPeriod&lt;28,GanttStart+((COLUMN()-COLUMN(gantt_Origin))-1)*GanttPeriod,EDATE(DATE(YEAR(GanttStart),MONTH(GanttStart)-IF(GanttPeriod&gt;=90,MOD(MONTH(GanttStart)-1,3),0),1),((COLUMN()-COLUMN(gantt_Origin))-1)*IF(GanttPeriod&gt;=90,3,1)))</f>
        <v>46370</v>
      </c>
      <c r="KB5" s="83" t="n">
        <f aca="false">IF(GanttPeriod&lt;28,GanttStart+((COLUMN()-COLUMN(gantt_Origin))-1)*GanttPeriod,EDATE(DATE(YEAR(GanttStart),MONTH(GanttStart)-IF(GanttPeriod&gt;=90,MOD(MONTH(GanttStart)-1,3),0),1),((COLUMN()-COLUMN(gantt_Origin))-1)*IF(GanttPeriod&gt;=90,3,1)))</f>
        <v>46371</v>
      </c>
      <c r="KC5" s="83" t="n">
        <f aca="false">IF(GanttPeriod&lt;28,GanttStart+((COLUMN()-COLUMN(gantt_Origin))-1)*GanttPeriod,EDATE(DATE(YEAR(GanttStart),MONTH(GanttStart)-IF(GanttPeriod&gt;=90,MOD(MONTH(GanttStart)-1,3),0),1),((COLUMN()-COLUMN(gantt_Origin))-1)*IF(GanttPeriod&gt;=90,3,1)))</f>
        <v>46372</v>
      </c>
      <c r="KD5" s="83" t="n">
        <f aca="false">IF(GanttPeriod&lt;28,GanttStart+((COLUMN()-COLUMN(gantt_Origin))-1)*GanttPeriod,EDATE(DATE(YEAR(GanttStart),MONTH(GanttStart)-IF(GanttPeriod&gt;=90,MOD(MONTH(GanttStart)-1,3),0),1),((COLUMN()-COLUMN(gantt_Origin))-1)*IF(GanttPeriod&gt;=90,3,1)))</f>
        <v>46373</v>
      </c>
      <c r="KE5" s="83" t="n">
        <f aca="false">IF(GanttPeriod&lt;28,GanttStart+((COLUMN()-COLUMN(gantt_Origin))-1)*GanttPeriod,EDATE(DATE(YEAR(GanttStart),MONTH(GanttStart)-IF(GanttPeriod&gt;=90,MOD(MONTH(GanttStart)-1,3),0),1),((COLUMN()-COLUMN(gantt_Origin))-1)*IF(GanttPeriod&gt;=90,3,1)))</f>
        <v>46374</v>
      </c>
      <c r="KF5" s="83" t="n">
        <f aca="false">IF(GanttPeriod&lt;28,GanttStart+((COLUMN()-COLUMN(gantt_Origin))-1)*GanttPeriod,EDATE(DATE(YEAR(GanttStart),MONTH(GanttStart)-IF(GanttPeriod&gt;=90,MOD(MONTH(GanttStart)-1,3),0),1),((COLUMN()-COLUMN(gantt_Origin))-1)*IF(GanttPeriod&gt;=90,3,1)))</f>
        <v>46375</v>
      </c>
      <c r="KG5" s="83" t="n">
        <f aca="false">IF(GanttPeriod&lt;28,GanttStart+((COLUMN()-COLUMN(gantt_Origin))-1)*GanttPeriod,EDATE(DATE(YEAR(GanttStart),MONTH(GanttStart)-IF(GanttPeriod&gt;=90,MOD(MONTH(GanttStart)-1,3),0),1),((COLUMN()-COLUMN(gantt_Origin))-1)*IF(GanttPeriod&gt;=90,3,1)))</f>
        <v>46376</v>
      </c>
      <c r="KH5" s="83" t="n">
        <f aca="false">IF(GanttPeriod&lt;28,GanttStart+((COLUMN()-COLUMN(gantt_Origin))-1)*GanttPeriod,EDATE(DATE(YEAR(GanttStart),MONTH(GanttStart)-IF(GanttPeriod&gt;=90,MOD(MONTH(GanttStart)-1,3),0),1),((COLUMN()-COLUMN(gantt_Origin))-1)*IF(GanttPeriod&gt;=90,3,1)))</f>
        <v>46377</v>
      </c>
      <c r="KI5" s="83" t="n">
        <f aca="false">IF(GanttPeriod&lt;28,GanttStart+((COLUMN()-COLUMN(gantt_Origin))-1)*GanttPeriod,EDATE(DATE(YEAR(GanttStart),MONTH(GanttStart)-IF(GanttPeriod&gt;=90,MOD(MONTH(GanttStart)-1,3),0),1),((COLUMN()-COLUMN(gantt_Origin))-1)*IF(GanttPeriod&gt;=90,3,1)))</f>
        <v>46378</v>
      </c>
      <c r="KJ5" s="83" t="n">
        <f aca="false">IF(GanttPeriod&lt;28,GanttStart+((COLUMN()-COLUMN(gantt_Origin))-1)*GanttPeriod,EDATE(DATE(YEAR(GanttStart),MONTH(GanttStart)-IF(GanttPeriod&gt;=90,MOD(MONTH(GanttStart)-1,3),0),1),((COLUMN()-COLUMN(gantt_Origin))-1)*IF(GanttPeriod&gt;=90,3,1)))</f>
        <v>46379</v>
      </c>
      <c r="KK5" s="83" t="n">
        <f aca="false">IF(GanttPeriod&lt;28,GanttStart+((COLUMN()-COLUMN(gantt_Origin))-1)*GanttPeriod,EDATE(DATE(YEAR(GanttStart),MONTH(GanttStart)-IF(GanttPeriod&gt;=90,MOD(MONTH(GanttStart)-1,3),0),1),((COLUMN()-COLUMN(gantt_Origin))-1)*IF(GanttPeriod&gt;=90,3,1)))</f>
        <v>46380</v>
      </c>
      <c r="KL5" s="83" t="n">
        <f aca="false">IF(GanttPeriod&lt;28,GanttStart+((COLUMN()-COLUMN(gantt_Origin))-1)*GanttPeriod,EDATE(DATE(YEAR(GanttStart),MONTH(GanttStart)-IF(GanttPeriod&gt;=90,MOD(MONTH(GanttStart)-1,3),0),1),((COLUMN()-COLUMN(gantt_Origin))-1)*IF(GanttPeriod&gt;=90,3,1)))</f>
        <v>46381</v>
      </c>
      <c r="KM5" s="83" t="n">
        <f aca="false">IF(GanttPeriod&lt;28,GanttStart+((COLUMN()-COLUMN(gantt_Origin))-1)*GanttPeriod,EDATE(DATE(YEAR(GanttStart),MONTH(GanttStart)-IF(GanttPeriod&gt;=90,MOD(MONTH(GanttStart)-1,3),0),1),((COLUMN()-COLUMN(gantt_Origin))-1)*IF(GanttPeriod&gt;=90,3,1)))</f>
        <v>46382</v>
      </c>
      <c r="KN5" s="83" t="n">
        <f aca="false">IF(GanttPeriod&lt;28,GanttStart+((COLUMN()-COLUMN(gantt_Origin))-1)*GanttPeriod,EDATE(DATE(YEAR(GanttStart),MONTH(GanttStart)-IF(GanttPeriod&gt;=90,MOD(MONTH(GanttStart)-1,3),0),1),((COLUMN()-COLUMN(gantt_Origin))-1)*IF(GanttPeriod&gt;=90,3,1)))</f>
        <v>46383</v>
      </c>
      <c r="KO5" s="83" t="n">
        <f aca="false">IF(GanttPeriod&lt;28,GanttStart+((COLUMN()-COLUMN(gantt_Origin))-1)*GanttPeriod,EDATE(DATE(YEAR(GanttStart),MONTH(GanttStart)-IF(GanttPeriod&gt;=90,MOD(MONTH(GanttStart)-1,3),0),1),((COLUMN()-COLUMN(gantt_Origin))-1)*IF(GanttPeriod&gt;=90,3,1)))</f>
        <v>46384</v>
      </c>
      <c r="KP5" s="83" t="n">
        <f aca="false">IF(GanttPeriod&lt;28,GanttStart+((COLUMN()-COLUMN(gantt_Origin))-1)*GanttPeriod,EDATE(DATE(YEAR(GanttStart),MONTH(GanttStart)-IF(GanttPeriod&gt;=90,MOD(MONTH(GanttStart)-1,3),0),1),((COLUMN()-COLUMN(gantt_Origin))-1)*IF(GanttPeriod&gt;=90,3,1)))</f>
        <v>46385</v>
      </c>
      <c r="KQ5" s="83" t="n">
        <f aca="false">IF(GanttPeriod&lt;28,GanttStart+((COLUMN()-COLUMN(gantt_Origin))-1)*GanttPeriod,EDATE(DATE(YEAR(GanttStart),MONTH(GanttStart)-IF(GanttPeriod&gt;=90,MOD(MONTH(GanttStart)-1,3),0),1),((COLUMN()-COLUMN(gantt_Origin))-1)*IF(GanttPeriod&gt;=90,3,1)))</f>
        <v>46386</v>
      </c>
      <c r="KR5" s="83" t="n">
        <f aca="false">IF(GanttPeriod&lt;28,GanttStart+((COLUMN()-COLUMN(gantt_Origin))-1)*GanttPeriod,EDATE(DATE(YEAR(GanttStart),MONTH(GanttStart)-IF(GanttPeriod&gt;=90,MOD(MONTH(GanttStart)-1,3),0),1),((COLUMN()-COLUMN(gantt_Origin))-1)*IF(GanttPeriod&gt;=90,3,1)))</f>
        <v>46387</v>
      </c>
      <c r="KS5" s="83" t="n">
        <f aca="false">IF(GanttPeriod&lt;28,GanttStart+((COLUMN()-COLUMN(gantt_Origin))-1)*GanttPeriod,EDATE(DATE(YEAR(GanttStart),MONTH(GanttStart)-IF(GanttPeriod&gt;=90,MOD(MONTH(GanttStart)-1,3),0),1),((COLUMN()-COLUMN(gantt_Origin))-1)*IF(GanttPeriod&gt;=90,3,1)))</f>
        <v>46388</v>
      </c>
      <c r="KT5" s="83" t="n">
        <f aca="false">IF(GanttPeriod&lt;28,GanttStart+((COLUMN()-COLUMN(gantt_Origin))-1)*GanttPeriod,EDATE(DATE(YEAR(GanttStart),MONTH(GanttStart)-IF(GanttPeriod&gt;=90,MOD(MONTH(GanttStart)-1,3),0),1),((COLUMN()-COLUMN(gantt_Origin))-1)*IF(GanttPeriod&gt;=90,3,1)))</f>
        <v>46389</v>
      </c>
      <c r="KU5" s="83" t="n">
        <f aca="false">IF(GanttPeriod&lt;28,GanttStart+((COLUMN()-COLUMN(gantt_Origin))-1)*GanttPeriod,EDATE(DATE(YEAR(GanttStart),MONTH(GanttStart)-IF(GanttPeriod&gt;=90,MOD(MONTH(GanttStart)-1,3),0),1),((COLUMN()-COLUMN(gantt_Origin))-1)*IF(GanttPeriod&gt;=90,3,1)))</f>
        <v>46390</v>
      </c>
      <c r="KV5" s="83" t="n">
        <f aca="false">IF(GanttPeriod&lt;28,GanttStart+((COLUMN()-COLUMN(gantt_Origin))-1)*GanttPeriod,EDATE(DATE(YEAR(GanttStart),MONTH(GanttStart)-IF(GanttPeriod&gt;=90,MOD(MONTH(GanttStart)-1,3),0),1),((COLUMN()-COLUMN(gantt_Origin))-1)*IF(GanttPeriod&gt;=90,3,1)))</f>
        <v>46391</v>
      </c>
      <c r="KW5" s="83" t="n">
        <f aca="false">IF(GanttPeriod&lt;28,GanttStart+((COLUMN()-COLUMN(gantt_Origin))-1)*GanttPeriod,EDATE(DATE(YEAR(GanttStart),MONTH(GanttStart)-IF(GanttPeriod&gt;=90,MOD(MONTH(GanttStart)-1,3),0),1),((COLUMN()-COLUMN(gantt_Origin))-1)*IF(GanttPeriod&gt;=90,3,1)))</f>
        <v>46392</v>
      </c>
      <c r="KX5" s="83" t="n">
        <f aca="false">IF(GanttPeriod&lt;28,GanttStart+((COLUMN()-COLUMN(gantt_Origin))-1)*GanttPeriod,EDATE(DATE(YEAR(GanttStart),MONTH(GanttStart)-IF(GanttPeriod&gt;=90,MOD(MONTH(GanttStart)-1,3),0),1),((COLUMN()-COLUMN(gantt_Origin))-1)*IF(GanttPeriod&gt;=90,3,1)))</f>
        <v>46393</v>
      </c>
      <c r="KY5" s="83" t="n">
        <f aca="false">IF(GanttPeriod&lt;28,GanttStart+((COLUMN()-COLUMN(gantt_Origin))-1)*GanttPeriod,EDATE(DATE(YEAR(GanttStart),MONTH(GanttStart)-IF(GanttPeriod&gt;=90,MOD(MONTH(GanttStart)-1,3),0),1),((COLUMN()-COLUMN(gantt_Origin))-1)*IF(GanttPeriod&gt;=90,3,1)))</f>
        <v>46394</v>
      </c>
      <c r="KZ5" s="83" t="n">
        <f aca="false">IF(GanttPeriod&lt;28,GanttStart+((COLUMN()-COLUMN(gantt_Origin))-1)*GanttPeriod,EDATE(DATE(YEAR(GanttStart),MONTH(GanttStart)-IF(GanttPeriod&gt;=90,MOD(MONTH(GanttStart)-1,3),0),1),((COLUMN()-COLUMN(gantt_Origin))-1)*IF(GanttPeriod&gt;=90,3,1)))</f>
        <v>46395</v>
      </c>
      <c r="LA5" s="83" t="n">
        <f aca="false">IF(GanttPeriod&lt;28,GanttStart+((COLUMN()-COLUMN(gantt_Origin))-1)*GanttPeriod,EDATE(DATE(YEAR(GanttStart),MONTH(GanttStart)-IF(GanttPeriod&gt;=90,MOD(MONTH(GanttStart)-1,3),0),1),((COLUMN()-COLUMN(gantt_Origin))-1)*IF(GanttPeriod&gt;=90,3,1)))</f>
        <v>46396</v>
      </c>
      <c r="LB5" s="83" t="n">
        <f aca="false">IF(GanttPeriod&lt;28,GanttStart+((COLUMN()-COLUMN(gantt_Origin))-1)*GanttPeriod,EDATE(DATE(YEAR(GanttStart),MONTH(GanttStart)-IF(GanttPeriod&gt;=90,MOD(MONTH(GanttStart)-1,3),0),1),((COLUMN()-COLUMN(gantt_Origin))-1)*IF(GanttPeriod&gt;=90,3,1)))</f>
        <v>46397</v>
      </c>
      <c r="LC5" s="83" t="n">
        <f aca="false">IF(GanttPeriod&lt;28,GanttStart+((COLUMN()-COLUMN(gantt_Origin))-1)*GanttPeriod,EDATE(DATE(YEAR(GanttStart),MONTH(GanttStart)-IF(GanttPeriod&gt;=90,MOD(MONTH(GanttStart)-1,3),0),1),((COLUMN()-COLUMN(gantt_Origin))-1)*IF(GanttPeriod&gt;=90,3,1)))</f>
        <v>46398</v>
      </c>
      <c r="LD5" s="83" t="n">
        <f aca="false">IF(GanttPeriod&lt;28,GanttStart+((COLUMN()-COLUMN(gantt_Origin))-1)*GanttPeriod,EDATE(DATE(YEAR(GanttStart),MONTH(GanttStart)-IF(GanttPeriod&gt;=90,MOD(MONTH(GanttStart)-1,3),0),1),((COLUMN()-COLUMN(gantt_Origin))-1)*IF(GanttPeriod&gt;=90,3,1)))</f>
        <v>46399</v>
      </c>
      <c r="LE5" s="83" t="n">
        <f aca="false">IF(GanttPeriod&lt;28,GanttStart+((COLUMN()-COLUMN(gantt_Origin))-1)*GanttPeriod,EDATE(DATE(YEAR(GanttStart),MONTH(GanttStart)-IF(GanttPeriod&gt;=90,MOD(MONTH(GanttStart)-1,3),0),1),((COLUMN()-COLUMN(gantt_Origin))-1)*IF(GanttPeriod&gt;=90,3,1)))</f>
        <v>46400</v>
      </c>
      <c r="LF5" s="83" t="n">
        <f aca="false">IF(GanttPeriod&lt;28,GanttStart+((COLUMN()-COLUMN(gantt_Origin))-1)*GanttPeriod,EDATE(DATE(YEAR(GanttStart),MONTH(GanttStart)-IF(GanttPeriod&gt;=90,MOD(MONTH(GanttStart)-1,3),0),1),((COLUMN()-COLUMN(gantt_Origin))-1)*IF(GanttPeriod&gt;=90,3,1)))</f>
        <v>46401</v>
      </c>
      <c r="LG5" s="83" t="n">
        <f aca="false">IF(GanttPeriod&lt;28,GanttStart+((COLUMN()-COLUMN(gantt_Origin))-1)*GanttPeriod,EDATE(DATE(YEAR(GanttStart),MONTH(GanttStart)-IF(GanttPeriod&gt;=90,MOD(MONTH(GanttStart)-1,3),0),1),((COLUMN()-COLUMN(gantt_Origin))-1)*IF(GanttPeriod&gt;=90,3,1)))</f>
        <v>46402</v>
      </c>
      <c r="LH5" s="83" t="n">
        <f aca="false">IF(GanttPeriod&lt;28,GanttStart+((COLUMN()-COLUMN(gantt_Origin))-1)*GanttPeriod,EDATE(DATE(YEAR(GanttStart),MONTH(GanttStart)-IF(GanttPeriod&gt;=90,MOD(MONTH(GanttStart)-1,3),0),1),((COLUMN()-COLUMN(gantt_Origin))-1)*IF(GanttPeriod&gt;=90,3,1)))</f>
        <v>46403</v>
      </c>
      <c r="LI5" s="83" t="n">
        <f aca="false">IF(GanttPeriod&lt;28,GanttStart+((COLUMN()-COLUMN(gantt_Origin))-1)*GanttPeriod,EDATE(DATE(YEAR(GanttStart),MONTH(GanttStart)-IF(GanttPeriod&gt;=90,MOD(MONTH(GanttStart)-1,3),0),1),((COLUMN()-COLUMN(gantt_Origin))-1)*IF(GanttPeriod&gt;=90,3,1)))</f>
        <v>46404</v>
      </c>
      <c r="LJ5" s="83" t="n">
        <f aca="false">IF(GanttPeriod&lt;28,GanttStart+((COLUMN()-COLUMN(gantt_Origin))-1)*GanttPeriod,EDATE(DATE(YEAR(GanttStart),MONTH(GanttStart)-IF(GanttPeriod&gt;=90,MOD(MONTH(GanttStart)-1,3),0),1),((COLUMN()-COLUMN(gantt_Origin))-1)*IF(GanttPeriod&gt;=90,3,1)))</f>
        <v>46405</v>
      </c>
      <c r="LK5" s="83" t="n">
        <f aca="false">IF(GanttPeriod&lt;28,GanttStart+((COLUMN()-COLUMN(gantt_Origin))-1)*GanttPeriod,EDATE(DATE(YEAR(GanttStart),MONTH(GanttStart)-IF(GanttPeriod&gt;=90,MOD(MONTH(GanttStart)-1,3),0),1),((COLUMN()-COLUMN(gantt_Origin))-1)*IF(GanttPeriod&gt;=90,3,1)))</f>
        <v>46406</v>
      </c>
      <c r="LL5" s="83" t="n">
        <f aca="false">IF(GanttPeriod&lt;28,GanttStart+((COLUMN()-COLUMN(gantt_Origin))-1)*GanttPeriod,EDATE(DATE(YEAR(GanttStart),MONTH(GanttStart)-IF(GanttPeriod&gt;=90,MOD(MONTH(GanttStart)-1,3),0),1),((COLUMN()-COLUMN(gantt_Origin))-1)*IF(GanttPeriod&gt;=90,3,1)))</f>
        <v>46407</v>
      </c>
      <c r="LM5" s="83" t="n">
        <f aca="false">IF(GanttPeriod&lt;28,GanttStart+((COLUMN()-COLUMN(gantt_Origin))-1)*GanttPeriod,EDATE(DATE(YEAR(GanttStart),MONTH(GanttStart)-IF(GanttPeriod&gt;=90,MOD(MONTH(GanttStart)-1,3),0),1),((COLUMN()-COLUMN(gantt_Origin))-1)*IF(GanttPeriod&gt;=90,3,1)))</f>
        <v>46408</v>
      </c>
      <c r="LN5" s="83" t="n">
        <f aca="false">IF(GanttPeriod&lt;28,GanttStart+((COLUMN()-COLUMN(gantt_Origin))-1)*GanttPeriod,EDATE(DATE(YEAR(GanttStart),MONTH(GanttStart)-IF(GanttPeriod&gt;=90,MOD(MONTH(GanttStart)-1,3),0),1),((COLUMN()-COLUMN(gantt_Origin))-1)*IF(GanttPeriod&gt;=90,3,1)))</f>
        <v>46409</v>
      </c>
      <c r="LO5" s="83" t="n">
        <f aca="false">IF(GanttPeriod&lt;28,GanttStart+((COLUMN()-COLUMN(gantt_Origin))-1)*GanttPeriod,EDATE(DATE(YEAR(GanttStart),MONTH(GanttStart)-IF(GanttPeriod&gt;=90,MOD(MONTH(GanttStart)-1,3),0),1),((COLUMN()-COLUMN(gantt_Origin))-1)*IF(GanttPeriod&gt;=90,3,1)))</f>
        <v>46410</v>
      </c>
      <c r="LP5" s="83" t="n">
        <f aca="false">IF(GanttPeriod&lt;28,GanttStart+((COLUMN()-COLUMN(gantt_Origin))-1)*GanttPeriod,EDATE(DATE(YEAR(GanttStart),MONTH(GanttStart)-IF(GanttPeriod&gt;=90,MOD(MONTH(GanttStart)-1,3),0),1),((COLUMN()-COLUMN(gantt_Origin))-1)*IF(GanttPeriod&gt;=90,3,1)))</f>
        <v>46411</v>
      </c>
      <c r="LQ5" s="83" t="n">
        <f aca="false">IF(GanttPeriod&lt;28,GanttStart+((COLUMN()-COLUMN(gantt_Origin))-1)*GanttPeriod,EDATE(DATE(YEAR(GanttStart),MONTH(GanttStart)-IF(GanttPeriod&gt;=90,MOD(MONTH(GanttStart)-1,3),0),1),((COLUMN()-COLUMN(gantt_Origin))-1)*IF(GanttPeriod&gt;=90,3,1)))</f>
        <v>46412</v>
      </c>
      <c r="LR5" s="83" t="n">
        <f aca="false">IF(GanttPeriod&lt;28,GanttStart+((COLUMN()-COLUMN(gantt_Origin))-1)*GanttPeriod,EDATE(DATE(YEAR(GanttStart),MONTH(GanttStart)-IF(GanttPeriod&gt;=90,MOD(MONTH(GanttStart)-1,3),0),1),((COLUMN()-COLUMN(gantt_Origin))-1)*IF(GanttPeriod&gt;=90,3,1)))</f>
        <v>46413</v>
      </c>
      <c r="LS5" s="83" t="n">
        <f aca="false">IF(GanttPeriod&lt;28,GanttStart+((COLUMN()-COLUMN(gantt_Origin))-1)*GanttPeriod,EDATE(DATE(YEAR(GanttStart),MONTH(GanttStart)-IF(GanttPeriod&gt;=90,MOD(MONTH(GanttStart)-1,3),0),1),((COLUMN()-COLUMN(gantt_Origin))-1)*IF(GanttPeriod&gt;=90,3,1)))</f>
        <v>46414</v>
      </c>
      <c r="LT5" s="83" t="n">
        <f aca="false">IF(GanttPeriod&lt;28,GanttStart+((COLUMN()-COLUMN(gantt_Origin))-1)*GanttPeriod,EDATE(DATE(YEAR(GanttStart),MONTH(GanttStart)-IF(GanttPeriod&gt;=90,MOD(MONTH(GanttStart)-1,3),0),1),((COLUMN()-COLUMN(gantt_Origin))-1)*IF(GanttPeriod&gt;=90,3,1)))</f>
        <v>46415</v>
      </c>
      <c r="LU5" s="83" t="n">
        <f aca="false">IF(GanttPeriod&lt;28,GanttStart+((COLUMN()-COLUMN(gantt_Origin))-1)*GanttPeriod,EDATE(DATE(YEAR(GanttStart),MONTH(GanttStart)-IF(GanttPeriod&gt;=90,MOD(MONTH(GanttStart)-1,3),0),1),((COLUMN()-COLUMN(gantt_Origin))-1)*IF(GanttPeriod&gt;=90,3,1)))</f>
        <v>46416</v>
      </c>
      <c r="LV5" s="83" t="n">
        <f aca="false">IF(GanttPeriod&lt;28,GanttStart+((COLUMN()-COLUMN(gantt_Origin))-1)*GanttPeriod,EDATE(DATE(YEAR(GanttStart),MONTH(GanttStart)-IF(GanttPeriod&gt;=90,MOD(MONTH(GanttStart)-1,3),0),1),((COLUMN()-COLUMN(gantt_Origin))-1)*IF(GanttPeriod&gt;=90,3,1)))</f>
        <v>46417</v>
      </c>
      <c r="LW5" s="83" t="n">
        <f aca="false">IF(GanttPeriod&lt;28,GanttStart+((COLUMN()-COLUMN(gantt_Origin))-1)*GanttPeriod,EDATE(DATE(YEAR(GanttStart),MONTH(GanttStart)-IF(GanttPeriod&gt;=90,MOD(MONTH(GanttStart)-1,3),0),1),((COLUMN()-COLUMN(gantt_Origin))-1)*IF(GanttPeriod&gt;=90,3,1)))</f>
        <v>46418</v>
      </c>
      <c r="LX5" s="83" t="n">
        <f aca="false">IF(GanttPeriod&lt;28,GanttStart+((COLUMN()-COLUMN(gantt_Origin))-1)*GanttPeriod,EDATE(DATE(YEAR(GanttStart),MONTH(GanttStart)-IF(GanttPeriod&gt;=90,MOD(MONTH(GanttStart)-1,3),0),1),((COLUMN()-COLUMN(gantt_Origin))-1)*IF(GanttPeriod&gt;=90,3,1)))</f>
        <v>46419</v>
      </c>
      <c r="LY5" s="83" t="n">
        <f aca="false">IF(GanttPeriod&lt;28,GanttStart+((COLUMN()-COLUMN(gantt_Origin))-1)*GanttPeriod,EDATE(DATE(YEAR(GanttStart),MONTH(GanttStart)-IF(GanttPeriod&gt;=90,MOD(MONTH(GanttStart)-1,3),0),1),((COLUMN()-COLUMN(gantt_Origin))-1)*IF(GanttPeriod&gt;=90,3,1)))</f>
        <v>46420</v>
      </c>
      <c r="LZ5" s="83" t="n">
        <f aca="false">IF(GanttPeriod&lt;28,GanttStart+((COLUMN()-COLUMN(gantt_Origin))-1)*GanttPeriod,EDATE(DATE(YEAR(GanttStart),MONTH(GanttStart)-IF(GanttPeriod&gt;=90,MOD(MONTH(GanttStart)-1,3),0),1),((COLUMN()-COLUMN(gantt_Origin))-1)*IF(GanttPeriod&gt;=90,3,1)))</f>
        <v>46421</v>
      </c>
      <c r="MA5" s="83" t="n">
        <f aca="false">IF(GanttPeriod&lt;28,GanttStart+((COLUMN()-COLUMN(gantt_Origin))-1)*GanttPeriod,EDATE(DATE(YEAR(GanttStart),MONTH(GanttStart)-IF(GanttPeriod&gt;=90,MOD(MONTH(GanttStart)-1,3),0),1),((COLUMN()-COLUMN(gantt_Origin))-1)*IF(GanttPeriod&gt;=90,3,1)))</f>
        <v>46422</v>
      </c>
      <c r="MB5" s="83" t="n">
        <f aca="false">IF(GanttPeriod&lt;28,GanttStart+((COLUMN()-COLUMN(gantt_Origin))-1)*GanttPeriod,EDATE(DATE(YEAR(GanttStart),MONTH(GanttStart)-IF(GanttPeriod&gt;=90,MOD(MONTH(GanttStart)-1,3),0),1),((COLUMN()-COLUMN(gantt_Origin))-1)*IF(GanttPeriod&gt;=90,3,1)))</f>
        <v>46423</v>
      </c>
      <c r="MC5" s="83" t="n">
        <f aca="false">IF(GanttPeriod&lt;28,GanttStart+((COLUMN()-COLUMN(gantt_Origin))-1)*GanttPeriod,EDATE(DATE(YEAR(GanttStart),MONTH(GanttStart)-IF(GanttPeriod&gt;=90,MOD(MONTH(GanttStart)-1,3),0),1),((COLUMN()-COLUMN(gantt_Origin))-1)*IF(GanttPeriod&gt;=90,3,1)))</f>
        <v>46424</v>
      </c>
      <c r="MD5" s="83" t="n">
        <f aca="false">IF(GanttPeriod&lt;28,GanttStart+((COLUMN()-COLUMN(gantt_Origin))-1)*GanttPeriod,EDATE(DATE(YEAR(GanttStart),MONTH(GanttStart)-IF(GanttPeriod&gt;=90,MOD(MONTH(GanttStart)-1,3),0),1),((COLUMN()-COLUMN(gantt_Origin))-1)*IF(GanttPeriod&gt;=90,3,1)))</f>
        <v>46425</v>
      </c>
      <c r="ME5" s="83" t="n">
        <f aca="false">IF(GanttPeriod&lt;28,GanttStart+((COLUMN()-COLUMN(gantt_Origin))-1)*GanttPeriod,EDATE(DATE(YEAR(GanttStart),MONTH(GanttStart)-IF(GanttPeriod&gt;=90,MOD(MONTH(GanttStart)-1,3),0),1),((COLUMN()-COLUMN(gantt_Origin))-1)*IF(GanttPeriod&gt;=90,3,1)))</f>
        <v>46426</v>
      </c>
      <c r="MF5" s="83" t="n">
        <f aca="false">IF(GanttPeriod&lt;28,GanttStart+((COLUMN()-COLUMN(gantt_Origin))-1)*GanttPeriod,EDATE(DATE(YEAR(GanttStart),MONTH(GanttStart)-IF(GanttPeriod&gt;=90,MOD(MONTH(GanttStart)-1,3),0),1),((COLUMN()-COLUMN(gantt_Origin))-1)*IF(GanttPeriod&gt;=90,3,1)))</f>
        <v>46427</v>
      </c>
      <c r="MG5" s="83" t="n">
        <f aca="false">IF(GanttPeriod&lt;28,GanttStart+((COLUMN()-COLUMN(gantt_Origin))-1)*GanttPeriod,EDATE(DATE(YEAR(GanttStart),MONTH(GanttStart)-IF(GanttPeriod&gt;=90,MOD(MONTH(GanttStart)-1,3),0),1),((COLUMN()-COLUMN(gantt_Origin))-1)*IF(GanttPeriod&gt;=90,3,1)))</f>
        <v>46428</v>
      </c>
      <c r="MH5" s="83" t="n">
        <f aca="false">IF(GanttPeriod&lt;28,GanttStart+((COLUMN()-COLUMN(gantt_Origin))-1)*GanttPeriod,EDATE(DATE(YEAR(GanttStart),MONTH(GanttStart)-IF(GanttPeriod&gt;=90,MOD(MONTH(GanttStart)-1,3),0),1),((COLUMN()-COLUMN(gantt_Origin))-1)*IF(GanttPeriod&gt;=90,3,1)))</f>
        <v>46429</v>
      </c>
      <c r="MI5" s="83" t="n">
        <f aca="false">IF(GanttPeriod&lt;28,GanttStart+((COLUMN()-COLUMN(gantt_Origin))-1)*GanttPeriod,EDATE(DATE(YEAR(GanttStart),MONTH(GanttStart)-IF(GanttPeriod&gt;=90,MOD(MONTH(GanttStart)-1,3),0),1),((COLUMN()-COLUMN(gantt_Origin))-1)*IF(GanttPeriod&gt;=90,3,1)))</f>
        <v>46430</v>
      </c>
      <c r="MJ5" s="83" t="n">
        <f aca="false">IF(GanttPeriod&lt;28,GanttStart+((COLUMN()-COLUMN(gantt_Origin))-1)*GanttPeriod,EDATE(DATE(YEAR(GanttStart),MONTH(GanttStart)-IF(GanttPeriod&gt;=90,MOD(MONTH(GanttStart)-1,3),0),1),((COLUMN()-COLUMN(gantt_Origin))-1)*IF(GanttPeriod&gt;=90,3,1)))</f>
        <v>46431</v>
      </c>
      <c r="MK5" s="83" t="n">
        <f aca="false">IF(GanttPeriod&lt;28,GanttStart+((COLUMN()-COLUMN(gantt_Origin))-1)*GanttPeriod,EDATE(DATE(YEAR(GanttStart),MONTH(GanttStart)-IF(GanttPeriod&gt;=90,MOD(MONTH(GanttStart)-1,3),0),1),((COLUMN()-COLUMN(gantt_Origin))-1)*IF(GanttPeriod&gt;=90,3,1)))</f>
        <v>46432</v>
      </c>
      <c r="ML5" s="83" t="n">
        <f aca="false">IF(GanttPeriod&lt;28,GanttStart+((COLUMN()-COLUMN(gantt_Origin))-1)*GanttPeriod,EDATE(DATE(YEAR(GanttStart),MONTH(GanttStart)-IF(GanttPeriod&gt;=90,MOD(MONTH(GanttStart)-1,3),0),1),((COLUMN()-COLUMN(gantt_Origin))-1)*IF(GanttPeriod&gt;=90,3,1)))</f>
        <v>46433</v>
      </c>
      <c r="MM5" s="83" t="n">
        <f aca="false">IF(GanttPeriod&lt;28,GanttStart+((COLUMN()-COLUMN(gantt_Origin))-1)*GanttPeriod,EDATE(DATE(YEAR(GanttStart),MONTH(GanttStart)-IF(GanttPeriod&gt;=90,MOD(MONTH(GanttStart)-1,3),0),1),((COLUMN()-COLUMN(gantt_Origin))-1)*IF(GanttPeriod&gt;=90,3,1)))</f>
        <v>46434</v>
      </c>
      <c r="MN5" s="83" t="n">
        <f aca="false">IF(GanttPeriod&lt;28,GanttStart+((COLUMN()-COLUMN(gantt_Origin))-1)*GanttPeriod,EDATE(DATE(YEAR(GanttStart),MONTH(GanttStart)-IF(GanttPeriod&gt;=90,MOD(MONTH(GanttStart)-1,3),0),1),((COLUMN()-COLUMN(gantt_Origin))-1)*IF(GanttPeriod&gt;=90,3,1)))</f>
        <v>46435</v>
      </c>
      <c r="MO5" s="83" t="n">
        <f aca="false">IF(GanttPeriod&lt;28,GanttStart+((COLUMN()-COLUMN(gantt_Origin))-1)*GanttPeriod,EDATE(DATE(YEAR(GanttStart),MONTH(GanttStart)-IF(GanttPeriod&gt;=90,MOD(MONTH(GanttStart)-1,3),0),1),((COLUMN()-COLUMN(gantt_Origin))-1)*IF(GanttPeriod&gt;=90,3,1)))</f>
        <v>46436</v>
      </c>
      <c r="MP5" s="83" t="n">
        <f aca="false">IF(GanttPeriod&lt;28,GanttStart+((COLUMN()-COLUMN(gantt_Origin))-1)*GanttPeriod,EDATE(DATE(YEAR(GanttStart),MONTH(GanttStart)-IF(GanttPeriod&gt;=90,MOD(MONTH(GanttStart)-1,3),0),1),((COLUMN()-COLUMN(gantt_Origin))-1)*IF(GanttPeriod&gt;=90,3,1)))</f>
        <v>46437</v>
      </c>
      <c r="MQ5" s="83" t="n">
        <f aca="false">IF(GanttPeriod&lt;28,GanttStart+((COLUMN()-COLUMN(gantt_Origin))-1)*GanttPeriod,EDATE(DATE(YEAR(GanttStart),MONTH(GanttStart)-IF(GanttPeriod&gt;=90,MOD(MONTH(GanttStart)-1,3),0),1),((COLUMN()-COLUMN(gantt_Origin))-1)*IF(GanttPeriod&gt;=90,3,1)))</f>
        <v>46438</v>
      </c>
      <c r="MR5" s="83" t="n">
        <f aca="false">IF(GanttPeriod&lt;28,GanttStart+((COLUMN()-COLUMN(gantt_Origin))-1)*GanttPeriod,EDATE(DATE(YEAR(GanttStart),MONTH(GanttStart)-IF(GanttPeriod&gt;=90,MOD(MONTH(GanttStart)-1,3),0),1),((COLUMN()-COLUMN(gantt_Origin))-1)*IF(GanttPeriod&gt;=90,3,1)))</f>
        <v>46439</v>
      </c>
      <c r="MS5" s="83" t="n">
        <f aca="false">IF(GanttPeriod&lt;28,GanttStart+((COLUMN()-COLUMN(gantt_Origin))-1)*GanttPeriod,EDATE(DATE(YEAR(GanttStart),MONTH(GanttStart)-IF(GanttPeriod&gt;=90,MOD(MONTH(GanttStart)-1,3),0),1),((COLUMN()-COLUMN(gantt_Origin))-1)*IF(GanttPeriod&gt;=90,3,1)))</f>
        <v>46440</v>
      </c>
      <c r="MT5" s="83" t="n">
        <f aca="false">IF(GanttPeriod&lt;28,GanttStart+((COLUMN()-COLUMN(gantt_Origin))-1)*GanttPeriod,EDATE(DATE(YEAR(GanttStart),MONTH(GanttStart)-IF(GanttPeriod&gt;=90,MOD(MONTH(GanttStart)-1,3),0),1),((COLUMN()-COLUMN(gantt_Origin))-1)*IF(GanttPeriod&gt;=90,3,1)))</f>
        <v>46441</v>
      </c>
      <c r="MU5" s="83" t="n">
        <f aca="false">IF(GanttPeriod&lt;28,GanttStart+((COLUMN()-COLUMN(gantt_Origin))-1)*GanttPeriod,EDATE(DATE(YEAR(GanttStart),MONTH(GanttStart)-IF(GanttPeriod&gt;=90,MOD(MONTH(GanttStart)-1,3),0),1),((COLUMN()-COLUMN(gantt_Origin))-1)*IF(GanttPeriod&gt;=90,3,1)))</f>
        <v>46442</v>
      </c>
      <c r="MV5" s="83" t="n">
        <f aca="false">IF(GanttPeriod&lt;28,GanttStart+((COLUMN()-COLUMN(gantt_Origin))-1)*GanttPeriod,EDATE(DATE(YEAR(GanttStart),MONTH(GanttStart)-IF(GanttPeriod&gt;=90,MOD(MONTH(GanttStart)-1,3),0),1),((COLUMN()-COLUMN(gantt_Origin))-1)*IF(GanttPeriod&gt;=90,3,1)))</f>
        <v>46443</v>
      </c>
      <c r="MW5" s="83" t="n">
        <f aca="false">IF(GanttPeriod&lt;28,GanttStart+((COLUMN()-COLUMN(gantt_Origin))-1)*GanttPeriod,EDATE(DATE(YEAR(GanttStart),MONTH(GanttStart)-IF(GanttPeriod&gt;=90,MOD(MONTH(GanttStart)-1,3),0),1),((COLUMN()-COLUMN(gantt_Origin))-1)*IF(GanttPeriod&gt;=90,3,1)))</f>
        <v>46444</v>
      </c>
      <c r="MX5" s="83" t="n">
        <f aca="false">IF(GanttPeriod&lt;28,GanttStart+((COLUMN()-COLUMN(gantt_Origin))-1)*GanttPeriod,EDATE(DATE(YEAR(GanttStart),MONTH(GanttStart)-IF(GanttPeriod&gt;=90,MOD(MONTH(GanttStart)-1,3),0),1),((COLUMN()-COLUMN(gantt_Origin))-1)*IF(GanttPeriod&gt;=90,3,1)))</f>
        <v>46445</v>
      </c>
      <c r="MY5" s="83" t="n">
        <f aca="false">IF(GanttPeriod&lt;28,GanttStart+((COLUMN()-COLUMN(gantt_Origin))-1)*GanttPeriod,EDATE(DATE(YEAR(GanttStart),MONTH(GanttStart)-IF(GanttPeriod&gt;=90,MOD(MONTH(GanttStart)-1,3),0),1),((COLUMN()-COLUMN(gantt_Origin))-1)*IF(GanttPeriod&gt;=90,3,1)))</f>
        <v>46446</v>
      </c>
      <c r="MZ5" s="83" t="n">
        <f aca="false">IF(GanttPeriod&lt;28,GanttStart+((COLUMN()-COLUMN(gantt_Origin))-1)*GanttPeriod,EDATE(DATE(YEAR(GanttStart),MONTH(GanttStart)-IF(GanttPeriod&gt;=90,MOD(MONTH(GanttStart)-1,3),0),1),((COLUMN()-COLUMN(gantt_Origin))-1)*IF(GanttPeriod&gt;=90,3,1)))</f>
        <v>46447</v>
      </c>
      <c r="NA5" s="83" t="n">
        <f aca="false">IF(GanttPeriod&lt;28,GanttStart+((COLUMN()-COLUMN(gantt_Origin))-1)*GanttPeriod,EDATE(DATE(YEAR(GanttStart),MONTH(GanttStart)-IF(GanttPeriod&gt;=90,MOD(MONTH(GanttStart)-1,3),0),1),((COLUMN()-COLUMN(gantt_Origin))-1)*IF(GanttPeriod&gt;=90,3,1)))</f>
        <v>46448</v>
      </c>
      <c r="NB5" s="83"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639</v>
      </c>
      <c r="E6" s="22"/>
      <c r="F6" s="23"/>
      <c r="G6" s="22"/>
      <c r="H6" s="22"/>
      <c r="I6" s="23"/>
      <c r="J6" s="22"/>
      <c r="K6" s="22"/>
      <c r="L6" s="23"/>
      <c r="M6" s="22"/>
      <c r="N6" s="22"/>
      <c r="O6" s="23"/>
      <c r="P6" s="22"/>
      <c r="Q6" s="22"/>
      <c r="R6" s="23"/>
      <c r="S6" s="23"/>
      <c r="T6" s="84"/>
      <c r="U6" s="23"/>
      <c r="V6" s="84"/>
      <c r="W6" s="23"/>
      <c r="X6" s="84"/>
      <c r="Y6" s="23"/>
      <c r="Z6" s="84"/>
      <c r="AA6" s="23"/>
      <c r="AB6" s="23"/>
      <c r="AC6" s="7"/>
      <c r="AD6" s="7"/>
      <c r="AE6" s="63" t="n">
        <f aca="false">IF(Tasks[[#This Row],[Task Name]]="","",IF(Tasks[[#This Row],[_IsSummary]],MIN(INDEX(Tasks[_ShownFcstStart],Tasks[[#This Row],[_Row]]+1):INDEX(Tasks[_ShownFcstStart],Tasks[[#This Row],[_Row]]+Tasks[[#This Row],[_Descendants]])),Tasks[[#This Row],[_ShownFcstStart]]))</f>
        <v>46272</v>
      </c>
      <c r="AF6" s="63" t="n">
        <f aca="false">IF(Tasks[[#This Row],[Task Name]]="","",IF(Tasks[[#This Row],[_IsSummary]],MAX(INDEX(Tasks[_ShownFcstFinish],Tasks[[#This Row],[_Row]]+1):INDEX(Tasks[_ShownFcstFinish],Tasks[[#This Row],[_Row]]+Tasks[[#This Row],[_Descendants]])),Tasks[[#This Row],[_ShownFcstFinish]]))</f>
        <v>46279</v>
      </c>
      <c r="AG6" s="21" t="str">
        <f aca="false">""</f>
        <v/>
      </c>
      <c r="AH6" s="23" t="s">
        <v>640</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 s="7"/>
      <c r="AK6" s="22" t="s">
        <v>248</v>
      </c>
      <c r="AL6" s="23"/>
      <c r="AM6" s="7"/>
      <c r="AN6" s="47"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3" t="n">
        <f aca="false">IF(Tasks[[#This Row],[Task Name]]="","",IF(N(Tasks[[#This Row],[Baseline Start]])&gt;0,Tasks[[#This Row],[Baseline Start]],Tasks[[#This Row],[_CalcStart]]))</f>
        <v>46272</v>
      </c>
      <c r="AR6" s="63" t="n">
        <f aca="false">IF(Tasks[[#This Row],[Task Name]]="","",IF(N(Tasks[[#This Row],[Baseline Finish]])&gt;0,Tasks[[#This Row],[Baseline Finish]],Tasks[[#This Row],[_CalcFinish]]))</f>
        <v>46276</v>
      </c>
      <c r="AS6" s="47" t="n">
        <f aca="false">IF(Tasks[[#This Row],[Task Name]]="","",IF(Tasks[[#This Row],[Start]]&gt;=Tasks[[#This Row],[Planned Start]],NETWORKDAYS.INTL(Tasks[[#This Row],[Planned Start]],Tasks[[#This Row],[Start]],WorkWeek,Holidays)-1,1-NETWORKDAYS.INTL(Tasks[[#This Row],[Start]],Tasks[[#This Row],[Planned Start]],WorkWeek,Holidays)))</f>
        <v>0</v>
      </c>
      <c r="AT6" s="63" t="n">
        <f aca="false">IF(Tasks[[#This Row],[Task Name]]="","",IF(Tasks[[#This Row],[_IsSummary]],MIN(INDEX(Tasks[_LeafLateStart],Tasks[[#This Row],[_Row]]+1):INDEX(Tasks[_LeafLateStart],Tasks[[#This Row],[_Row]]+Tasks[[#This Row],[_Descendants]])),Tasks[[#This Row],[_LeafLateStart]]))</f>
        <v>46276</v>
      </c>
      <c r="AU6" s="63" t="n">
        <f aca="false">IF(Tasks[[#This Row],[Task Name]]="","",IF(Tasks[[#This Row],[_IsSummary]],MAX(INDEX(Tasks[_LeafLateFinish],Tasks[[#This Row],[_Row]]+1):INDEX(Tasks[_LeafLateFinish],Tasks[[#This Row],[_Row]]+Tasks[[#This Row],[_Descendants]])),Tasks[[#This Row],[_LeafLateFinish]]))</f>
        <v>46282</v>
      </c>
      <c r="AV6" s="47"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5"/>
      <c r="BA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6"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7"/>
      <c r="BJ6" s="22"/>
      <c r="BK6" s="47" t="n">
        <f aca="false">IF(OR(Tasks[[#This Row],[Task Name]]="",Tasks[[#This Row],[Baseline Duration]]=""),"",Tasks[[#This Row],[_SpanDays]]-N(Tasks[[#This Row],[Baseline Duration]]))</f>
        <v>1</v>
      </c>
      <c r="BL6" s="86" t="n">
        <f aca="false">IF(OR(Tasks[[#This Row],[Task Name]]="",Tasks[[#This Row],[Baseline Work]]=""),"",Tasks[[#This Row],[Work]]-N(Tasks[[#This Row],[Baseline Work]]))</f>
        <v>0</v>
      </c>
      <c r="BM6" s="63" t="n">
        <f aca="false">IF(Tasks[[#This Row],[Task Name]]="","",IF(OR(TakeBaseline="Yes",N(Tasks[[#This Row],[Baseline Start]])=0),Tasks[[#This Row],[Start]],Tasks[[#This Row],[Baseline Start]]))</f>
        <v>46272</v>
      </c>
      <c r="BN6" s="63" t="n">
        <f aca="false">IF(Tasks[[#This Row],[Task Name]]="","",IF(OR(TakeBaseline="Yes",N(Tasks[[#This Row],[Baseline Finish]])=0),Tasks[[#This Row],[Finish]],Tasks[[#This Row],[Baseline Finish]]))</f>
        <v>46276</v>
      </c>
      <c r="BO6" s="21" t="n">
        <f aca="false">IF(Tasks[[#This Row],[Task Name]]="","",IF(OR(TakeBaseline="Yes",N(Tasks[[#This Row],[Baseline Duration]])=0),Tasks[[#This Row],[_SpanDays]],Tasks[[#This Row],[Baseline Duration]]))</f>
        <v>5</v>
      </c>
      <c r="BP6" s="86" t="n">
        <f aca="false">IF(Tasks[[#This Row],[Task Name]]="","",IF(OR(TakeBaseline="Yes",N(Tasks[[#This Row],[Baseline Work]])=0),Tasks[[#This Row],[Work]],Tasks[[#This Row],[Baseline Work]]))</f>
        <v>40</v>
      </c>
      <c r="BQ6" s="7" t="n">
        <v>46272</v>
      </c>
      <c r="BR6" s="7" t="n">
        <v>46276</v>
      </c>
      <c r="BS6" s="22" t="n">
        <v>5</v>
      </c>
      <c r="BT6" s="88" t="n">
        <v>40</v>
      </c>
      <c r="BU6" s="23"/>
      <c r="BV6" s="23"/>
      <c r="BW6" s="23"/>
      <c r="BX6" s="89" t="str">
        <f aca="false">IF(AND(Tasks[[#This Row],[_IsLeaf]]=1,ISNUMBER(Tasks[[#This Row],[Optimistic]]),ISNUMBER(Tasks[[#This Row],[Pessimistic]])),ROUND((Tasks[[#This Row],[Optimistic]]+4*N(Tasks[[#This Row],[_Days]])+Tasks[[#This Row],[Pessimistic]])/6,1),"")</f>
        <v/>
      </c>
      <c r="BY6" s="87"/>
      <c r="BZ6" s="87"/>
      <c r="CA6" s="22"/>
      <c r="CB6" s="43" t="n">
        <f aca="false">IF(Tasks[[#This Row],[Task Name]]="","",MAX(1,N(Tasks[[#This Row],[Level]])))</f>
        <v>1</v>
      </c>
      <c r="CC6" s="43" t="n">
        <f aca="false">ROW()-ROW(Tasks[[#Headers],[ID]])</f>
        <v>1</v>
      </c>
      <c r="CD6" s="43" t="n">
        <f aca="false">IF(OR(Tasks[[#This Row],[Task Name]]="",Tasks[[#This Row],[_Level]]&lt;=1),0,IFERROR(LOOKUP(2,1/(Tasks[[#Headers],[_Level]]:Tasks[[#This Row],[_Level]]=Tasks[[#This Row],[_Level]]-1),ROW(Tasks[[#Headers],[_Level]]:Tasks[[#This Row],[_Level]])),0))</f>
        <v>0</v>
      </c>
      <c r="CE6" s="43" t="n">
        <f aca="false">IFERROR(N(INDEX(Tasks[_Level],Tasks[[#This Row],[_Row]]+1)),0)</f>
        <v>2</v>
      </c>
      <c r="CF6" s="90" t="b">
        <f aca="false">AND(Tasks[[#This Row],[Task Name]]&lt;&gt;"",Tasks[[#This Row],[_NextLevel]]&gt;Tasks[[#This Row],[_Level]])</f>
        <v>1</v>
      </c>
      <c r="CG6" s="43" t="n">
        <f aca="false">IF(Tasks[[#This Row],[_IsSummary]],COUNTIF(Tasks[WBS],Tasks[[#This Row],[WBS]]&amp;".*"),0)</f>
        <v>3</v>
      </c>
      <c r="CH6" s="43" t="n">
        <f aca="false">IF(AND(Tasks[[#This Row],[Task Name]]&lt;&gt;"",NOT(Tasks[[#This Row],[_IsSummary]])),1,0)</f>
        <v>0</v>
      </c>
      <c r="CI6" s="43" t="n">
        <f aca="false">IF(N(Tasks[[#This Row],[_Pred1UID]])=0,0,IFERROR(MATCH(Tasks[[#This Row],[_Pred1UID]],Tasks[UID],0),-1))</f>
        <v>0</v>
      </c>
      <c r="CJ6" s="43" t="n">
        <f aca="false">IF(N(Tasks[[#This Row],[_Pred2UID]])=0,0,IFERROR(MATCH(Tasks[[#This Row],[_Pred2UID]],Tasks[UID],0),-1))</f>
        <v>0</v>
      </c>
      <c r="CK6" s="43" t="n">
        <f aca="false">IF(N(Tasks[[#This Row],[_Pred3UID]])=0,0,IFERROR(MATCH(Tasks[[#This Row],[_Pred3UID]],Tasks[UID],0),-1))</f>
        <v>0</v>
      </c>
      <c r="CL6" s="43" t="n">
        <f aca="false">IF(N(Tasks[[#This Row],[_Pred4UID]])=0,0,IFERROR(MATCH(Tasks[[#This Row],[_Pred4UID]],Tasks[UID],0),-1))</f>
        <v>0</v>
      </c>
      <c r="CM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 s="91" t="n">
        <f aca="false">IF(OR(Tasks[[#This Row],[_ConstraintCode]]=2,Tasks[[#This Row],[_ConstraintCode]]=3,Tasks[[#This Row],[_ConstraintCode]]=4,Tasks[[#This Row],[_ConstraintCode]]=6),Tasks[[#This Row],[_ConstraintStart]],0)</f>
        <v>0</v>
      </c>
      <c r="CP6" s="91" t="n">
        <f aca="false">IF(OR(Tasks[[#This Row],[_ConstraintCode]]=2,Tasks[[#This Row],[_ConstraintCode]]=3,Tasks[[#This Row],[_ConstraintCode]]=5,Tasks[[#This Row],[_ConstraintCode]]=7),Tasks[[#This Row],[_ConstraintStart]],2958465)</f>
        <v>2958465</v>
      </c>
      <c r="CQ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91" t="str">
        <f aca="false">IF(NOT(Tasks[[#This Row],[_IsLeaf]]=1),"",IF(N(Tasks[[#This Row],[_Days]])&lt;=0,Tasks[[#This Row],[_LeafCalcStart]],WORKDAY.INTL(Tasks[[#This Row],[_LeafCalcStart]],Tasks[[#This Row],[_Days]]-1,WorkWeek,Holidays)))</f>
        <v/>
      </c>
      <c r="CS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3" t="str">
        <f aca="false">IF(Tasks[[#This Row],[_Predecessors]]="","",TRIM(MID(SUBSTITUTE(SUBSTITUTE(SUBSTITUTE(UPPER(Tasks[[#This Row],[_Predecessors]]),";",",")," ",""),",",REPT(" ",99)),1,99)))</f>
        <v/>
      </c>
      <c r="CV6" s="43" t="str">
        <f aca="false">IF(Tasks[[#This Row],[_Pred1Text]]="","",IFERROR(VALUE(LEFT(Tasks[[#This Row],[_Pred1Text]],MIN(FIND("F",Tasks[[#This Row],[_Pred1Text]]&amp;"F"),FIND("S",Tasks[[#This Row],[_Pred1Text]]&amp;"S"),FIND("+",Tasks[[#This Row],[_Pred1Text]]&amp;"+"),FIND("-",Tasks[[#This Row],[_Pred1Text]]&amp;"-"))-1)),""))</f>
        <v/>
      </c>
      <c r="CW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3" t="str">
        <f aca="false">IF(Tasks[[#This Row],[_Pred1Text]]="","",TRIM(MID(SUBSTITUTE(SUBSTITUTE(SUBSTITUTE(UPPER(Tasks[[#This Row],[_Predecessors]]),";",",")," ",""),",",REPT(" ",99)),100,99)))</f>
        <v/>
      </c>
      <c r="CZ6" s="43" t="str">
        <f aca="false">IF(Tasks[[#This Row],[_Pred2Text]]="","",IFERROR(VALUE(LEFT(Tasks[[#This Row],[_Pred2Text]],MIN(FIND("F",Tasks[[#This Row],[_Pred2Text]]&amp;"F"),FIND("S",Tasks[[#This Row],[_Pred2Text]]&amp;"S"),FIND("+",Tasks[[#This Row],[_Pred2Text]]&amp;"+"),FIND("-",Tasks[[#This Row],[_Pred2Text]]&amp;"-"))-1)),""))</f>
        <v/>
      </c>
      <c r="DA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3" t="str">
        <f aca="false">IF(Tasks[[#This Row],[_Pred2Text]]="","",TRIM(MID(SUBSTITUTE(SUBSTITUTE(SUBSTITUTE(UPPER(Tasks[[#This Row],[_Predecessors]]),";",",")," ",""),",",REPT(" ",99)),199,99)))</f>
        <v/>
      </c>
      <c r="DD6" s="43" t="str">
        <f aca="false">IF(Tasks[[#This Row],[_Pred3Text]]="","",IFERROR(VALUE(LEFT(Tasks[[#This Row],[_Pred3Text]],MIN(FIND("F",Tasks[[#This Row],[_Pred3Text]]&amp;"F"),FIND("S",Tasks[[#This Row],[_Pred3Text]]&amp;"S"),FIND("+",Tasks[[#This Row],[_Pred3Text]]&amp;"+"),FIND("-",Tasks[[#This Row],[_Pred3Text]]&amp;"-"))-1)),""))</f>
        <v/>
      </c>
      <c r="DE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3" t="str">
        <f aca="false">IF(Tasks[[#This Row],[_Pred3Text]]="","",TRIM(MID(SUBSTITUTE(SUBSTITUTE(SUBSTITUTE(UPPER(Tasks[[#This Row],[_Predecessors]]),";",",")," ",""),",",REPT(" ",99)),298,99)))</f>
        <v/>
      </c>
      <c r="DH6" s="43" t="str">
        <f aca="false">IF(Tasks[[#This Row],[_Pred4Text]]="","",IFERROR(VALUE(LEFT(Tasks[[#This Row],[_Pred4Text]],MIN(FIND("F",Tasks[[#This Row],[_Pred4Text]]&amp;"F"),FIND("S",Tasks[[#This Row],[_Pred4Text]]&amp;"S"),FIND("+",Tasks[[#This Row],[_Pred4Text]]&amp;"+"),FIND("-",Tasks[[#This Row],[_Pred4Text]]&amp;"-"))-1)),""))</f>
        <v/>
      </c>
      <c r="DI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3" t="str">
        <f aca="false">IF(OR(Tasks[[#This Row],[Task Name]]="",Tasks[[#This Row],[_Resources]]=""),"",TRIM(MID(SUBSTITUTE(Tasks[[#This Row],[_Resources]],",",REPT(" ",99)),1,99)))</f>
        <v/>
      </c>
      <c r="DL6" s="43" t="str">
        <f aca="false">IF(Tasks[[#This Row],[_Res1Text]]="","",TRIM(MID(SUBSTITUTE(Tasks[[#This Row],[_Resources]],",",REPT(" ",99)),100,99)))</f>
        <v/>
      </c>
      <c r="DM6" s="43" t="str">
        <f aca="false">IF(Tasks[[#This Row],[_Res2Text]]="","",TRIM(MID(SUBSTITUTE(Tasks[[#This Row],[_Resources]],",",REPT(" ",99)),199,99)))</f>
        <v/>
      </c>
      <c r="DN6" s="43" t="str">
        <f aca="false">IF(Tasks[[#This Row],[_Res3Text]]="","",TRIM(MID(SUBSTITUTE(Tasks[[#This Row],[_Resources]],",",REPT(" ",99)),298,99)))</f>
        <v/>
      </c>
      <c r="DO6" s="43" t="n">
        <f aca="false">IF(Tasks[[#This Row],[_Res1Text]]="",0,IFERROR(MATCH(TRIM(LEFT(Tasks[[#This Row],[_Res1Text]],FIND("[",Tasks[[#This Row],[_Res1Text]]&amp;"[")-1)),res_Name,0),IFERROR(MATCH(TRIM(LEFT(Tasks[[#This Row],[_Res1Text]],FIND("[",Tasks[[#This Row],[_Res1Text]]&amp;"[")-1)),res_Initials,0),0)))</f>
        <v>0</v>
      </c>
      <c r="DP6" s="43" t="n">
        <f aca="false">IF(Tasks[[#This Row],[_Res2Text]]="",0,IFERROR(MATCH(TRIM(LEFT(Tasks[[#This Row],[_Res2Text]],FIND("[",Tasks[[#This Row],[_Res2Text]]&amp;"[")-1)),res_Name,0),IFERROR(MATCH(TRIM(LEFT(Tasks[[#This Row],[_Res2Text]],FIND("[",Tasks[[#This Row],[_Res2Text]]&amp;"[")-1)),res_Initials,0),0)))</f>
        <v>0</v>
      </c>
      <c r="DQ6" s="43" t="n">
        <f aca="false">IF(Tasks[[#This Row],[_Res3Text]]="",0,IFERROR(MATCH(TRIM(LEFT(Tasks[[#This Row],[_Res3Text]],FIND("[",Tasks[[#This Row],[_Res3Text]]&amp;"[")-1)),res_Name,0),IFERROR(MATCH(TRIM(LEFT(Tasks[[#This Row],[_Res3Text]],FIND("[",Tasks[[#This Row],[_Res3Text]]&amp;"[")-1)),res_Initials,0),0)))</f>
        <v>0</v>
      </c>
      <c r="DR6" s="43" t="n">
        <f aca="false">IF(Tasks[[#This Row],[_Res4Text]]="",0,IFERROR(MATCH(TRIM(LEFT(Tasks[[#This Row],[_Res4Text]],FIND("[",Tasks[[#This Row],[_Res4Text]]&amp;"[")-1)),res_Name,0),IFERROR(MATCH(TRIM(LEFT(Tasks[[#This Row],[_Res4Text]],FIND("[",Tasks[[#This Row],[_Res4Text]]&amp;"[")-1)),res_Initials,0),0)))</f>
        <v>0</v>
      </c>
      <c r="DS6" s="43" t="str">
        <f aca="false">IF(Tasks[[#This Row],[_Res1Text]]="","",IF(Tasks[[#This Row],[_Res1Row]]&gt;0,INDEX(res_Name,Tasks[[#This Row],[_Res1Row]]),TRIM(LEFT(Tasks[[#This Row],[_Res1Text]],FIND("[",Tasks[[#This Row],[_Res1Text]]&amp;"[")-1))))</f>
        <v/>
      </c>
      <c r="DT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3" t="n">
        <f aca="false">IF(NOT(Tasks[[#This Row],[_IsLeaf]]=1),0,(Tasks[[#This Row],[_Resource1]]&lt;&gt;"")+(Tasks[[#This Row],[_Res2]]&lt;&gt;"")+(Tasks[[#This Row],[_Res3]]&lt;&gt;"")+(Tasks[[#This Row],[_Res4]]&lt;&gt;""))</f>
        <v>0</v>
      </c>
      <c r="DV6" s="43" t="str">
        <f aca="false">IF(Tasks[[#This Row],[_Res2Text]]="","",IF(Tasks[[#This Row],[_Res2Row]]&gt;0,INDEX(res_Name,Tasks[[#This Row],[_Res2Row]]),TRIM(LEFT(Tasks[[#This Row],[_Res2Text]],FIND("[",Tasks[[#This Row],[_Res2Text]]&amp;"[")-1))))</f>
        <v/>
      </c>
      <c r="DW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3" t="n">
        <f aca="false">IF(OR(NOT(Tasks[[#This Row],[_IsLeaf]]=1),Tasks[[#This Row],[_Res2Row]]=0),0,N(Tasks[[#This Row],[_Days]])*HoursPerDay*IF(Tasks[[#This Row],[_Res2Units]]="",DefaultUnits,Tasks[[#This Row],[_Res2Units]]))</f>
        <v>0</v>
      </c>
      <c r="DY6" s="43" t="n">
        <f aca="false">IF(AND(AND(Tasks[[#This Row],[_IsLeaf]]=1,Tasks[[#This Row],[_LeafTotalWork]]&gt;0),Tasks[[#This Row],[_Res2Work]]&gt;0),Tasks[[#This Row],[_Res2Work]]/(Tasks[[#This Row],[_FinishWorkday]]-Tasks[[#This Row],[_StartWorkday]]+1),0)</f>
        <v>0</v>
      </c>
      <c r="DZ6" s="43" t="n">
        <f aca="false">Tasks[[#This Row],[_Res2WorkPerWD]]*MAX(0,Tasks[[#This Row],[_StartWorkday]]-1)</f>
        <v>0</v>
      </c>
      <c r="EA6" s="43" t="n">
        <f aca="false">Tasks[[#This Row],[_Res2Work]]*Tasks[[#This Row],[_LeafProgress]]</f>
        <v>0</v>
      </c>
      <c r="EB6" s="43" t="str">
        <f aca="false">IF(Tasks[[#This Row],[_Res3Text]]="","",IF(Tasks[[#This Row],[_Res3Row]]&gt;0,INDEX(res_Name,Tasks[[#This Row],[_Res3Row]]),TRIM(LEFT(Tasks[[#This Row],[_Res3Text]],FIND("[",Tasks[[#This Row],[_Res3Text]]&amp;"[")-1))))</f>
        <v/>
      </c>
      <c r="EC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3" t="n">
        <f aca="false">IF(OR(NOT(Tasks[[#This Row],[_IsLeaf]]=1),Tasks[[#This Row],[_Res3Row]]=0),0,N(Tasks[[#This Row],[_Days]])*HoursPerDay*IF(Tasks[[#This Row],[_Res3Units]]="",DefaultUnits,Tasks[[#This Row],[_Res3Units]]))</f>
        <v>0</v>
      </c>
      <c r="EE6" s="43" t="n">
        <f aca="false">IF(AND(AND(Tasks[[#This Row],[_IsLeaf]]=1,Tasks[[#This Row],[_LeafTotalWork]]&gt;0),Tasks[[#This Row],[_Res3Work]]&gt;0),Tasks[[#This Row],[_Res3Work]]/(Tasks[[#This Row],[_FinishWorkday]]-Tasks[[#This Row],[_StartWorkday]]+1),0)</f>
        <v>0</v>
      </c>
      <c r="EF6" s="43" t="n">
        <f aca="false">Tasks[[#This Row],[_Res3WorkPerWD]]*MAX(0,Tasks[[#This Row],[_StartWorkday]]-1)</f>
        <v>0</v>
      </c>
      <c r="EG6" s="43" t="n">
        <f aca="false">Tasks[[#This Row],[_Res3Work]]*Tasks[[#This Row],[_LeafProgress]]</f>
        <v>0</v>
      </c>
      <c r="EH6" s="43" t="str">
        <f aca="false">IF(Tasks[[#This Row],[_Res4Text]]="","",IF(Tasks[[#This Row],[_Res4Row]]&gt;0,INDEX(res_Name,Tasks[[#This Row],[_Res4Row]]),TRIM(LEFT(Tasks[[#This Row],[_Res4Text]],FIND("[",Tasks[[#This Row],[_Res4Text]]&amp;"[")-1))))</f>
        <v/>
      </c>
      <c r="EI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3" t="n">
        <f aca="false">IF(OR(NOT(Tasks[[#This Row],[_IsLeaf]]=1),Tasks[[#This Row],[_Res4Row]]=0),0,N(Tasks[[#This Row],[_Days]])*HoursPerDay*IF(Tasks[[#This Row],[_Res4Units]]="",DefaultUnits,Tasks[[#This Row],[_Res4Units]]))</f>
        <v>0</v>
      </c>
      <c r="EK6" s="43" t="n">
        <f aca="false">IF(AND(AND(Tasks[[#This Row],[_IsLeaf]]=1,Tasks[[#This Row],[_LeafTotalWork]]&gt;0),Tasks[[#This Row],[_Res4Work]]&gt;0),Tasks[[#This Row],[_Res4Work]]/(Tasks[[#This Row],[_FinishWorkday]]-Tasks[[#This Row],[_StartWorkday]]+1),0)</f>
        <v>0</v>
      </c>
      <c r="EL6" s="43" t="n">
        <f aca="false">Tasks[[#This Row],[_Res4WorkPerWD]]*MAX(0,Tasks[[#This Row],[_StartWorkday]]-1)</f>
        <v>0</v>
      </c>
      <c r="EM6" s="43" t="n">
        <f aca="false">Tasks[[#This Row],[_Res4Work]]*Tasks[[#This Row],[_LeafProgress]]</f>
        <v>0</v>
      </c>
      <c r="EN6" s="43" t="n">
        <f aca="false">IF(ISNUMBER(Tasks[[#This Row],[% Complete]]),Tasks[[#This Row],[% Complete]],IF(Tasks[[#This Row],[Stage]]="",0,IFERROR(INDEX(stg_Pct,MATCH(Tasks[[#This Row],[Stage]],stg_Name,0)),0)))</f>
        <v>0</v>
      </c>
      <c r="EO6" s="43" t="n">
        <f aca="false">IF(NOT(Tasks[[#This Row],[_IsLeaf]]=1),0,IF(N(Tasks[[#This Row],[Actual Finish]])&gt;0,1,MIN(1,Tasks[[#This Row],[_Pct]])))</f>
        <v>0</v>
      </c>
      <c r="EP6" s="43" t="n">
        <f aca="false">IF(OR(NOT(Tasks[[#This Row],[_IsLeaf]]=1),Tasks[[#This Row],[_Res1Row]]=0),0,N(Tasks[[#This Row],[_Days]])*HoursPerDay*IF(Tasks[[#This Row],[_Units1]]="",DefaultUnits,Tasks[[#This Row],[_Units1]]))</f>
        <v>0</v>
      </c>
      <c r="EQ6" s="43" t="n">
        <f aca="false">Tasks[[#This Row],[_LeafWork]]+Tasks[[#This Row],[_Res2Work]]+Tasks[[#This Row],[_Res3Work]]+Tasks[[#This Row],[_Res4Work]]</f>
        <v>0</v>
      </c>
      <c r="ER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3" t="n">
        <f aca="false">IF(NOT(Tasks[[#This Row],[_IsLeaf]]=1),0,MAX(_xlfn.MAXIFS(Tasks[_Row],Tasks[_Pred1UID],Tasks[[#This Row],[UID]]),_xlfn.MAXIFS(Tasks[_Row],Tasks[_Pred2UID],Tasks[[#This Row],[UID]]),_xlfn.MAXIFS(Tasks[_Row],Tasks[_Pred3UID],Tasks[[#This Row],[UID]]),_xlfn.MAXIFS(Tasks[_Row],Tasks[_Pred4UID],Tasks[[#This Row],[UID]])))</f>
        <v>0</v>
      </c>
      <c r="FA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91" t="str">
        <f aca="false">IF(NOT(Tasks[[#This Row],[_IsLeaf]]=1),"",IF(N(Tasks[[#This Row],[_Days]])&lt;=0,Tasks[[#This Row],[_LeafLateFinish]],WORKDAY.INTL(Tasks[[#This Row],[_LeafLateFinish]],-(Tasks[[#This Row],[_Days]]-1),WorkWeek,Holidays)))</f>
        <v/>
      </c>
      <c r="FD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 s="90" t="b">
        <f aca="false">AND(Tasks[[#This Row],[_IsLeaf]]=1,Tasks[[#This Row],[_LeafProgress]]&lt;1,N(Tasks[[#This Row],[_LeafTotalSlack]])&lt;=CriticalSlackDays)</f>
        <v>0</v>
      </c>
      <c r="FF6" s="43" t="n">
        <f aca="false">IF(AND(Tasks[[#This Row],[_IsLeaf]]=1,Tasks[[#This Row],[_ConstraintCode]]=1,Tasks[[#This Row],[Mode]]&lt;&gt;"Manual",N(Tasks[[#This Row],[Actual Start]])=0),MAX(0,N(Tasks[[#This Row],[Free Slack]])),0)</f>
        <v>0</v>
      </c>
      <c r="FG6" s="91" t="str">
        <f aca="false">IF(NOT(Tasks[[#This Row],[_IsLeaf]]=1),"",IF(Tasks[[#This Row],[_AlapShift]]=0,Tasks[[#This Row],[_LeafCalcStart]],WORKDAY.INTL(Tasks[[#This Row],[_LeafCalcStart]],Tasks[[#This Row],[_AlapShift]],WorkWeek,Holidays)))</f>
        <v/>
      </c>
      <c r="FH6" s="91" t="str">
        <f aca="false">IF(NOT(Tasks[[#This Row],[_IsLeaf]]=1),"",IF(Tasks[[#This Row],[_AlapShift]]=0,Tasks[[#This Row],[_LeafCalcFinish]],WORKDAY.INTL(Tasks[[#This Row],[_LeafCalcFinish]],Tasks[[#This Row],[_AlapShift]],WorkWeek,Holidays)))</f>
        <v/>
      </c>
      <c r="FI6" s="91" t="str">
        <f aca="false">IF(NOT(Tasks[[#This Row],[_IsLeaf]]=1),"",IF(Tasks[[#This Row],[_AlapShift]]=0,Tasks[[#This Row],[_LeafFcstStart]],WORKDAY.INTL(Tasks[[#This Row],[_LeafFcstStart]],Tasks[[#This Row],[_AlapShift]],WorkWeek,Holidays)))</f>
        <v/>
      </c>
      <c r="FJ6" s="91" t="str">
        <f aca="false">IF(NOT(Tasks[[#This Row],[_IsLeaf]]=1),"",IF(Tasks[[#This Row],[_AlapShift]]=0,Tasks[[#This Row],[_LeafFcstFinish]],WORKDAY.INTL(Tasks[[#This Row],[_LeafFcstFinish]],Tasks[[#This Row],[_AlapShift]],WorkWeek,Holidays)))</f>
        <v/>
      </c>
      <c r="FK6" s="91" t="n">
        <f aca="false">IF(Tasks[[#This Row],[Task Name]]="","",IF(Tasks[[#This Row],[_IsSummary]],MIN(INDEX(Tasks[_ShownCalcStart],Tasks[[#This Row],[_Row]]+1):INDEX(Tasks[_ShownCalcStart],Tasks[[#This Row],[_Row]]+Tasks[[#This Row],[_Descendants]])),Tasks[[#This Row],[_ShownCalcStart]]))</f>
        <v>46272</v>
      </c>
      <c r="FL6" s="91" t="n">
        <f aca="false">IF(Tasks[[#This Row],[Task Name]]="","",IF(Tasks[[#This Row],[_IsSummary]],MAX(INDEX(Tasks[_ShownCalcFinish],Tasks[[#This Row],[_Row]]+1):INDEX(Tasks[_ShownCalcFinish],Tasks[[#This Row],[_Row]]+Tasks[[#This Row],[_Descendants]])),Tasks[[#This Row],[_ShownCalcFinish]]))</f>
        <v>46276</v>
      </c>
      <c r="FM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 s="43" t="n">
        <f aca="false">IF(AND(Tasks[[#This Row],[_IsLeaf]]=1,Tasks[[#This Row],[_LeafTotalWork]]&gt;0),NETWORKDAYS.INTL(ProjectStart,Tasks[[#This Row],[_ShownFcstStart]],WorkWeek,Holidays),0)</f>
        <v>0</v>
      </c>
      <c r="FZ6" s="43" t="n">
        <f aca="false">IF(AND(Tasks[[#This Row],[_IsLeaf]]=1,Tasks[[#This Row],[_LeafTotalWork]]&gt;0),MAX(Tasks[[#This Row],[_StartWorkday]],NETWORKDAYS.INTL(ProjectStart,Tasks[[#This Row],[_ShownFcstFinish]],WorkWeek,Holidays)),0)</f>
        <v>0</v>
      </c>
      <c r="GA6" s="43" t="n">
        <f aca="false">IF(AND(Tasks[[#This Row],[_IsLeaf]]=1,Tasks[[#This Row],[_LeafTotalWork]]&gt;0),Tasks[[#This Row],[_LeafWork]]/(Tasks[[#This Row],[_FinishWorkday]]-Tasks[[#This Row],[_StartWorkday]]+1),0)</f>
        <v>0</v>
      </c>
      <c r="GB6" s="43" t="n">
        <f aca="false">Tasks[[#This Row],[_WorkPerWorkday]]*(Tasks[[#This Row],[_StartWorkday]]-1)</f>
        <v>-0</v>
      </c>
      <c r="GC6" s="43" t="n">
        <f aca="false">IF(Tasks[[#This Row],[_IsLeaf]]=1,MAX(N(Tasks[[#This Row],[_Days]]),0.1),0)</f>
        <v>0</v>
      </c>
      <c r="GD6" s="43" t="n">
        <f aca="false">Tasks[[#This Row],[_WeightDur]]*Tasks[[#This Row],[_LeafProgress]]</f>
        <v>0</v>
      </c>
      <c r="GE6" s="43" t="n">
        <f aca="false">Tasks[[#This Row],[_WeightDur]]*Tasks[[#This Row],[_PlannedPct]]</f>
        <v>0</v>
      </c>
      <c r="GF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3" t="str">
        <f aca="false">IF(AND(Tasks[[#This Row],[_IsLeaf]]=1,N(Tasks[[#This Row],[_Days]])=0,Tasks[[#This Row],[_LeafProgress]]&lt;1),Tasks[[#This Row],[_ShownFcstFinish]]+Tasks[[#This Row],[_Row]]/100000,"")</f>
        <v/>
      </c>
      <c r="GH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 s="43" t="str">
        <f aca="false">IF(Tasks[[#This Row],[Task Name]]="","",LEFT(Tasks[[#This Row],[WBS]],FIND(".",Tasks[[#This Row],[WBS]]&amp;".")-1))</f>
        <v>1</v>
      </c>
      <c r="GJ6" s="43" t="n">
        <f aca="false">IF(AND(Tasks[[#This Row],[Task Name]]&lt;&gt;"",Tasks[[#This Row],[_Level]]=1),Tasks[[#This Row],[_Row]],"")</f>
        <v>1</v>
      </c>
      <c r="GK6" s="43" t="str">
        <f aca="false">IF(AND(Tasks[[#This Row],[_IsLeaf]]=1,N(Tasks[[#This Row],[_Days]])=0),Tasks[[#This Row],[Planned Finish]]+Tasks[[#This Row],[_Row]]/100000,"")</f>
        <v/>
      </c>
      <c r="GL6" s="43" t="str">
        <f aca="false">IF(AND(Tasks[[#This Row],[_IsLeaf]]=1,Tasks[[#This Row],[_LeafProgress]]&lt;1,OR(N(Tasks[[#This Row],[Finish Var]])&gt;0,Tasks[[#This Row],[Status]]="Late Start")),MAX(0,Tasks[[#This Row],[Finish Var]])+1-Tasks[[#This Row],[_Row]]/1000000,"")</f>
        <v/>
      </c>
      <c r="GM6" s="43" t="str">
        <f aca="false">IF(AND(Tasks[[#This Row],[_IsLeaf]]=1,N(Tasks[[#This Row],[Actual Start]])=0,Tasks[[#This Row],[_ShownFcstStart]]&gt;=StatusDate,Tasks[[#This Row],[_ShownFcstStart]]&lt;=LookaheadEnd),Tasks[[#This Row],[_ShownFcstStart]]+Tasks[[#This Row],[_Row]]/100000,"")</f>
        <v/>
      </c>
      <c r="GN6" s="43" t="str">
        <f aca="false">IF(AND(Tasks[[#This Row],[_IsLeaf]]=1,Tasks[[#This Row],[_LeafProgress]]&lt;1,Tasks[[#This Row],[_ShownFcstFinish]]&gt;=StatusDate,Tasks[[#This Row],[_ShownFcstFinish]]&lt;=LookaheadEnd),Tasks[[#This Row],[_ShownFcstFinish]]+Tasks[[#This Row],[_Row]]/100000,"")</f>
        <v/>
      </c>
      <c r="GO6" s="43" t="str">
        <f aca="false">IF(Tasks[[#This Row],[_LeafCritical]],Tasks[[#This Row],[_ShownFcstStart]]+Tasks[[#This Row],[_Row]]/100000,"")</f>
        <v/>
      </c>
      <c r="GP6" s="43" t="n">
        <f aca="false">Tasks[[#This Row],[_LeafWork]]*Tasks[[#This Row],[_LeafProgress]]</f>
        <v>0</v>
      </c>
      <c r="GQ6" s="91" t="str">
        <f aca="false">IF(AND(Tasks[[#This Row],[_IsLeaf]]=1,Tasks[[#This Row],[_LeafProgress]]&gt;=1),IF(N(Tasks[[#This Row],[Actual Finish]])&gt;0,Tasks[[#This Row],[Actual Finish]],Tasks[[#This Row],[_ShownFcstFinish]]),"")</f>
        <v/>
      </c>
      <c r="GR6" s="43" t="n">
        <f aca="false">IF(Tasks[[#This Row],[_IsLeaf]]=1,N(Tasks[[#This Row],[Story Points]]),0)</f>
        <v>0</v>
      </c>
      <c r="GS6" s="43" t="str">
        <f aca="false">""</f>
        <v/>
      </c>
      <c r="GT6" s="90" t="b">
        <f aca="false">IF(Tasks[[#This Row],[Task Name]]="",FALSE(),AND(Tasks[[#This Row],[_IsLeaf]]=1,N(Tasks[[#This Row],[_Days]])=0))</f>
        <v>0</v>
      </c>
      <c r="GU6" s="91" t="n">
        <f aca="false">IF(Tasks[[#This Row],[Task Name]]="",0,IF(AND(Tasks[[#This Row],[_IsLeaf]]=1,NOT(Tasks[[#This Row],[_IsMilestone]]),N(Tasks[[#This Row],[Progress]])&gt;0),Tasks[[#This Row],[Start]],0))</f>
        <v>0</v>
      </c>
      <c r="GV6" s="91" t="n">
        <f aca="false">IF(Tasks[[#This Row],[_DoneFrom]]=0,0,IF(Tasks[[#This Row],[Progress]]&gt;=1,Tasks[[#This Row],[Finish]],MAX(Tasks[[#This Row],[_DoneFrom]],Tasks[[#This Row],[Start]]+ROUND((Tasks[[#This Row],[Finish]]-Tasks[[#This Row],[Start]]+1)*Tasks[[#This Row],[Progress]],0)-1)))</f>
        <v>0</v>
      </c>
      <c r="GW6" s="91" t="n">
        <f aca="false">IF(Tasks[[#This Row],[Task Name]]="",0,IF(OR(NOT(Tasks[[#This Row],[_IsLeaf]]=1),Tasks[[#This Row],[_IsMilestone]],N(Tasks[[#This Row],[Progress]])&gt;=1),0,IF(Tasks[[#This Row],[_DoneTo]]&gt;0,Tasks[[#This Row],[_DoneTo]]+1,Tasks[[#This Row],[Start]])))</f>
        <v>0</v>
      </c>
      <c r="GX6" s="91" t="n">
        <f aca="false">IF(Tasks[[#This Row],[_RemFrom]]=0,0,Tasks[[#This Row],[Finish]])</f>
        <v>0</v>
      </c>
      <c r="GY6" s="90" t="b">
        <f aca="false">IF(Tasks[[#This Row],[Task Name]]="",FALSE(),OR(NOT(BaselineSet),N(Tasks[[#This Row],[Baseline Start]])&gt;0))</f>
        <v>1</v>
      </c>
      <c r="GZ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92" t="str">
        <f aca="false">IF(Tasks[[#This Row],[_IsLeaf]]=1,Tasks[[#This Row],[_Row]],"")</f>
        <v/>
      </c>
      <c r="HD6" s="92" t="str">
        <f aca="false">IFERROR(INDEX(Tasks[UID],SMALL(Tasks[_PickKey],Tasks[[#This Row],[_Row]]))&amp;" "&amp;INDEX(Tasks[Task Name],SMALL(Tasks[_PickKey],Tasks[[#This Row],[_Row]])),"")</f>
        <v>2 Project charter &amp; scope statement</v>
      </c>
      <c r="HE6" s="43" t="n">
        <f aca="false">IF(Tasks[[#This Row],[Task Name]]="","",IF(Tasks[[#This Row],[_IsSummary]],NETWORKDAYS.INTL(Tasks[[#This Row],[Start]],Tasks[[#This Row],[Finish]],WorkWeek,Holidays),N(Tasks[[#This Row],[_Days]])))</f>
        <v>6</v>
      </c>
      <c r="HF6" s="43" t="n">
        <f aca="false">IF(Tasks[[#This Row],[Expected]]="",0,((Tasks[[#This Row],[Pessimistic]]-Tasks[[#This Row],[Optimistic]])/6)^2)</f>
        <v>0</v>
      </c>
      <c r="HG6" s="43" t="n">
        <f aca="false">IF(Tasks[[#This Row],[Expected]]="",0,Tasks[[#This Row],[Expected]]-N(Tasks[[#This Row],[_Days]]))</f>
        <v>0</v>
      </c>
    </row>
    <row r="7" customFormat="false" ht="15" hidden="false" customHeight="false" outlineLevel="1" collapsed="false">
      <c r="A7" s="21" t="n">
        <f aca="false">IF(Tasks[[#This Row],[Task Name]]="","",COUNTA(Tasks[[#Headers],[Task Name]]:Tasks[[#This Row],[Task Name]])-1)</f>
        <v>2</v>
      </c>
      <c r="B7" s="22" t="n">
        <v>2</v>
      </c>
      <c r="C7" s="22" t="n">
        <v>2</v>
      </c>
      <c r="D7" s="93" t="s">
        <v>641</v>
      </c>
      <c r="E7" s="22" t="n">
        <v>3</v>
      </c>
      <c r="F7" s="23"/>
      <c r="G7" s="22"/>
      <c r="H7" s="22"/>
      <c r="I7" s="23"/>
      <c r="J7" s="22"/>
      <c r="K7" s="22"/>
      <c r="L7" s="23"/>
      <c r="M7" s="22"/>
      <c r="N7" s="22"/>
      <c r="O7" s="23"/>
      <c r="P7" s="22"/>
      <c r="Q7" s="22"/>
      <c r="R7" s="23"/>
      <c r="S7" s="23" t="s">
        <v>6</v>
      </c>
      <c r="T7" s="84"/>
      <c r="U7" s="23"/>
      <c r="V7" s="84"/>
      <c r="W7" s="23"/>
      <c r="X7" s="84"/>
      <c r="Y7" s="23"/>
      <c r="Z7" s="84"/>
      <c r="AA7" s="23"/>
      <c r="AB7" s="23" t="s">
        <v>150</v>
      </c>
      <c r="AC7" s="7" t="n">
        <v>46272</v>
      </c>
      <c r="AD7" s="7" t="n">
        <v>46275</v>
      </c>
      <c r="AE7" s="63" t="n">
        <f aca="false">IF(Tasks[[#This Row],[Task Name]]="","",IF(Tasks[[#This Row],[_IsSummary]],MIN(INDEX(Tasks[_ShownFcstStart],Tasks[[#This Row],[_Row]]+1):INDEX(Tasks[_ShownFcstStart],Tasks[[#This Row],[_Row]]+Tasks[[#This Row],[_Descendants]])),Tasks[[#This Row],[_ShownFcstStart]]))</f>
        <v>46272</v>
      </c>
      <c r="AF7" s="63" t="n">
        <f aca="false">IF(Tasks[[#This Row],[Task Name]]="","",IF(Tasks[[#This Row],[_IsSummary]],MAX(INDEX(Tasks[_ShownFcstFinish],Tasks[[#This Row],[_Row]]+1):INDEX(Tasks[_ShownFcstFinish],Tasks[[#This Row],[_Row]]+Tasks[[#This Row],[_Descendants]])),Tasks[[#This Row],[_ShownFcstFinish]]))</f>
        <v>46275</v>
      </c>
      <c r="AG7" s="21" t="str">
        <f aca="false">""</f>
        <v/>
      </c>
      <c r="AH7" s="23" t="s">
        <v>642</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 s="7"/>
      <c r="AK7" s="22" t="s">
        <v>248</v>
      </c>
      <c r="AL7" s="23"/>
      <c r="AM7" s="7"/>
      <c r="AN7" s="47"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3" t="n">
        <f aca="false">IF(Tasks[[#This Row],[Task Name]]="","",IF(N(Tasks[[#This Row],[Baseline Start]])&gt;0,Tasks[[#This Row],[Baseline Start]],Tasks[[#This Row],[_CalcStart]]))</f>
        <v>46272</v>
      </c>
      <c r="AR7" s="63" t="n">
        <f aca="false">IF(Tasks[[#This Row],[Task Name]]="","",IF(N(Tasks[[#This Row],[Baseline Finish]])&gt;0,Tasks[[#This Row],[Baseline Finish]],Tasks[[#This Row],[_CalcFinish]]))</f>
        <v>46274</v>
      </c>
      <c r="AS7" s="47" t="n">
        <f aca="false">IF(Tasks[[#This Row],[Task Name]]="","",IF(Tasks[[#This Row],[Start]]&gt;=Tasks[[#This Row],[Planned Start]],NETWORKDAYS.INTL(Tasks[[#This Row],[Planned Start]],Tasks[[#This Row],[Start]],WorkWeek,Holidays)-1,1-NETWORKDAYS.INTL(Tasks[[#This Row],[Start]],Tasks[[#This Row],[Planned Start]],WorkWeek,Holidays)))</f>
        <v>0</v>
      </c>
      <c r="AT7" s="63" t="n">
        <f aca="false">IF(Tasks[[#This Row],[Task Name]]="","",IF(Tasks[[#This Row],[_IsSummary]],MIN(INDEX(Tasks[_LeafLateStart],Tasks[[#This Row],[_Row]]+1):INDEX(Tasks[_LeafLateStart],Tasks[[#This Row],[_Row]]+Tasks[[#This Row],[_Descendants]])),Tasks[[#This Row],[_LeafLateStart]]))</f>
        <v>46276</v>
      </c>
      <c r="AU7" s="63" t="n">
        <f aca="false">IF(Tasks[[#This Row],[Task Name]]="","",IF(Tasks[[#This Row],[_IsSummary]],MAX(INDEX(Tasks[_LeafLateFinish],Tasks[[#This Row],[_Row]]+1):INDEX(Tasks[_LeafLateFinish],Tasks[[#This Row],[_Row]]+Tasks[[#This Row],[_Descendants]])),Tasks[[#This Row],[_LeafLateFinish]]))</f>
        <v>46280</v>
      </c>
      <c r="AV7" s="47"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5"/>
      <c r="BA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6"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7"/>
      <c r="BJ7" s="22"/>
      <c r="BK7" s="47" t="n">
        <f aca="false">IF(OR(Tasks[[#This Row],[Task Name]]="",Tasks[[#This Row],[Baseline Duration]]=""),"",Tasks[[#This Row],[_SpanDays]]-N(Tasks[[#This Row],[Baseline Duration]]))</f>
        <v>0</v>
      </c>
      <c r="BL7" s="86" t="n">
        <f aca="false">IF(OR(Tasks[[#This Row],[Task Name]]="",Tasks[[#This Row],[Baseline Work]]=""),"",Tasks[[#This Row],[Work]]-N(Tasks[[#This Row],[Baseline Work]]))</f>
        <v>0</v>
      </c>
      <c r="BM7" s="63" t="n">
        <f aca="false">IF(Tasks[[#This Row],[Task Name]]="","",IF(OR(TakeBaseline="Yes",N(Tasks[[#This Row],[Baseline Start]])=0),Tasks[[#This Row],[Start]],Tasks[[#This Row],[Baseline Start]]))</f>
        <v>46272</v>
      </c>
      <c r="BN7" s="63" t="n">
        <f aca="false">IF(Tasks[[#This Row],[Task Name]]="","",IF(OR(TakeBaseline="Yes",N(Tasks[[#This Row],[Baseline Finish]])=0),Tasks[[#This Row],[Finish]],Tasks[[#This Row],[Baseline Finish]]))</f>
        <v>46274</v>
      </c>
      <c r="BO7" s="21" t="n">
        <f aca="false">IF(Tasks[[#This Row],[Task Name]]="","",IF(OR(TakeBaseline="Yes",N(Tasks[[#This Row],[Baseline Duration]])=0),Tasks[[#This Row],[_SpanDays]],Tasks[[#This Row],[Baseline Duration]]))</f>
        <v>3</v>
      </c>
      <c r="BP7" s="86" t="n">
        <f aca="false">IF(Tasks[[#This Row],[Task Name]]="","",IF(OR(TakeBaseline="Yes",N(Tasks[[#This Row],[Baseline Work]])=0),Tasks[[#This Row],[Work]],Tasks[[#This Row],[Baseline Work]]))</f>
        <v>24</v>
      </c>
      <c r="BQ7" s="7" t="n">
        <v>46272</v>
      </c>
      <c r="BR7" s="7" t="n">
        <v>46274</v>
      </c>
      <c r="BS7" s="22" t="n">
        <v>3</v>
      </c>
      <c r="BT7" s="88" t="n">
        <v>24</v>
      </c>
      <c r="BU7" s="23" t="s">
        <v>6</v>
      </c>
      <c r="BV7" s="23" t="s">
        <v>643</v>
      </c>
      <c r="BW7" s="23" t="s">
        <v>644</v>
      </c>
      <c r="BX7" s="89" t="str">
        <f aca="false">IF(AND(Tasks[[#This Row],[_IsLeaf]]=1,ISNUMBER(Tasks[[#This Row],[Optimistic]]),ISNUMBER(Tasks[[#This Row],[Pessimistic]])),ROUND((Tasks[[#This Row],[Optimistic]]+4*N(Tasks[[#This Row],[_Days]])+Tasks[[#This Row],[Pessimistic]])/6,1),"")</f>
        <v/>
      </c>
      <c r="BY7" s="87"/>
      <c r="BZ7" s="87"/>
      <c r="CA7" s="22"/>
      <c r="CB7" s="43" t="n">
        <f aca="false">IF(Tasks[[#This Row],[Task Name]]="","",MAX(1,N(Tasks[[#This Row],[Level]])))</f>
        <v>2</v>
      </c>
      <c r="CC7" s="43" t="n">
        <f aca="false">ROW()-ROW(Tasks[[#Headers],[ID]])</f>
        <v>2</v>
      </c>
      <c r="CD7" s="43" t="n">
        <f aca="false">IF(OR(Tasks[[#This Row],[Task Name]]="",Tasks[[#This Row],[_Level]]&lt;=1),0,IFERROR(LOOKUP(2,1/(Tasks[[#Headers],[_Level]]:Tasks[[#This Row],[_Level]]=Tasks[[#This Row],[_Level]]-1),ROW(Tasks[[#Headers],[_Level]]:Tasks[[#This Row],[_Level]])),0))</f>
        <v>6</v>
      </c>
      <c r="CE7" s="43" t="n">
        <f aca="false">IFERROR(N(INDEX(Tasks[_Level],Tasks[[#This Row],[_Row]]+1)),0)</f>
        <v>2</v>
      </c>
      <c r="CF7" s="90" t="b">
        <f aca="false">AND(Tasks[[#This Row],[Task Name]]&lt;&gt;"",Tasks[[#This Row],[_NextLevel]]&gt;Tasks[[#This Row],[_Level]])</f>
        <v>0</v>
      </c>
      <c r="CG7" s="43" t="n">
        <f aca="false">IF(Tasks[[#This Row],[_IsSummary]],COUNTIF(Tasks[WBS],Tasks[[#This Row],[WBS]]&amp;".*"),0)</f>
        <v>0</v>
      </c>
      <c r="CH7" s="43" t="n">
        <f aca="false">IF(AND(Tasks[[#This Row],[Task Name]]&lt;&gt;"",NOT(Tasks[[#This Row],[_IsSummary]])),1,0)</f>
        <v>1</v>
      </c>
      <c r="CI7" s="43" t="n">
        <f aca="false">IF(N(Tasks[[#This Row],[_Pred1UID]])=0,0,IFERROR(MATCH(Tasks[[#This Row],[_Pred1UID]],Tasks[UID],0),-1))</f>
        <v>0</v>
      </c>
      <c r="CJ7" s="43" t="n">
        <f aca="false">IF(N(Tasks[[#This Row],[_Pred2UID]])=0,0,IFERROR(MATCH(Tasks[[#This Row],[_Pred2UID]],Tasks[UID],0),-1))</f>
        <v>0</v>
      </c>
      <c r="CK7" s="43" t="n">
        <f aca="false">IF(N(Tasks[[#This Row],[_Pred3UID]])=0,0,IFERROR(MATCH(Tasks[[#This Row],[_Pred3UID]],Tasks[UID],0),-1))</f>
        <v>0</v>
      </c>
      <c r="CL7" s="43" t="n">
        <f aca="false">IF(N(Tasks[[#This Row],[_Pred4UID]])=0,0,IFERROR(MATCH(Tasks[[#This Row],[_Pred4UID]],Tasks[UID],0),-1))</f>
        <v>0</v>
      </c>
      <c r="CM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 s="91" t="n">
        <f aca="false">IF(OR(Tasks[[#This Row],[_ConstraintCode]]=2,Tasks[[#This Row],[_ConstraintCode]]=3,Tasks[[#This Row],[_ConstraintCode]]=4,Tasks[[#This Row],[_ConstraintCode]]=6),Tasks[[#This Row],[_ConstraintStart]],0)</f>
        <v>0</v>
      </c>
      <c r="CP7" s="91" t="n">
        <f aca="false">IF(OR(Tasks[[#This Row],[_ConstraintCode]]=2,Tasks[[#This Row],[_ConstraintCode]]=3,Tasks[[#This Row],[_ConstraintCode]]=5,Tasks[[#This Row],[_ConstraintCode]]=7),Tasks[[#This Row],[_ConstraintStart]],2958465)</f>
        <v>2958465</v>
      </c>
      <c r="CQ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R7" s="91" t="n">
        <f aca="false">IF(NOT(Tasks[[#This Row],[_IsLeaf]]=1),"",IF(N(Tasks[[#This Row],[_Days]])&lt;=0,Tasks[[#This Row],[_LeafCalcStart]],WORKDAY.INTL(Tasks[[#This Row],[_LeafCalcStart]],Tasks[[#This Row],[_Days]]-1,WorkWeek,Holidays)))</f>
        <v>46274</v>
      </c>
      <c r="CS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T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U7" s="43" t="str">
        <f aca="false">IF(Tasks[[#This Row],[_Predecessors]]="","",TRIM(MID(SUBSTITUTE(SUBSTITUTE(SUBSTITUTE(UPPER(Tasks[[#This Row],[_Predecessors]]),";",",")," ",""),",",REPT(" ",99)),1,99)))</f>
        <v/>
      </c>
      <c r="CV7" s="43" t="str">
        <f aca="false">IF(Tasks[[#This Row],[_Pred1Text]]="","",IFERROR(VALUE(LEFT(Tasks[[#This Row],[_Pred1Text]],MIN(FIND("F",Tasks[[#This Row],[_Pred1Text]]&amp;"F"),FIND("S",Tasks[[#This Row],[_Pred1Text]]&amp;"S"),FIND("+",Tasks[[#This Row],[_Pred1Text]]&amp;"+"),FIND("-",Tasks[[#This Row],[_Pred1Text]]&amp;"-"))-1)),""))</f>
        <v/>
      </c>
      <c r="CW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3" t="str">
        <f aca="false">IF(Tasks[[#This Row],[_Pred1Text]]="","",TRIM(MID(SUBSTITUTE(SUBSTITUTE(SUBSTITUTE(UPPER(Tasks[[#This Row],[_Predecessors]]),";",",")," ",""),",",REPT(" ",99)),100,99)))</f>
        <v/>
      </c>
      <c r="CZ7" s="43" t="str">
        <f aca="false">IF(Tasks[[#This Row],[_Pred2Text]]="","",IFERROR(VALUE(LEFT(Tasks[[#This Row],[_Pred2Text]],MIN(FIND("F",Tasks[[#This Row],[_Pred2Text]]&amp;"F"),FIND("S",Tasks[[#This Row],[_Pred2Text]]&amp;"S"),FIND("+",Tasks[[#This Row],[_Pred2Text]]&amp;"+"),FIND("-",Tasks[[#This Row],[_Pred2Text]]&amp;"-"))-1)),""))</f>
        <v/>
      </c>
      <c r="DA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3" t="str">
        <f aca="false">IF(Tasks[[#This Row],[_Pred2Text]]="","",TRIM(MID(SUBSTITUTE(SUBSTITUTE(SUBSTITUTE(UPPER(Tasks[[#This Row],[_Predecessors]]),";",",")," ",""),",",REPT(" ",99)),199,99)))</f>
        <v/>
      </c>
      <c r="DD7" s="43" t="str">
        <f aca="false">IF(Tasks[[#This Row],[_Pred3Text]]="","",IFERROR(VALUE(LEFT(Tasks[[#This Row],[_Pred3Text]],MIN(FIND("F",Tasks[[#This Row],[_Pred3Text]]&amp;"F"),FIND("S",Tasks[[#This Row],[_Pred3Text]]&amp;"S"),FIND("+",Tasks[[#This Row],[_Pred3Text]]&amp;"+"),FIND("-",Tasks[[#This Row],[_Pred3Text]]&amp;"-"))-1)),""))</f>
        <v/>
      </c>
      <c r="DE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3" t="str">
        <f aca="false">IF(Tasks[[#This Row],[_Pred3Text]]="","",TRIM(MID(SUBSTITUTE(SUBSTITUTE(SUBSTITUTE(UPPER(Tasks[[#This Row],[_Predecessors]]),";",",")," ",""),",",REPT(" ",99)),298,99)))</f>
        <v/>
      </c>
      <c r="DH7" s="43" t="str">
        <f aca="false">IF(Tasks[[#This Row],[_Pred4Text]]="","",IFERROR(VALUE(LEFT(Tasks[[#This Row],[_Pred4Text]],MIN(FIND("F",Tasks[[#This Row],[_Pred4Text]]&amp;"F"),FIND("S",Tasks[[#This Row],[_Pred4Text]]&amp;"S"),FIND("+",Tasks[[#This Row],[_Pred4Text]]&amp;"+"),FIND("-",Tasks[[#This Row],[_Pred4Text]]&amp;"-"))-1)),""))</f>
        <v/>
      </c>
      <c r="DI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3" t="str">
        <f aca="false">IF(OR(Tasks[[#This Row],[Task Name]]="",Tasks[[#This Row],[_Resources]]=""),"",TRIM(MID(SUBSTITUTE(Tasks[[#This Row],[_Resources]],",",REPT(" ",99)),1,99)))</f>
        <v>Priya Sharma</v>
      </c>
      <c r="DL7" s="43" t="str">
        <f aca="false">IF(Tasks[[#This Row],[_Res1Text]]="","",TRIM(MID(SUBSTITUTE(Tasks[[#This Row],[_Resources]],",",REPT(" ",99)),100,99)))</f>
        <v/>
      </c>
      <c r="DM7" s="43" t="str">
        <f aca="false">IF(Tasks[[#This Row],[_Res2Text]]="","",TRIM(MID(SUBSTITUTE(Tasks[[#This Row],[_Resources]],",",REPT(" ",99)),199,99)))</f>
        <v/>
      </c>
      <c r="DN7" s="43" t="str">
        <f aca="false">IF(Tasks[[#This Row],[_Res3Text]]="","",TRIM(MID(SUBSTITUTE(Tasks[[#This Row],[_Resources]],",",REPT(" ",99)),298,99)))</f>
        <v/>
      </c>
      <c r="DO7" s="43" t="n">
        <f aca="false">IF(Tasks[[#This Row],[_Res1Text]]="",0,IFERROR(MATCH(TRIM(LEFT(Tasks[[#This Row],[_Res1Text]],FIND("[",Tasks[[#This Row],[_Res1Text]]&amp;"[")-1)),res_Name,0),IFERROR(MATCH(TRIM(LEFT(Tasks[[#This Row],[_Res1Text]],FIND("[",Tasks[[#This Row],[_Res1Text]]&amp;"[")-1)),res_Initials,0),0)))</f>
        <v>1</v>
      </c>
      <c r="DP7" s="43" t="n">
        <f aca="false">IF(Tasks[[#This Row],[_Res2Text]]="",0,IFERROR(MATCH(TRIM(LEFT(Tasks[[#This Row],[_Res2Text]],FIND("[",Tasks[[#This Row],[_Res2Text]]&amp;"[")-1)),res_Name,0),IFERROR(MATCH(TRIM(LEFT(Tasks[[#This Row],[_Res2Text]],FIND("[",Tasks[[#This Row],[_Res2Text]]&amp;"[")-1)),res_Initials,0),0)))</f>
        <v>0</v>
      </c>
      <c r="DQ7" s="43" t="n">
        <f aca="false">IF(Tasks[[#This Row],[_Res3Text]]="",0,IFERROR(MATCH(TRIM(LEFT(Tasks[[#This Row],[_Res3Text]],FIND("[",Tasks[[#This Row],[_Res3Text]]&amp;"[")-1)),res_Name,0),IFERROR(MATCH(TRIM(LEFT(Tasks[[#This Row],[_Res3Text]],FIND("[",Tasks[[#This Row],[_Res3Text]]&amp;"[")-1)),res_Initials,0),0)))</f>
        <v>0</v>
      </c>
      <c r="DR7" s="43" t="n">
        <f aca="false">IF(Tasks[[#This Row],[_Res4Text]]="",0,IFERROR(MATCH(TRIM(LEFT(Tasks[[#This Row],[_Res4Text]],FIND("[",Tasks[[#This Row],[_Res4Text]]&amp;"[")-1)),res_Name,0),IFERROR(MATCH(TRIM(LEFT(Tasks[[#This Row],[_Res4Text]],FIND("[",Tasks[[#This Row],[_Res4Text]]&amp;"[")-1)),res_Initials,0),0)))</f>
        <v>0</v>
      </c>
      <c r="DS7" s="43" t="str">
        <f aca="false">IF(Tasks[[#This Row],[_Res1Text]]="","",IF(Tasks[[#This Row],[_Res1Row]]&gt;0,INDEX(res_Name,Tasks[[#This Row],[_Res1Row]]),TRIM(LEFT(Tasks[[#This Row],[_Res1Text]],FIND("[",Tasks[[#This Row],[_Res1Text]]&amp;"[")-1))))</f>
        <v>Priya Sharma</v>
      </c>
      <c r="DT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3" t="n">
        <f aca="false">IF(NOT(Tasks[[#This Row],[_IsLeaf]]=1),0,(Tasks[[#This Row],[_Resource1]]&lt;&gt;"")+(Tasks[[#This Row],[_Res2]]&lt;&gt;"")+(Tasks[[#This Row],[_Res3]]&lt;&gt;"")+(Tasks[[#This Row],[_Res4]]&lt;&gt;""))</f>
        <v>1</v>
      </c>
      <c r="DV7" s="43" t="str">
        <f aca="false">IF(Tasks[[#This Row],[_Res2Text]]="","",IF(Tasks[[#This Row],[_Res2Row]]&gt;0,INDEX(res_Name,Tasks[[#This Row],[_Res2Row]]),TRIM(LEFT(Tasks[[#This Row],[_Res2Text]],FIND("[",Tasks[[#This Row],[_Res2Text]]&amp;"[")-1))))</f>
        <v/>
      </c>
      <c r="DW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3" t="n">
        <f aca="false">IF(OR(NOT(Tasks[[#This Row],[_IsLeaf]]=1),Tasks[[#This Row],[_Res2Row]]=0),0,N(Tasks[[#This Row],[_Days]])*HoursPerDay*IF(Tasks[[#This Row],[_Res2Units]]="",DefaultUnits,Tasks[[#This Row],[_Res2Units]]))</f>
        <v>0</v>
      </c>
      <c r="DY7" s="43" t="n">
        <f aca="false">IF(AND(AND(Tasks[[#This Row],[_IsLeaf]]=1,Tasks[[#This Row],[_LeafTotalWork]]&gt;0),Tasks[[#This Row],[_Res2Work]]&gt;0),Tasks[[#This Row],[_Res2Work]]/(Tasks[[#This Row],[_FinishWorkday]]-Tasks[[#This Row],[_StartWorkday]]+1),0)</f>
        <v>0</v>
      </c>
      <c r="DZ7" s="43" t="n">
        <f aca="false">Tasks[[#This Row],[_Res2WorkPerWD]]*MAX(0,Tasks[[#This Row],[_StartWorkday]]-1)</f>
        <v>0</v>
      </c>
      <c r="EA7" s="43" t="n">
        <f aca="false">Tasks[[#This Row],[_Res2Work]]*Tasks[[#This Row],[_LeafProgress]]</f>
        <v>0</v>
      </c>
      <c r="EB7" s="43" t="str">
        <f aca="false">IF(Tasks[[#This Row],[_Res3Text]]="","",IF(Tasks[[#This Row],[_Res3Row]]&gt;0,INDEX(res_Name,Tasks[[#This Row],[_Res3Row]]),TRIM(LEFT(Tasks[[#This Row],[_Res3Text]],FIND("[",Tasks[[#This Row],[_Res3Text]]&amp;"[")-1))))</f>
        <v/>
      </c>
      <c r="EC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3" t="n">
        <f aca="false">IF(OR(NOT(Tasks[[#This Row],[_IsLeaf]]=1),Tasks[[#This Row],[_Res3Row]]=0),0,N(Tasks[[#This Row],[_Days]])*HoursPerDay*IF(Tasks[[#This Row],[_Res3Units]]="",DefaultUnits,Tasks[[#This Row],[_Res3Units]]))</f>
        <v>0</v>
      </c>
      <c r="EE7" s="43" t="n">
        <f aca="false">IF(AND(AND(Tasks[[#This Row],[_IsLeaf]]=1,Tasks[[#This Row],[_LeafTotalWork]]&gt;0),Tasks[[#This Row],[_Res3Work]]&gt;0),Tasks[[#This Row],[_Res3Work]]/(Tasks[[#This Row],[_FinishWorkday]]-Tasks[[#This Row],[_StartWorkday]]+1),0)</f>
        <v>0</v>
      </c>
      <c r="EF7" s="43" t="n">
        <f aca="false">Tasks[[#This Row],[_Res3WorkPerWD]]*MAX(0,Tasks[[#This Row],[_StartWorkday]]-1)</f>
        <v>0</v>
      </c>
      <c r="EG7" s="43" t="n">
        <f aca="false">Tasks[[#This Row],[_Res3Work]]*Tasks[[#This Row],[_LeafProgress]]</f>
        <v>0</v>
      </c>
      <c r="EH7" s="43" t="str">
        <f aca="false">IF(Tasks[[#This Row],[_Res4Text]]="","",IF(Tasks[[#This Row],[_Res4Row]]&gt;0,INDEX(res_Name,Tasks[[#This Row],[_Res4Row]]),TRIM(LEFT(Tasks[[#This Row],[_Res4Text]],FIND("[",Tasks[[#This Row],[_Res4Text]]&amp;"[")-1))))</f>
        <v/>
      </c>
      <c r="EI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3" t="n">
        <f aca="false">IF(OR(NOT(Tasks[[#This Row],[_IsLeaf]]=1),Tasks[[#This Row],[_Res4Row]]=0),0,N(Tasks[[#This Row],[_Days]])*HoursPerDay*IF(Tasks[[#This Row],[_Res4Units]]="",DefaultUnits,Tasks[[#This Row],[_Res4Units]]))</f>
        <v>0</v>
      </c>
      <c r="EK7" s="43" t="n">
        <f aca="false">IF(AND(AND(Tasks[[#This Row],[_IsLeaf]]=1,Tasks[[#This Row],[_LeafTotalWork]]&gt;0),Tasks[[#This Row],[_Res4Work]]&gt;0),Tasks[[#This Row],[_Res4Work]]/(Tasks[[#This Row],[_FinishWorkday]]-Tasks[[#This Row],[_StartWorkday]]+1),0)</f>
        <v>0</v>
      </c>
      <c r="EL7" s="43" t="n">
        <f aca="false">Tasks[[#This Row],[_Res4WorkPerWD]]*MAX(0,Tasks[[#This Row],[_StartWorkday]]-1)</f>
        <v>0</v>
      </c>
      <c r="EM7" s="43" t="n">
        <f aca="false">Tasks[[#This Row],[_Res4Work]]*Tasks[[#This Row],[_LeafProgress]]</f>
        <v>0</v>
      </c>
      <c r="EN7" s="94" t="n">
        <f aca="false">IF(ISNUMBER(Tasks[[#This Row],[% Complete]]),Tasks[[#This Row],[% Complete]],IF(Tasks[[#This Row],[Stage]]="",0,IFERROR(INDEX(stg_Pct,MATCH(Tasks[[#This Row],[Stage]],stg_Name,0)),0)))</f>
        <v>1</v>
      </c>
      <c r="EO7" s="43" t="n">
        <f aca="false">IF(NOT(Tasks[[#This Row],[_IsLeaf]]=1),0,IF(N(Tasks[[#This Row],[Actual Finish]])&gt;0,1,MIN(1,Tasks[[#This Row],[_Pct]])))</f>
        <v>1</v>
      </c>
      <c r="EP7" s="43" t="n">
        <f aca="false">IF(OR(NOT(Tasks[[#This Row],[_IsLeaf]]=1),Tasks[[#This Row],[_Res1Row]]=0),0,N(Tasks[[#This Row],[_Days]])*HoursPerDay*IF(Tasks[[#This Row],[_Units1]]="",DefaultUnits,Tasks[[#This Row],[_Units1]]))</f>
        <v>24</v>
      </c>
      <c r="EQ7" s="43" t="n">
        <f aca="false">Tasks[[#This Row],[_LeafWork]]+Tasks[[#This Row],[_Res2Work]]+Tasks[[#This Row],[_Res3Work]]+Tasks[[#This Row],[_Res4Work]]</f>
        <v>24</v>
      </c>
      <c r="ER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3" t="n">
        <f aca="false">IF(NOT(Tasks[[#This Row],[_IsLeaf]]=1),0,MAX(_xlfn.MAXIFS(Tasks[_Row],Tasks[_Pred1UID],Tasks[[#This Row],[UID]]),_xlfn.MAXIFS(Tasks[_Row],Tasks[_Pred2UID],Tasks[[#This Row],[UID]]),_xlfn.MAXIFS(Tasks[_Row],Tasks[_Pred3UID],Tasks[[#This Row],[UID]]),_xlfn.MAXIFS(Tasks[_Row],Tasks[_Pred4UID],Tasks[[#This Row],[UID]])))</f>
        <v>3</v>
      </c>
      <c r="FA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FB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FC7" s="91" t="n">
        <f aca="false">IF(NOT(Tasks[[#This Row],[_IsLeaf]]=1),"",IF(N(Tasks[[#This Row],[_Days]])&lt;=0,Tasks[[#This Row],[_LeafLateFinish]],WORKDAY.INTL(Tasks[[#This Row],[_LeafLateFinish]],-(Tasks[[#This Row],[_Days]]-1),WorkWeek,Holidays)))</f>
        <v>46276</v>
      </c>
      <c r="FD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7" s="90" t="b">
        <f aca="false">AND(Tasks[[#This Row],[_IsLeaf]]=1,Tasks[[#This Row],[_LeafProgress]]&lt;1,N(Tasks[[#This Row],[_LeafTotalSlack]])&lt;=CriticalSlackDays)</f>
        <v>0</v>
      </c>
      <c r="FF7" s="43" t="n">
        <f aca="false">IF(AND(Tasks[[#This Row],[_IsLeaf]]=1,Tasks[[#This Row],[_ConstraintCode]]=1,Tasks[[#This Row],[Mode]]&lt;&gt;"Manual",N(Tasks[[#This Row],[Actual Start]])=0),MAX(0,N(Tasks[[#This Row],[Free Slack]])),0)</f>
        <v>0</v>
      </c>
      <c r="FG7" s="91" t="n">
        <f aca="false">IF(NOT(Tasks[[#This Row],[_IsLeaf]]=1),"",IF(Tasks[[#This Row],[_AlapShift]]=0,Tasks[[#This Row],[_LeafCalcStart]],WORKDAY.INTL(Tasks[[#This Row],[_LeafCalcStart]],Tasks[[#This Row],[_AlapShift]],WorkWeek,Holidays)))</f>
        <v>46272</v>
      </c>
      <c r="FH7" s="91" t="n">
        <f aca="false">IF(NOT(Tasks[[#This Row],[_IsLeaf]]=1),"",IF(Tasks[[#This Row],[_AlapShift]]=0,Tasks[[#This Row],[_LeafCalcFinish]],WORKDAY.INTL(Tasks[[#This Row],[_LeafCalcFinish]],Tasks[[#This Row],[_AlapShift]],WorkWeek,Holidays)))</f>
        <v>46274</v>
      </c>
      <c r="FI7" s="91" t="n">
        <f aca="false">IF(NOT(Tasks[[#This Row],[_IsLeaf]]=1),"",IF(Tasks[[#This Row],[_AlapShift]]=0,Tasks[[#This Row],[_LeafFcstStart]],WORKDAY.INTL(Tasks[[#This Row],[_LeafFcstStart]],Tasks[[#This Row],[_AlapShift]],WorkWeek,Holidays)))</f>
        <v>46272</v>
      </c>
      <c r="FJ7" s="91" t="n">
        <f aca="false">IF(NOT(Tasks[[#This Row],[_IsLeaf]]=1),"",IF(Tasks[[#This Row],[_AlapShift]]=0,Tasks[[#This Row],[_LeafFcstFinish]],WORKDAY.INTL(Tasks[[#This Row],[_LeafFcstFinish]],Tasks[[#This Row],[_AlapShift]],WorkWeek,Holidays)))</f>
        <v>46275</v>
      </c>
      <c r="FK7" s="91" t="n">
        <f aca="false">IF(Tasks[[#This Row],[Task Name]]="","",IF(Tasks[[#This Row],[_IsSummary]],MIN(INDEX(Tasks[_ShownCalcStart],Tasks[[#This Row],[_Row]]+1):INDEX(Tasks[_ShownCalcStart],Tasks[[#This Row],[_Row]]+Tasks[[#This Row],[_Descendants]])),Tasks[[#This Row],[_ShownCalcStart]]))</f>
        <v>46272</v>
      </c>
      <c r="FL7" s="91" t="n">
        <f aca="false">IF(Tasks[[#This Row],[Task Name]]="","",IF(Tasks[[#This Row],[_IsSummary]],MAX(INDEX(Tasks[_ShownCalcFinish],Tasks[[#This Row],[_Row]]+1):INDEX(Tasks[_ShownCalcFinish],Tasks[[#This Row],[_Row]]+Tasks[[#This Row],[_Descendants]])),Tasks[[#This Row],[_ShownCalcFinish]]))</f>
        <v>46274</v>
      </c>
      <c r="FM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 s="43" t="n">
        <f aca="false">IF(AND(Tasks[[#This Row],[_IsLeaf]]=1,Tasks[[#This Row],[_LeafTotalWork]]&gt;0),NETWORKDAYS.INTL(ProjectStart,Tasks[[#This Row],[_ShownFcstStart]],WorkWeek,Holidays),0)</f>
        <v>1</v>
      </c>
      <c r="FZ7" s="43" t="n">
        <f aca="false">IF(AND(Tasks[[#This Row],[_IsLeaf]]=1,Tasks[[#This Row],[_LeafTotalWork]]&gt;0),MAX(Tasks[[#This Row],[_StartWorkday]],NETWORKDAYS.INTL(ProjectStart,Tasks[[#This Row],[_ShownFcstFinish]],WorkWeek,Holidays)),0)</f>
        <v>4</v>
      </c>
      <c r="GA7" s="43" t="n">
        <f aca="false">IF(AND(Tasks[[#This Row],[_IsLeaf]]=1,Tasks[[#This Row],[_LeafTotalWork]]&gt;0),Tasks[[#This Row],[_LeafWork]]/(Tasks[[#This Row],[_FinishWorkday]]-Tasks[[#This Row],[_StartWorkday]]+1),0)</f>
        <v>6</v>
      </c>
      <c r="GB7" s="43" t="n">
        <f aca="false">Tasks[[#This Row],[_WorkPerWorkday]]*(Tasks[[#This Row],[_StartWorkday]]-1)</f>
        <v>0</v>
      </c>
      <c r="GC7" s="43" t="n">
        <f aca="false">IF(Tasks[[#This Row],[_IsLeaf]]=1,MAX(N(Tasks[[#This Row],[_Days]]),0.1),0)</f>
        <v>3</v>
      </c>
      <c r="GD7" s="43" t="n">
        <f aca="false">Tasks[[#This Row],[_WeightDur]]*Tasks[[#This Row],[_LeafProgress]]</f>
        <v>3</v>
      </c>
      <c r="GE7" s="43" t="n">
        <f aca="false">Tasks[[#This Row],[_WeightDur]]*Tasks[[#This Row],[_PlannedPct]]</f>
        <v>3</v>
      </c>
      <c r="GF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3" t="str">
        <f aca="false">IF(AND(Tasks[[#This Row],[_IsLeaf]]=1,N(Tasks[[#This Row],[_Days]])=0,Tasks[[#This Row],[_LeafProgress]]&lt;1),Tasks[[#This Row],[_ShownFcstFinish]]+Tasks[[#This Row],[_Row]]/100000,"")</f>
        <v/>
      </c>
      <c r="GH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7" s="43" t="str">
        <f aca="false">IF(Tasks[[#This Row],[Task Name]]="","",LEFT(Tasks[[#This Row],[WBS]],FIND(".",Tasks[[#This Row],[WBS]]&amp;".")-1))</f>
        <v>1</v>
      </c>
      <c r="GJ7" s="43" t="str">
        <f aca="false">IF(AND(Tasks[[#This Row],[Task Name]]&lt;&gt;"",Tasks[[#This Row],[_Level]]=1),Tasks[[#This Row],[_Row]],"")</f>
        <v/>
      </c>
      <c r="GK7" s="43" t="str">
        <f aca="false">IF(AND(Tasks[[#This Row],[_IsLeaf]]=1,N(Tasks[[#This Row],[_Days]])=0),Tasks[[#This Row],[Planned Finish]]+Tasks[[#This Row],[_Row]]/100000,"")</f>
        <v/>
      </c>
      <c r="GL7" s="43" t="str">
        <f aca="false">IF(AND(Tasks[[#This Row],[_IsLeaf]]=1,Tasks[[#This Row],[_LeafProgress]]&lt;1,OR(N(Tasks[[#This Row],[Finish Var]])&gt;0,Tasks[[#This Row],[Status]]="Late Start")),MAX(0,Tasks[[#This Row],[Finish Var]])+1-Tasks[[#This Row],[_Row]]/1000000,"")</f>
        <v/>
      </c>
      <c r="GM7" s="43" t="str">
        <f aca="false">IF(AND(Tasks[[#This Row],[_IsLeaf]]=1,N(Tasks[[#This Row],[Actual Start]])=0,Tasks[[#This Row],[_ShownFcstStart]]&gt;=StatusDate,Tasks[[#This Row],[_ShownFcstStart]]&lt;=LookaheadEnd),Tasks[[#This Row],[_ShownFcstStart]]+Tasks[[#This Row],[_Row]]/100000,"")</f>
        <v/>
      </c>
      <c r="GN7" s="43" t="str">
        <f aca="false">IF(AND(Tasks[[#This Row],[_IsLeaf]]=1,Tasks[[#This Row],[_LeafProgress]]&lt;1,Tasks[[#This Row],[_ShownFcstFinish]]&gt;=StatusDate,Tasks[[#This Row],[_ShownFcstFinish]]&lt;=LookaheadEnd),Tasks[[#This Row],[_ShownFcstFinish]]+Tasks[[#This Row],[_Row]]/100000,"")</f>
        <v/>
      </c>
      <c r="GO7" s="43" t="str">
        <f aca="false">IF(Tasks[[#This Row],[_LeafCritical]],Tasks[[#This Row],[_ShownFcstStart]]+Tasks[[#This Row],[_Row]]/100000,"")</f>
        <v/>
      </c>
      <c r="GP7" s="43" t="n">
        <f aca="false">Tasks[[#This Row],[_LeafWork]]*Tasks[[#This Row],[_LeafProgress]]</f>
        <v>24</v>
      </c>
      <c r="GQ7" s="91" t="n">
        <f aca="false">IF(AND(Tasks[[#This Row],[_IsLeaf]]=1,Tasks[[#This Row],[_LeafProgress]]&gt;=1),IF(N(Tasks[[#This Row],[Actual Finish]])&gt;0,Tasks[[#This Row],[Actual Finish]],Tasks[[#This Row],[_ShownFcstFinish]]),"")</f>
        <v>46275</v>
      </c>
      <c r="GR7" s="43" t="n">
        <f aca="false">IF(Tasks[[#This Row],[_IsLeaf]]=1,N(Tasks[[#This Row],[Story Points]]),0)</f>
        <v>0</v>
      </c>
      <c r="GS7" s="43" t="str">
        <f aca="false">""</f>
        <v/>
      </c>
      <c r="GT7" s="90" t="b">
        <f aca="false">IF(Tasks[[#This Row],[Task Name]]="",FALSE(),AND(Tasks[[#This Row],[_IsLeaf]]=1,N(Tasks[[#This Row],[_Days]])=0))</f>
        <v>0</v>
      </c>
      <c r="GU7" s="91" t="n">
        <f aca="false">IF(Tasks[[#This Row],[Task Name]]="",0,IF(AND(Tasks[[#This Row],[_IsLeaf]]=1,NOT(Tasks[[#This Row],[_IsMilestone]]),N(Tasks[[#This Row],[Progress]])&gt;0),Tasks[[#This Row],[Start]],0))</f>
        <v>46272</v>
      </c>
      <c r="GV7" s="91" t="n">
        <f aca="false">IF(Tasks[[#This Row],[_DoneFrom]]=0,0,IF(Tasks[[#This Row],[Progress]]&gt;=1,Tasks[[#This Row],[Finish]],MAX(Tasks[[#This Row],[_DoneFrom]],Tasks[[#This Row],[Start]]+ROUND((Tasks[[#This Row],[Finish]]-Tasks[[#This Row],[Start]]+1)*Tasks[[#This Row],[Progress]],0)-1)))</f>
        <v>46275</v>
      </c>
      <c r="GW7" s="91" t="n">
        <f aca="false">IF(Tasks[[#This Row],[Task Name]]="",0,IF(OR(NOT(Tasks[[#This Row],[_IsLeaf]]=1),Tasks[[#This Row],[_IsMilestone]],N(Tasks[[#This Row],[Progress]])&gt;=1),0,IF(Tasks[[#This Row],[_DoneTo]]&gt;0,Tasks[[#This Row],[_DoneTo]]+1,Tasks[[#This Row],[Start]])))</f>
        <v>0</v>
      </c>
      <c r="GX7" s="91" t="n">
        <f aca="false">IF(Tasks[[#This Row],[_RemFrom]]=0,0,Tasks[[#This Row],[Finish]])</f>
        <v>0</v>
      </c>
      <c r="GY7" s="90" t="b">
        <f aca="false">IF(Tasks[[#This Row],[Task Name]]="",FALSE(),OR(NOT(BaselineSet),N(Tasks[[#This Row],[Baseline Start]])&gt;0))</f>
        <v>1</v>
      </c>
      <c r="GZ7"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HA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7" s="92" t="n">
        <f aca="false">IF(Tasks[[#This Row],[_IsLeaf]]=1,Tasks[[#This Row],[_Row]],"")</f>
        <v>2</v>
      </c>
      <c r="HD7" s="92" t="str">
        <f aca="false">IFERROR(INDEX(Tasks[UID],SMALL(Tasks[_PickKey],Tasks[[#This Row],[_Row]]))&amp;" "&amp;INDEX(Tasks[Task Name],SMALL(Tasks[_PickKey],Tasks[[#This Row],[_Row]])),"")</f>
        <v>3 Stakeholder kickoff workshop</v>
      </c>
      <c r="HE7" s="43" t="n">
        <f aca="false">IF(Tasks[[#This Row],[Task Name]]="","",IF(Tasks[[#This Row],[_IsSummary]],NETWORKDAYS.INTL(Tasks[[#This Row],[Start]],Tasks[[#This Row],[Finish]],WorkWeek,Holidays),N(Tasks[[#This Row],[_Days]])))</f>
        <v>3</v>
      </c>
      <c r="HF7" s="43" t="n">
        <f aca="false">IF(Tasks[[#This Row],[Expected]]="",0,((Tasks[[#This Row],[Pessimistic]]-Tasks[[#This Row],[Optimistic]])/6)^2)</f>
        <v>0</v>
      </c>
      <c r="HG7" s="43" t="n">
        <f aca="false">IF(Tasks[[#This Row],[Expected]]="",0,Tasks[[#This Row],[Expected]]-N(Tasks[[#This Row],[_Days]]))</f>
        <v>0</v>
      </c>
    </row>
    <row r="8" customFormat="false" ht="15" hidden="false" customHeight="false" outlineLevel="1" collapsed="false">
      <c r="A8" s="21" t="n">
        <f aca="false">IF(Tasks[[#This Row],[Task Name]]="","",COUNTA(Tasks[[#Headers],[Task Name]]:Tasks[[#This Row],[Task Name]])-1)</f>
        <v>3</v>
      </c>
      <c r="B8" s="22" t="n">
        <v>3</v>
      </c>
      <c r="C8" s="22" t="n">
        <v>2</v>
      </c>
      <c r="D8" s="93" t="s">
        <v>645</v>
      </c>
      <c r="E8" s="22" t="n">
        <v>2</v>
      </c>
      <c r="F8" s="23" t="n">
        <v>2</v>
      </c>
      <c r="G8" s="22"/>
      <c r="H8" s="22"/>
      <c r="I8" s="23"/>
      <c r="J8" s="22"/>
      <c r="K8" s="22"/>
      <c r="L8" s="23"/>
      <c r="M8" s="22"/>
      <c r="N8" s="22"/>
      <c r="O8" s="23"/>
      <c r="P8" s="22"/>
      <c r="Q8" s="22"/>
      <c r="R8" s="23"/>
      <c r="S8" s="23" t="s">
        <v>643</v>
      </c>
      <c r="T8" s="84"/>
      <c r="U8" s="23"/>
      <c r="V8" s="84"/>
      <c r="W8" s="23"/>
      <c r="X8" s="84"/>
      <c r="Y8" s="23"/>
      <c r="Z8" s="84"/>
      <c r="AA8" s="23"/>
      <c r="AB8" s="23" t="s">
        <v>150</v>
      </c>
      <c r="AC8" s="7" t="n">
        <v>46276</v>
      </c>
      <c r="AD8" s="7" t="n">
        <v>46279</v>
      </c>
      <c r="AE8" s="63" t="n">
        <f aca="false">IF(Tasks[[#This Row],[Task Name]]="","",IF(Tasks[[#This Row],[_IsSummary]],MIN(INDEX(Tasks[_ShownFcstStart],Tasks[[#This Row],[_Row]]+1):INDEX(Tasks[_ShownFcstStart],Tasks[[#This Row],[_Row]]+Tasks[[#This Row],[_Descendants]])),Tasks[[#This Row],[_ShownFcstStart]]))</f>
        <v>46276</v>
      </c>
      <c r="AF8" s="63"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 s="7"/>
      <c r="AK8" s="22" t="s">
        <v>248</v>
      </c>
      <c r="AL8" s="23"/>
      <c r="AM8" s="7"/>
      <c r="AN8" s="47"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3" t="n">
        <f aca="false">IF(Tasks[[#This Row],[Task Name]]="","",IF(N(Tasks[[#This Row],[Baseline Start]])&gt;0,Tasks[[#This Row],[Baseline Start]],Tasks[[#This Row],[_CalcStart]]))</f>
        <v>46275</v>
      </c>
      <c r="AR8" s="63" t="n">
        <f aca="false">IF(Tasks[[#This Row],[Task Name]]="","",IF(N(Tasks[[#This Row],[Baseline Finish]])&gt;0,Tasks[[#This Row],[Baseline Finish]],Tasks[[#This Row],[_CalcFinish]]))</f>
        <v>46276</v>
      </c>
      <c r="AS8" s="47" t="n">
        <f aca="false">IF(Tasks[[#This Row],[Task Name]]="","",IF(Tasks[[#This Row],[Start]]&gt;=Tasks[[#This Row],[Planned Start]],NETWORKDAYS.INTL(Tasks[[#This Row],[Planned Start]],Tasks[[#This Row],[Start]],WorkWeek,Holidays)-1,1-NETWORKDAYS.INTL(Tasks[[#This Row],[Start]],Tasks[[#This Row],[Planned Start]],WorkWeek,Holidays)))</f>
        <v>1</v>
      </c>
      <c r="AT8" s="63" t="n">
        <f aca="false">IF(Tasks[[#This Row],[Task Name]]="","",IF(Tasks[[#This Row],[_IsSummary]],MIN(INDEX(Tasks[_LeafLateStart],Tasks[[#This Row],[_Row]]+1):INDEX(Tasks[_LeafLateStart],Tasks[[#This Row],[_Row]]+Tasks[[#This Row],[_Descendants]])),Tasks[[#This Row],[_LeafLateStart]]))</f>
        <v>46281</v>
      </c>
      <c r="AU8" s="63" t="n">
        <f aca="false">IF(Tasks[[#This Row],[Task Name]]="","",IF(Tasks[[#This Row],[_IsSummary]],MAX(INDEX(Tasks[_LeafLateFinish],Tasks[[#This Row],[_Row]]+1):INDEX(Tasks[_LeafLateFinish],Tasks[[#This Row],[_Row]]+Tasks[[#This Row],[_Descendants]])),Tasks[[#This Row],[_LeafLateFinish]]))</f>
        <v>46282</v>
      </c>
      <c r="AV8" s="47"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5"/>
      <c r="BA8"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6"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7"/>
      <c r="BJ8" s="22"/>
      <c r="BK8" s="47" t="n">
        <f aca="false">IF(OR(Tasks[[#This Row],[Task Name]]="",Tasks[[#This Row],[Baseline Duration]]=""),"",Tasks[[#This Row],[_SpanDays]]-N(Tasks[[#This Row],[Baseline Duration]]))</f>
        <v>0</v>
      </c>
      <c r="BL8" s="86" t="n">
        <f aca="false">IF(OR(Tasks[[#This Row],[Task Name]]="",Tasks[[#This Row],[Baseline Work]]=""),"",Tasks[[#This Row],[Work]]-N(Tasks[[#This Row],[Baseline Work]]))</f>
        <v>0</v>
      </c>
      <c r="BM8" s="63" t="n">
        <f aca="false">IF(Tasks[[#This Row],[Task Name]]="","",IF(OR(TakeBaseline="Yes",N(Tasks[[#This Row],[Baseline Start]])=0),Tasks[[#This Row],[Start]],Tasks[[#This Row],[Baseline Start]]))</f>
        <v>46275</v>
      </c>
      <c r="BN8" s="63" t="n">
        <f aca="false">IF(Tasks[[#This Row],[Task Name]]="","",IF(OR(TakeBaseline="Yes",N(Tasks[[#This Row],[Baseline Finish]])=0),Tasks[[#This Row],[Finish]],Tasks[[#This Row],[Baseline Finish]]))</f>
        <v>46276</v>
      </c>
      <c r="BO8" s="21" t="n">
        <f aca="false">IF(Tasks[[#This Row],[Task Name]]="","",IF(OR(TakeBaseline="Yes",N(Tasks[[#This Row],[Baseline Duration]])=0),Tasks[[#This Row],[_SpanDays]],Tasks[[#This Row],[Baseline Duration]]))</f>
        <v>2</v>
      </c>
      <c r="BP8" s="86" t="n">
        <f aca="false">IF(Tasks[[#This Row],[Task Name]]="","",IF(OR(TakeBaseline="Yes",N(Tasks[[#This Row],[Baseline Work]])=0),Tasks[[#This Row],[Work]],Tasks[[#This Row],[Baseline Work]]))</f>
        <v>16</v>
      </c>
      <c r="BQ8" s="7" t="n">
        <v>46275</v>
      </c>
      <c r="BR8" s="7" t="n">
        <v>46276</v>
      </c>
      <c r="BS8" s="22" t="n">
        <v>2</v>
      </c>
      <c r="BT8" s="88" t="n">
        <v>16</v>
      </c>
      <c r="BU8" s="23"/>
      <c r="BV8" s="23"/>
      <c r="BW8" s="23"/>
      <c r="BX8" s="89" t="str">
        <f aca="false">IF(AND(Tasks[[#This Row],[_IsLeaf]]=1,ISNUMBER(Tasks[[#This Row],[Optimistic]]),ISNUMBER(Tasks[[#This Row],[Pessimistic]])),ROUND((Tasks[[#This Row],[Optimistic]]+4*N(Tasks[[#This Row],[_Days]])+Tasks[[#This Row],[Pessimistic]])/6,1),"")</f>
        <v/>
      </c>
      <c r="BY8" s="87"/>
      <c r="BZ8" s="87"/>
      <c r="CA8" s="22"/>
      <c r="CB8" s="43" t="n">
        <f aca="false">IF(Tasks[[#This Row],[Task Name]]="","",MAX(1,N(Tasks[[#This Row],[Level]])))</f>
        <v>2</v>
      </c>
      <c r="CC8" s="43" t="n">
        <f aca="false">ROW()-ROW(Tasks[[#Headers],[ID]])</f>
        <v>3</v>
      </c>
      <c r="CD8" s="43" t="n">
        <f aca="false">IF(OR(Tasks[[#This Row],[Task Name]]="",Tasks[[#This Row],[_Level]]&lt;=1),0,IFERROR(LOOKUP(2,1/(Tasks[[#Headers],[_Level]]:Tasks[[#This Row],[_Level]]=Tasks[[#This Row],[_Level]]-1),ROW(Tasks[[#Headers],[_Level]]:Tasks[[#This Row],[_Level]])),0))</f>
        <v>6</v>
      </c>
      <c r="CE8" s="43" t="n">
        <f aca="false">IFERROR(N(INDEX(Tasks[_Level],Tasks[[#This Row],[_Row]]+1)),0)</f>
        <v>2</v>
      </c>
      <c r="CF8" s="90" t="b">
        <f aca="false">AND(Tasks[[#This Row],[Task Name]]&lt;&gt;"",Tasks[[#This Row],[_NextLevel]]&gt;Tasks[[#This Row],[_Level]])</f>
        <v>0</v>
      </c>
      <c r="CG8" s="43" t="n">
        <f aca="false">IF(Tasks[[#This Row],[_IsSummary]],COUNTIF(Tasks[WBS],Tasks[[#This Row],[WBS]]&amp;".*"),0)</f>
        <v>0</v>
      </c>
      <c r="CH8" s="43" t="n">
        <f aca="false">IF(AND(Tasks[[#This Row],[Task Name]]&lt;&gt;"",NOT(Tasks[[#This Row],[_IsSummary]])),1,0)</f>
        <v>1</v>
      </c>
      <c r="CI8" s="43" t="n">
        <f aca="false">IF(N(Tasks[[#This Row],[_Pred1UID]])=0,0,IFERROR(MATCH(Tasks[[#This Row],[_Pred1UID]],Tasks[UID],0),-1))</f>
        <v>2</v>
      </c>
      <c r="CJ8" s="43" t="n">
        <f aca="false">IF(N(Tasks[[#This Row],[_Pred2UID]])=0,0,IFERROR(MATCH(Tasks[[#This Row],[_Pred2UID]],Tasks[UID],0),-1))</f>
        <v>0</v>
      </c>
      <c r="CK8" s="43" t="n">
        <f aca="false">IF(N(Tasks[[#This Row],[_Pred3UID]])=0,0,IFERROR(MATCH(Tasks[[#This Row],[_Pred3UID]],Tasks[UID],0),-1))</f>
        <v>0</v>
      </c>
      <c r="CL8" s="43" t="n">
        <f aca="false">IF(N(Tasks[[#This Row],[_Pred4UID]])=0,0,IFERROR(MATCH(Tasks[[#This Row],[_Pred4UID]],Tasks[UID],0),-1))</f>
        <v>0</v>
      </c>
      <c r="CM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 s="91" t="n">
        <f aca="false">IF(OR(Tasks[[#This Row],[_ConstraintCode]]=2,Tasks[[#This Row],[_ConstraintCode]]=3,Tasks[[#This Row],[_ConstraintCode]]=4,Tasks[[#This Row],[_ConstraintCode]]=6),Tasks[[#This Row],[_ConstraintStart]],0)</f>
        <v>0</v>
      </c>
      <c r="CP8" s="91" t="n">
        <f aca="false">IF(OR(Tasks[[#This Row],[_ConstraintCode]]=2,Tasks[[#This Row],[_ConstraintCode]]=3,Tasks[[#This Row],[_ConstraintCode]]=5,Tasks[[#This Row],[_ConstraintCode]]=7),Tasks[[#This Row],[_ConstraintStart]],2958465)</f>
        <v>2958465</v>
      </c>
      <c r="CQ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R8" s="91" t="n">
        <f aca="false">IF(NOT(Tasks[[#This Row],[_IsLeaf]]=1),"",IF(N(Tasks[[#This Row],[_Days]])&lt;=0,Tasks[[#This Row],[_LeafCalcStart]],WORKDAY.INTL(Tasks[[#This Row],[_LeafCalcStart]],Tasks[[#This Row],[_Days]]-1,WorkWeek,Holidays)))</f>
        <v>46276</v>
      </c>
      <c r="CS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T8"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8" s="43" t="str">
        <f aca="false">IF(Tasks[[#This Row],[_Predecessors]]="","",TRIM(MID(SUBSTITUTE(SUBSTITUTE(SUBSTITUTE(UPPER(Tasks[[#This Row],[_Predecessors]]),";",",")," ",""),",",REPT(" ",99)),1,99)))</f>
        <v>2</v>
      </c>
      <c r="CV8" s="43" t="n">
        <f aca="false">IF(Tasks[[#This Row],[_Pred1Text]]="","",IFERROR(VALUE(LEFT(Tasks[[#This Row],[_Pred1Text]],MIN(FIND("F",Tasks[[#This Row],[_Pred1Text]]&amp;"F"),FIND("S",Tasks[[#This Row],[_Pred1Text]]&amp;"S"),FIND("+",Tasks[[#This Row],[_Pred1Text]]&amp;"+"),FIND("-",Tasks[[#This Row],[_Pred1Text]]&amp;"-"))-1)),""))</f>
        <v>2</v>
      </c>
      <c r="CW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8" s="43" t="str">
        <f aca="false">IF(Tasks[[#This Row],[_Pred1Text]]="","",TRIM(MID(SUBSTITUTE(SUBSTITUTE(SUBSTITUTE(UPPER(Tasks[[#This Row],[_Predecessors]]),";",",")," ",""),",",REPT(" ",99)),100,99)))</f>
        <v/>
      </c>
      <c r="CZ8" s="43" t="str">
        <f aca="false">IF(Tasks[[#This Row],[_Pred2Text]]="","",IFERROR(VALUE(LEFT(Tasks[[#This Row],[_Pred2Text]],MIN(FIND("F",Tasks[[#This Row],[_Pred2Text]]&amp;"F"),FIND("S",Tasks[[#This Row],[_Pred2Text]]&amp;"S"),FIND("+",Tasks[[#This Row],[_Pred2Text]]&amp;"+"),FIND("-",Tasks[[#This Row],[_Pred2Text]]&amp;"-"))-1)),""))</f>
        <v/>
      </c>
      <c r="DA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3" t="str">
        <f aca="false">IF(Tasks[[#This Row],[_Pred2Text]]="","",TRIM(MID(SUBSTITUTE(SUBSTITUTE(SUBSTITUTE(UPPER(Tasks[[#This Row],[_Predecessors]]),";",",")," ",""),",",REPT(" ",99)),199,99)))</f>
        <v/>
      </c>
      <c r="DD8" s="43" t="str">
        <f aca="false">IF(Tasks[[#This Row],[_Pred3Text]]="","",IFERROR(VALUE(LEFT(Tasks[[#This Row],[_Pred3Text]],MIN(FIND("F",Tasks[[#This Row],[_Pred3Text]]&amp;"F"),FIND("S",Tasks[[#This Row],[_Pred3Text]]&amp;"S"),FIND("+",Tasks[[#This Row],[_Pred3Text]]&amp;"+"),FIND("-",Tasks[[#This Row],[_Pred3Text]]&amp;"-"))-1)),""))</f>
        <v/>
      </c>
      <c r="DE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3" t="str">
        <f aca="false">IF(Tasks[[#This Row],[_Pred3Text]]="","",TRIM(MID(SUBSTITUTE(SUBSTITUTE(SUBSTITUTE(UPPER(Tasks[[#This Row],[_Predecessors]]),";",",")," ",""),",",REPT(" ",99)),298,99)))</f>
        <v/>
      </c>
      <c r="DH8" s="43" t="str">
        <f aca="false">IF(Tasks[[#This Row],[_Pred4Text]]="","",IFERROR(VALUE(LEFT(Tasks[[#This Row],[_Pred4Text]],MIN(FIND("F",Tasks[[#This Row],[_Pred4Text]]&amp;"F"),FIND("S",Tasks[[#This Row],[_Pred4Text]]&amp;"S"),FIND("+",Tasks[[#This Row],[_Pred4Text]]&amp;"+"),FIND("-",Tasks[[#This Row],[_Pred4Text]]&amp;"-"))-1)),""))</f>
        <v/>
      </c>
      <c r="DI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3" t="str">
        <f aca="false">IF(OR(Tasks[[#This Row],[Task Name]]="",Tasks[[#This Row],[_Resources]]=""),"",TRIM(MID(SUBSTITUTE(Tasks[[#This Row],[_Resources]],",",REPT(" ",99)),1,99)))</f>
        <v>Morgan Patel</v>
      </c>
      <c r="DL8" s="43" t="str">
        <f aca="false">IF(Tasks[[#This Row],[_Res1Text]]="","",TRIM(MID(SUBSTITUTE(Tasks[[#This Row],[_Resources]],",",REPT(" ",99)),100,99)))</f>
        <v/>
      </c>
      <c r="DM8" s="43" t="str">
        <f aca="false">IF(Tasks[[#This Row],[_Res2Text]]="","",TRIM(MID(SUBSTITUTE(Tasks[[#This Row],[_Resources]],",",REPT(" ",99)),199,99)))</f>
        <v/>
      </c>
      <c r="DN8" s="43" t="str">
        <f aca="false">IF(Tasks[[#This Row],[_Res3Text]]="","",TRIM(MID(SUBSTITUTE(Tasks[[#This Row],[_Resources]],",",REPT(" ",99)),298,99)))</f>
        <v/>
      </c>
      <c r="DO8" s="43" t="n">
        <f aca="false">IF(Tasks[[#This Row],[_Res1Text]]="",0,IFERROR(MATCH(TRIM(LEFT(Tasks[[#This Row],[_Res1Text]],FIND("[",Tasks[[#This Row],[_Res1Text]]&amp;"[")-1)),res_Name,0),IFERROR(MATCH(TRIM(LEFT(Tasks[[#This Row],[_Res1Text]],FIND("[",Tasks[[#This Row],[_Res1Text]]&amp;"[")-1)),res_Initials,0),0)))</f>
        <v>2</v>
      </c>
      <c r="DP8" s="43" t="n">
        <f aca="false">IF(Tasks[[#This Row],[_Res2Text]]="",0,IFERROR(MATCH(TRIM(LEFT(Tasks[[#This Row],[_Res2Text]],FIND("[",Tasks[[#This Row],[_Res2Text]]&amp;"[")-1)),res_Name,0),IFERROR(MATCH(TRIM(LEFT(Tasks[[#This Row],[_Res2Text]],FIND("[",Tasks[[#This Row],[_Res2Text]]&amp;"[")-1)),res_Initials,0),0)))</f>
        <v>0</v>
      </c>
      <c r="DQ8" s="43" t="n">
        <f aca="false">IF(Tasks[[#This Row],[_Res3Text]]="",0,IFERROR(MATCH(TRIM(LEFT(Tasks[[#This Row],[_Res3Text]],FIND("[",Tasks[[#This Row],[_Res3Text]]&amp;"[")-1)),res_Name,0),IFERROR(MATCH(TRIM(LEFT(Tasks[[#This Row],[_Res3Text]],FIND("[",Tasks[[#This Row],[_Res3Text]]&amp;"[")-1)),res_Initials,0),0)))</f>
        <v>0</v>
      </c>
      <c r="DR8" s="43" t="n">
        <f aca="false">IF(Tasks[[#This Row],[_Res4Text]]="",0,IFERROR(MATCH(TRIM(LEFT(Tasks[[#This Row],[_Res4Text]],FIND("[",Tasks[[#This Row],[_Res4Text]]&amp;"[")-1)),res_Name,0),IFERROR(MATCH(TRIM(LEFT(Tasks[[#This Row],[_Res4Text]],FIND("[",Tasks[[#This Row],[_Res4Text]]&amp;"[")-1)),res_Initials,0),0)))</f>
        <v>0</v>
      </c>
      <c r="DS8" s="43" t="str">
        <f aca="false">IF(Tasks[[#This Row],[_Res1Text]]="","",IF(Tasks[[#This Row],[_Res1Row]]&gt;0,INDEX(res_Name,Tasks[[#This Row],[_Res1Row]]),TRIM(LEFT(Tasks[[#This Row],[_Res1Text]],FIND("[",Tasks[[#This Row],[_Res1Text]]&amp;"[")-1))))</f>
        <v>Morgan Patel</v>
      </c>
      <c r="DT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3" t="n">
        <f aca="false">IF(NOT(Tasks[[#This Row],[_IsLeaf]]=1),0,(Tasks[[#This Row],[_Resource1]]&lt;&gt;"")+(Tasks[[#This Row],[_Res2]]&lt;&gt;"")+(Tasks[[#This Row],[_Res3]]&lt;&gt;"")+(Tasks[[#This Row],[_Res4]]&lt;&gt;""))</f>
        <v>1</v>
      </c>
      <c r="DV8" s="43" t="str">
        <f aca="false">IF(Tasks[[#This Row],[_Res2Text]]="","",IF(Tasks[[#This Row],[_Res2Row]]&gt;0,INDEX(res_Name,Tasks[[#This Row],[_Res2Row]]),TRIM(LEFT(Tasks[[#This Row],[_Res2Text]],FIND("[",Tasks[[#This Row],[_Res2Text]]&amp;"[")-1))))</f>
        <v/>
      </c>
      <c r="DW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3" t="n">
        <f aca="false">IF(OR(NOT(Tasks[[#This Row],[_IsLeaf]]=1),Tasks[[#This Row],[_Res2Row]]=0),0,N(Tasks[[#This Row],[_Days]])*HoursPerDay*IF(Tasks[[#This Row],[_Res2Units]]="",DefaultUnits,Tasks[[#This Row],[_Res2Units]]))</f>
        <v>0</v>
      </c>
      <c r="DY8" s="43" t="n">
        <f aca="false">IF(AND(AND(Tasks[[#This Row],[_IsLeaf]]=1,Tasks[[#This Row],[_LeafTotalWork]]&gt;0),Tasks[[#This Row],[_Res2Work]]&gt;0),Tasks[[#This Row],[_Res2Work]]/(Tasks[[#This Row],[_FinishWorkday]]-Tasks[[#This Row],[_StartWorkday]]+1),0)</f>
        <v>0</v>
      </c>
      <c r="DZ8" s="43" t="n">
        <f aca="false">Tasks[[#This Row],[_Res2WorkPerWD]]*MAX(0,Tasks[[#This Row],[_StartWorkday]]-1)</f>
        <v>0</v>
      </c>
      <c r="EA8" s="43" t="n">
        <f aca="false">Tasks[[#This Row],[_Res2Work]]*Tasks[[#This Row],[_LeafProgress]]</f>
        <v>0</v>
      </c>
      <c r="EB8" s="43" t="str">
        <f aca="false">IF(Tasks[[#This Row],[_Res3Text]]="","",IF(Tasks[[#This Row],[_Res3Row]]&gt;0,INDEX(res_Name,Tasks[[#This Row],[_Res3Row]]),TRIM(LEFT(Tasks[[#This Row],[_Res3Text]],FIND("[",Tasks[[#This Row],[_Res3Text]]&amp;"[")-1))))</f>
        <v/>
      </c>
      <c r="EC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3" t="n">
        <f aca="false">IF(OR(NOT(Tasks[[#This Row],[_IsLeaf]]=1),Tasks[[#This Row],[_Res3Row]]=0),0,N(Tasks[[#This Row],[_Days]])*HoursPerDay*IF(Tasks[[#This Row],[_Res3Units]]="",DefaultUnits,Tasks[[#This Row],[_Res3Units]]))</f>
        <v>0</v>
      </c>
      <c r="EE8" s="43" t="n">
        <f aca="false">IF(AND(AND(Tasks[[#This Row],[_IsLeaf]]=1,Tasks[[#This Row],[_LeafTotalWork]]&gt;0),Tasks[[#This Row],[_Res3Work]]&gt;0),Tasks[[#This Row],[_Res3Work]]/(Tasks[[#This Row],[_FinishWorkday]]-Tasks[[#This Row],[_StartWorkday]]+1),0)</f>
        <v>0</v>
      </c>
      <c r="EF8" s="43" t="n">
        <f aca="false">Tasks[[#This Row],[_Res3WorkPerWD]]*MAX(0,Tasks[[#This Row],[_StartWorkday]]-1)</f>
        <v>0</v>
      </c>
      <c r="EG8" s="43" t="n">
        <f aca="false">Tasks[[#This Row],[_Res3Work]]*Tasks[[#This Row],[_LeafProgress]]</f>
        <v>0</v>
      </c>
      <c r="EH8" s="43" t="str">
        <f aca="false">IF(Tasks[[#This Row],[_Res4Text]]="","",IF(Tasks[[#This Row],[_Res4Row]]&gt;0,INDEX(res_Name,Tasks[[#This Row],[_Res4Row]]),TRIM(LEFT(Tasks[[#This Row],[_Res4Text]],FIND("[",Tasks[[#This Row],[_Res4Text]]&amp;"[")-1))))</f>
        <v/>
      </c>
      <c r="EI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3" t="n">
        <f aca="false">IF(OR(NOT(Tasks[[#This Row],[_IsLeaf]]=1),Tasks[[#This Row],[_Res4Row]]=0),0,N(Tasks[[#This Row],[_Days]])*HoursPerDay*IF(Tasks[[#This Row],[_Res4Units]]="",DefaultUnits,Tasks[[#This Row],[_Res4Units]]))</f>
        <v>0</v>
      </c>
      <c r="EK8" s="43" t="n">
        <f aca="false">IF(AND(AND(Tasks[[#This Row],[_IsLeaf]]=1,Tasks[[#This Row],[_LeafTotalWork]]&gt;0),Tasks[[#This Row],[_Res4Work]]&gt;0),Tasks[[#This Row],[_Res4Work]]/(Tasks[[#This Row],[_FinishWorkday]]-Tasks[[#This Row],[_StartWorkday]]+1),0)</f>
        <v>0</v>
      </c>
      <c r="EL8" s="43" t="n">
        <f aca="false">Tasks[[#This Row],[_Res4WorkPerWD]]*MAX(0,Tasks[[#This Row],[_StartWorkday]]-1)</f>
        <v>0</v>
      </c>
      <c r="EM8" s="43" t="n">
        <f aca="false">Tasks[[#This Row],[_Res4Work]]*Tasks[[#This Row],[_LeafProgress]]</f>
        <v>0</v>
      </c>
      <c r="EN8" s="94" t="n">
        <f aca="false">IF(ISNUMBER(Tasks[[#This Row],[% Complete]]),Tasks[[#This Row],[% Complete]],IF(Tasks[[#This Row],[Stage]]="",0,IFERROR(INDEX(stg_Pct,MATCH(Tasks[[#This Row],[Stage]],stg_Name,0)),0)))</f>
        <v>1</v>
      </c>
      <c r="EO8" s="43" t="n">
        <f aca="false">IF(NOT(Tasks[[#This Row],[_IsLeaf]]=1),0,IF(N(Tasks[[#This Row],[Actual Finish]])&gt;0,1,MIN(1,Tasks[[#This Row],[_Pct]])))</f>
        <v>1</v>
      </c>
      <c r="EP8" s="43" t="n">
        <f aca="false">IF(OR(NOT(Tasks[[#This Row],[_IsLeaf]]=1),Tasks[[#This Row],[_Res1Row]]=0),0,N(Tasks[[#This Row],[_Days]])*HoursPerDay*IF(Tasks[[#This Row],[_Units1]]="",DefaultUnits,Tasks[[#This Row],[_Units1]]))</f>
        <v>16</v>
      </c>
      <c r="EQ8" s="43" t="n">
        <f aca="false">Tasks[[#This Row],[_LeafWork]]+Tasks[[#This Row],[_Res2Work]]+Tasks[[#This Row],[_Res3Work]]+Tasks[[#This Row],[_Res4Work]]</f>
        <v>16</v>
      </c>
      <c r="ER8"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S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3" t="n">
        <f aca="false">IF(NOT(Tasks[[#This Row],[_IsLeaf]]=1),0,MAX(_xlfn.MAXIFS(Tasks[_Row],Tasks[_Pred1UID],Tasks[[#This Row],[UID]]),_xlfn.MAXIFS(Tasks[_Row],Tasks[_Pred2UID],Tasks[[#This Row],[UID]]),_xlfn.MAXIFS(Tasks[_Row],Tasks[_Pred3UID],Tasks[[#This Row],[UID]]),_xlfn.MAXIFS(Tasks[_Row],Tasks[_Pred4UID],Tasks[[#This Row],[UID]])))</f>
        <v>4</v>
      </c>
      <c r="FA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8"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8" s="91" t="n">
        <f aca="false">IF(NOT(Tasks[[#This Row],[_IsLeaf]]=1),"",IF(N(Tasks[[#This Row],[_Days]])&lt;=0,Tasks[[#This Row],[_LeafLateFinish]],WORKDAY.INTL(Tasks[[#This Row],[_LeafLateFinish]],-(Tasks[[#This Row],[_Days]]-1),WorkWeek,Holidays)))</f>
        <v>46281</v>
      </c>
      <c r="FD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8" s="90" t="b">
        <f aca="false">AND(Tasks[[#This Row],[_IsLeaf]]=1,Tasks[[#This Row],[_LeafProgress]]&lt;1,N(Tasks[[#This Row],[_LeafTotalSlack]])&lt;=CriticalSlackDays)</f>
        <v>0</v>
      </c>
      <c r="FF8" s="43" t="n">
        <f aca="false">IF(AND(Tasks[[#This Row],[_IsLeaf]]=1,Tasks[[#This Row],[_ConstraintCode]]=1,Tasks[[#This Row],[Mode]]&lt;&gt;"Manual",N(Tasks[[#This Row],[Actual Start]])=0),MAX(0,N(Tasks[[#This Row],[Free Slack]])),0)</f>
        <v>0</v>
      </c>
      <c r="FG8" s="91" t="n">
        <f aca="false">IF(NOT(Tasks[[#This Row],[_IsLeaf]]=1),"",IF(Tasks[[#This Row],[_AlapShift]]=0,Tasks[[#This Row],[_LeafCalcStart]],WORKDAY.INTL(Tasks[[#This Row],[_LeafCalcStart]],Tasks[[#This Row],[_AlapShift]],WorkWeek,Holidays)))</f>
        <v>46275</v>
      </c>
      <c r="FH8" s="91" t="n">
        <f aca="false">IF(NOT(Tasks[[#This Row],[_IsLeaf]]=1),"",IF(Tasks[[#This Row],[_AlapShift]]=0,Tasks[[#This Row],[_LeafCalcFinish]],WORKDAY.INTL(Tasks[[#This Row],[_LeafCalcFinish]],Tasks[[#This Row],[_AlapShift]],WorkWeek,Holidays)))</f>
        <v>46276</v>
      </c>
      <c r="FI8" s="91" t="n">
        <f aca="false">IF(NOT(Tasks[[#This Row],[_IsLeaf]]=1),"",IF(Tasks[[#This Row],[_AlapShift]]=0,Tasks[[#This Row],[_LeafFcstStart]],WORKDAY.INTL(Tasks[[#This Row],[_LeafFcstStart]],Tasks[[#This Row],[_AlapShift]],WorkWeek,Holidays)))</f>
        <v>46276</v>
      </c>
      <c r="FJ8" s="91" t="n">
        <f aca="false">IF(NOT(Tasks[[#This Row],[_IsLeaf]]=1),"",IF(Tasks[[#This Row],[_AlapShift]]=0,Tasks[[#This Row],[_LeafFcstFinish]],WORKDAY.INTL(Tasks[[#This Row],[_LeafFcstFinish]],Tasks[[#This Row],[_AlapShift]],WorkWeek,Holidays)))</f>
        <v>46279</v>
      </c>
      <c r="FK8" s="91" t="n">
        <f aca="false">IF(Tasks[[#This Row],[Task Name]]="","",IF(Tasks[[#This Row],[_IsSummary]],MIN(INDEX(Tasks[_ShownCalcStart],Tasks[[#This Row],[_Row]]+1):INDEX(Tasks[_ShownCalcStart],Tasks[[#This Row],[_Row]]+Tasks[[#This Row],[_Descendants]])),Tasks[[#This Row],[_ShownCalcStart]]))</f>
        <v>46275</v>
      </c>
      <c r="FL8" s="91" t="n">
        <f aca="false">IF(Tasks[[#This Row],[Task Name]]="","",IF(Tasks[[#This Row],[_IsSummary]],MAX(INDEX(Tasks[_ShownCalcFinish],Tasks[[#This Row],[_Row]]+1):INDEX(Tasks[_ShownCalcFinish],Tasks[[#This Row],[_Row]]+Tasks[[#This Row],[_Descendants]])),Tasks[[#This Row],[_ShownCalcFinish]]))</f>
        <v>46276</v>
      </c>
      <c r="FM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R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V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 s="43" t="n">
        <f aca="false">IF(AND(Tasks[[#This Row],[_IsLeaf]]=1,Tasks[[#This Row],[_LeafTotalWork]]&gt;0),NETWORKDAYS.INTL(ProjectStart,Tasks[[#This Row],[_ShownFcstStart]],WorkWeek,Holidays),0)</f>
        <v>5</v>
      </c>
      <c r="FZ8" s="43" t="n">
        <f aca="false">IF(AND(Tasks[[#This Row],[_IsLeaf]]=1,Tasks[[#This Row],[_LeafTotalWork]]&gt;0),MAX(Tasks[[#This Row],[_StartWorkday]],NETWORKDAYS.INTL(ProjectStart,Tasks[[#This Row],[_ShownFcstFinish]],WorkWeek,Holidays)),0)</f>
        <v>6</v>
      </c>
      <c r="GA8" s="43" t="n">
        <f aca="false">IF(AND(Tasks[[#This Row],[_IsLeaf]]=1,Tasks[[#This Row],[_LeafTotalWork]]&gt;0),Tasks[[#This Row],[_LeafWork]]/(Tasks[[#This Row],[_FinishWorkday]]-Tasks[[#This Row],[_StartWorkday]]+1),0)</f>
        <v>8</v>
      </c>
      <c r="GB8" s="43" t="n">
        <f aca="false">Tasks[[#This Row],[_WorkPerWorkday]]*(Tasks[[#This Row],[_StartWorkday]]-1)</f>
        <v>32</v>
      </c>
      <c r="GC8" s="43" t="n">
        <f aca="false">IF(Tasks[[#This Row],[_IsLeaf]]=1,MAX(N(Tasks[[#This Row],[_Days]]),0.1),0)</f>
        <v>2</v>
      </c>
      <c r="GD8" s="43" t="n">
        <f aca="false">Tasks[[#This Row],[_WeightDur]]*Tasks[[#This Row],[_LeafProgress]]</f>
        <v>2</v>
      </c>
      <c r="GE8" s="43" t="n">
        <f aca="false">Tasks[[#This Row],[_WeightDur]]*Tasks[[#This Row],[_PlannedPct]]</f>
        <v>2</v>
      </c>
      <c r="GF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GG8" s="43" t="str">
        <f aca="false">IF(AND(Tasks[[#This Row],[_IsLeaf]]=1,N(Tasks[[#This Row],[_Days]])=0,Tasks[[#This Row],[_LeafProgress]]&lt;1),Tasks[[#This Row],[_ShownFcstFinish]]+Tasks[[#This Row],[_Row]]/100000,"")</f>
        <v/>
      </c>
      <c r="GH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8" s="43" t="str">
        <f aca="false">IF(Tasks[[#This Row],[Task Name]]="","",LEFT(Tasks[[#This Row],[WBS]],FIND(".",Tasks[[#This Row],[WBS]]&amp;".")-1))</f>
        <v>1</v>
      </c>
      <c r="GJ8" s="43" t="str">
        <f aca="false">IF(AND(Tasks[[#This Row],[Task Name]]&lt;&gt;"",Tasks[[#This Row],[_Level]]=1),Tasks[[#This Row],[_Row]],"")</f>
        <v/>
      </c>
      <c r="GK8" s="43" t="str">
        <f aca="false">IF(AND(Tasks[[#This Row],[_IsLeaf]]=1,N(Tasks[[#This Row],[_Days]])=0),Tasks[[#This Row],[Planned Finish]]+Tasks[[#This Row],[_Row]]/100000,"")</f>
        <v/>
      </c>
      <c r="GL8" s="43" t="str">
        <f aca="false">IF(AND(Tasks[[#This Row],[_IsLeaf]]=1,Tasks[[#This Row],[_LeafProgress]]&lt;1,OR(N(Tasks[[#This Row],[Finish Var]])&gt;0,Tasks[[#This Row],[Status]]="Late Start")),MAX(0,Tasks[[#This Row],[Finish Var]])+1-Tasks[[#This Row],[_Row]]/1000000,"")</f>
        <v/>
      </c>
      <c r="GM8" s="43" t="str">
        <f aca="false">IF(AND(Tasks[[#This Row],[_IsLeaf]]=1,N(Tasks[[#This Row],[Actual Start]])=0,Tasks[[#This Row],[_ShownFcstStart]]&gt;=StatusDate,Tasks[[#This Row],[_ShownFcstStart]]&lt;=LookaheadEnd),Tasks[[#This Row],[_ShownFcstStart]]+Tasks[[#This Row],[_Row]]/100000,"")</f>
        <v/>
      </c>
      <c r="GN8" s="43" t="str">
        <f aca="false">IF(AND(Tasks[[#This Row],[_IsLeaf]]=1,Tasks[[#This Row],[_LeafProgress]]&lt;1,Tasks[[#This Row],[_ShownFcstFinish]]&gt;=StatusDate,Tasks[[#This Row],[_ShownFcstFinish]]&lt;=LookaheadEnd),Tasks[[#This Row],[_ShownFcstFinish]]+Tasks[[#This Row],[_Row]]/100000,"")</f>
        <v/>
      </c>
      <c r="GO8" s="43" t="str">
        <f aca="false">IF(Tasks[[#This Row],[_LeafCritical]],Tasks[[#This Row],[_ShownFcstStart]]+Tasks[[#This Row],[_Row]]/100000,"")</f>
        <v/>
      </c>
      <c r="GP8" s="43" t="n">
        <f aca="false">Tasks[[#This Row],[_LeafWork]]*Tasks[[#This Row],[_LeafProgress]]</f>
        <v>16</v>
      </c>
      <c r="GQ8" s="91" t="n">
        <f aca="false">IF(AND(Tasks[[#This Row],[_IsLeaf]]=1,Tasks[[#This Row],[_LeafProgress]]&gt;=1),IF(N(Tasks[[#This Row],[Actual Finish]])&gt;0,Tasks[[#This Row],[Actual Finish]],Tasks[[#This Row],[_ShownFcstFinish]]),"")</f>
        <v>46279</v>
      </c>
      <c r="GR8" s="43" t="n">
        <f aca="false">IF(Tasks[[#This Row],[_IsLeaf]]=1,N(Tasks[[#This Row],[Story Points]]),0)</f>
        <v>0</v>
      </c>
      <c r="GS8" s="43" t="str">
        <f aca="false">""</f>
        <v/>
      </c>
      <c r="GT8" s="90" t="b">
        <f aca="false">IF(Tasks[[#This Row],[Task Name]]="",FALSE(),AND(Tasks[[#This Row],[_IsLeaf]]=1,N(Tasks[[#This Row],[_Days]])=0))</f>
        <v>0</v>
      </c>
      <c r="GU8" s="91" t="n">
        <f aca="false">IF(Tasks[[#This Row],[Task Name]]="",0,IF(AND(Tasks[[#This Row],[_IsLeaf]]=1,NOT(Tasks[[#This Row],[_IsMilestone]]),N(Tasks[[#This Row],[Progress]])&gt;0),Tasks[[#This Row],[Start]],0))</f>
        <v>46276</v>
      </c>
      <c r="GV8" s="91" t="n">
        <f aca="false">IF(Tasks[[#This Row],[_DoneFrom]]=0,0,IF(Tasks[[#This Row],[Progress]]&gt;=1,Tasks[[#This Row],[Finish]],MAX(Tasks[[#This Row],[_DoneFrom]],Tasks[[#This Row],[Start]]+ROUND((Tasks[[#This Row],[Finish]]-Tasks[[#This Row],[Start]]+1)*Tasks[[#This Row],[Progress]],0)-1)))</f>
        <v>46279</v>
      </c>
      <c r="GW8" s="91" t="n">
        <f aca="false">IF(Tasks[[#This Row],[Task Name]]="",0,IF(OR(NOT(Tasks[[#This Row],[_IsLeaf]]=1),Tasks[[#This Row],[_IsMilestone]],N(Tasks[[#This Row],[Progress]])&gt;=1),0,IF(Tasks[[#This Row],[_DoneTo]]&gt;0,Tasks[[#This Row],[_DoneTo]]+1,Tasks[[#This Row],[Start]])))</f>
        <v>0</v>
      </c>
      <c r="GX8" s="91" t="n">
        <f aca="false">IF(Tasks[[#This Row],[_RemFrom]]=0,0,Tasks[[#This Row],[Finish]])</f>
        <v>0</v>
      </c>
      <c r="GY8" s="90" t="b">
        <f aca="false">IF(Tasks[[#This Row],[Task Name]]="",FALSE(),OR(NOT(BaselineSet),N(Tasks[[#This Row],[Baseline Start]])&gt;0))</f>
        <v>1</v>
      </c>
      <c r="GZ8"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HA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HB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8" s="92" t="n">
        <f aca="false">IF(Tasks[[#This Row],[_IsLeaf]]=1,Tasks[[#This Row],[_Row]],"")</f>
        <v>3</v>
      </c>
      <c r="HD8" s="92" t="str">
        <f aca="false">IFERROR(INDEX(Tasks[UID],SMALL(Tasks[_PickKey],Tasks[[#This Row],[_Row]]))&amp;" "&amp;INDEX(Tasks[Task Name],SMALL(Tasks[_PickKey],Tasks[[#This Row],[_Row]])),"")</f>
        <v>4 Kickoff complete</v>
      </c>
      <c r="HE8" s="43" t="n">
        <f aca="false">IF(Tasks[[#This Row],[Task Name]]="","",IF(Tasks[[#This Row],[_IsSummary]],NETWORKDAYS.INTL(Tasks[[#This Row],[Start]],Tasks[[#This Row],[Finish]],WorkWeek,Holidays),N(Tasks[[#This Row],[_Days]])))</f>
        <v>2</v>
      </c>
      <c r="HF8" s="43" t="n">
        <f aca="false">IF(Tasks[[#This Row],[Expected]]="",0,((Tasks[[#This Row],[Pessimistic]]-Tasks[[#This Row],[Optimistic]])/6)^2)</f>
        <v>0</v>
      </c>
      <c r="HG8" s="43" t="n">
        <f aca="false">IF(Tasks[[#This Row],[Expected]]="",0,Tasks[[#This Row],[Expected]]-N(Tasks[[#This Row],[_Days]]))</f>
        <v>0</v>
      </c>
    </row>
    <row r="9" customFormat="false" ht="15" hidden="false" customHeight="false" outlineLevel="1" collapsed="false">
      <c r="A9" s="21" t="n">
        <f aca="false">IF(Tasks[[#This Row],[Task Name]]="","",COUNTA(Tasks[[#Headers],[Task Name]]:Tasks[[#This Row],[Task Name]])-1)</f>
        <v>4</v>
      </c>
      <c r="B9" s="22" t="n">
        <v>4</v>
      </c>
      <c r="C9" s="22" t="n">
        <v>2</v>
      </c>
      <c r="D9" s="93" t="s">
        <v>646</v>
      </c>
      <c r="E9" s="22" t="n">
        <v>0</v>
      </c>
      <c r="F9" s="23" t="n">
        <v>3</v>
      </c>
      <c r="G9" s="22"/>
      <c r="H9" s="22"/>
      <c r="I9" s="23"/>
      <c r="J9" s="22"/>
      <c r="K9" s="22"/>
      <c r="L9" s="23"/>
      <c r="M9" s="22"/>
      <c r="N9" s="22"/>
      <c r="O9" s="23"/>
      <c r="P9" s="22"/>
      <c r="Q9" s="22"/>
      <c r="R9" s="23"/>
      <c r="S9" s="23"/>
      <c r="T9" s="84"/>
      <c r="U9" s="23"/>
      <c r="V9" s="84"/>
      <c r="W9" s="23"/>
      <c r="X9" s="84"/>
      <c r="Y9" s="23"/>
      <c r="Z9" s="84"/>
      <c r="AA9" s="23"/>
      <c r="AB9" s="23" t="s">
        <v>150</v>
      </c>
      <c r="AC9" s="7" t="n">
        <v>46279</v>
      </c>
      <c r="AD9" s="7" t="n">
        <v>46279</v>
      </c>
      <c r="AE9" s="63" t="n">
        <f aca="false">IF(Tasks[[#This Row],[Task Name]]="","",IF(Tasks[[#This Row],[_IsSummary]],MIN(INDEX(Tasks[_ShownFcstStart],Tasks[[#This Row],[_Row]]+1):INDEX(Tasks[_ShownFcstStart],Tasks[[#This Row],[_Row]]+Tasks[[#This Row],[_Descendants]])),Tasks[[#This Row],[_ShownFcstStart]]))</f>
        <v>46279</v>
      </c>
      <c r="AF9" s="63" t="n">
        <f aca="false">IF(Tasks[[#This Row],[Task Name]]="","",IF(Tasks[[#This Row],[_IsSummary]],MAX(INDEX(Tasks[_ShownFcstFinish],Tasks[[#This Row],[_Row]]+1):INDEX(Tasks[_ShownFcstFinish],Tasks[[#This Row],[_Row]]+Tasks[[#This Row],[_Descendants]])),Tasks[[#This Row],[_ShownFcstFinish]]))</f>
        <v>46279</v>
      </c>
      <c r="AG9" s="21" t="str">
        <f aca="false">""</f>
        <v/>
      </c>
      <c r="AH9" s="23" t="s">
        <v>647</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 s="7"/>
      <c r="AK9" s="22" t="s">
        <v>248</v>
      </c>
      <c r="AL9" s="23"/>
      <c r="AM9" s="7"/>
      <c r="AN9" s="47"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3" t="n">
        <f aca="false">IF(Tasks[[#This Row],[Task Name]]="","",IF(N(Tasks[[#This Row],[Baseline Start]])&gt;0,Tasks[[#This Row],[Baseline Start]],Tasks[[#This Row],[_CalcStart]]))</f>
        <v>46276</v>
      </c>
      <c r="AR9" s="63" t="n">
        <f aca="false">IF(Tasks[[#This Row],[Task Name]]="","",IF(N(Tasks[[#This Row],[Baseline Finish]])&gt;0,Tasks[[#This Row],[Baseline Finish]],Tasks[[#This Row],[_CalcFinish]]))</f>
        <v>46276</v>
      </c>
      <c r="AS9" s="47" t="n">
        <f aca="false">IF(Tasks[[#This Row],[Task Name]]="","",IF(Tasks[[#This Row],[Start]]&gt;=Tasks[[#This Row],[Planned Start]],NETWORKDAYS.INTL(Tasks[[#This Row],[Planned Start]],Tasks[[#This Row],[Start]],WorkWeek,Holidays)-1,1-NETWORKDAYS.INTL(Tasks[[#This Row],[Start]],Tasks[[#This Row],[Planned Start]],WorkWeek,Holidays)))</f>
        <v>1</v>
      </c>
      <c r="AT9" s="63" t="n">
        <f aca="false">IF(Tasks[[#This Row],[Task Name]]="","",IF(Tasks[[#This Row],[_IsSummary]],MIN(INDEX(Tasks[_LeafLateStart],Tasks[[#This Row],[_Row]]+1):INDEX(Tasks[_LeafLateStart],Tasks[[#This Row],[_Row]]+Tasks[[#This Row],[_Descendants]])),Tasks[[#This Row],[_LeafLateStart]]))</f>
        <v>46282</v>
      </c>
      <c r="AU9" s="63" t="n">
        <f aca="false">IF(Tasks[[#This Row],[Task Name]]="","",IF(Tasks[[#This Row],[_IsSummary]],MAX(INDEX(Tasks[_LeafLateFinish],Tasks[[#This Row],[_Row]]+1):INDEX(Tasks[_LeafLateFinish],Tasks[[#This Row],[_Row]]+Tasks[[#This Row],[_Descendants]])),Tasks[[#This Row],[_LeafLateFinish]]))</f>
        <v>46282</v>
      </c>
      <c r="AV9" s="47"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5"/>
      <c r="BA9"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6"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7"/>
      <c r="BJ9" s="22"/>
      <c r="BK9" s="47" t="n">
        <f aca="false">IF(OR(Tasks[[#This Row],[Task Name]]="",Tasks[[#This Row],[Baseline Duration]]=""),"",Tasks[[#This Row],[_SpanDays]]-N(Tasks[[#This Row],[Baseline Duration]]))</f>
        <v>0</v>
      </c>
      <c r="BL9" s="86" t="n">
        <f aca="false">IF(OR(Tasks[[#This Row],[Task Name]]="",Tasks[[#This Row],[Baseline Work]]=""),"",Tasks[[#This Row],[Work]]-N(Tasks[[#This Row],[Baseline Work]]))</f>
        <v>0</v>
      </c>
      <c r="BM9" s="63" t="n">
        <f aca="false">IF(Tasks[[#This Row],[Task Name]]="","",IF(OR(TakeBaseline="Yes",N(Tasks[[#This Row],[Baseline Start]])=0),Tasks[[#This Row],[Start]],Tasks[[#This Row],[Baseline Start]]))</f>
        <v>46276</v>
      </c>
      <c r="BN9" s="63" t="n">
        <f aca="false">IF(Tasks[[#This Row],[Task Name]]="","",IF(OR(TakeBaseline="Yes",N(Tasks[[#This Row],[Baseline Finish]])=0),Tasks[[#This Row],[Finish]],Tasks[[#This Row],[Baseline Finish]]))</f>
        <v>46276</v>
      </c>
      <c r="BO9" s="21" t="n">
        <f aca="false">IF(Tasks[[#This Row],[Task Name]]="","",IF(OR(TakeBaseline="Yes",N(Tasks[[#This Row],[Baseline Duration]])=0),Tasks[[#This Row],[_SpanDays]],Tasks[[#This Row],[Baseline Duration]]))</f>
        <v>0</v>
      </c>
      <c r="BP9" s="86" t="n">
        <f aca="false">IF(Tasks[[#This Row],[Task Name]]="","",IF(OR(TakeBaseline="Yes",N(Tasks[[#This Row],[Baseline Work]])=0),Tasks[[#This Row],[Work]],Tasks[[#This Row],[Baseline Work]]))</f>
        <v>0</v>
      </c>
      <c r="BQ9" s="7" t="n">
        <v>46276</v>
      </c>
      <c r="BR9" s="7" t="n">
        <v>46276</v>
      </c>
      <c r="BS9" s="22" t="n">
        <v>0</v>
      </c>
      <c r="BT9" s="88" t="n">
        <v>0</v>
      </c>
      <c r="BU9" s="23"/>
      <c r="BV9" s="23"/>
      <c r="BW9" s="23"/>
      <c r="BX9" s="89" t="str">
        <f aca="false">IF(AND(Tasks[[#This Row],[_IsLeaf]]=1,ISNUMBER(Tasks[[#This Row],[Optimistic]]),ISNUMBER(Tasks[[#This Row],[Pessimistic]])),ROUND((Tasks[[#This Row],[Optimistic]]+4*N(Tasks[[#This Row],[_Days]])+Tasks[[#This Row],[Pessimistic]])/6,1),"")</f>
        <v/>
      </c>
      <c r="BY9" s="87"/>
      <c r="BZ9" s="87"/>
      <c r="CA9" s="22"/>
      <c r="CB9" s="43" t="n">
        <f aca="false">IF(Tasks[[#This Row],[Task Name]]="","",MAX(1,N(Tasks[[#This Row],[Level]])))</f>
        <v>2</v>
      </c>
      <c r="CC9" s="43" t="n">
        <f aca="false">ROW()-ROW(Tasks[[#Headers],[ID]])</f>
        <v>4</v>
      </c>
      <c r="CD9" s="43" t="n">
        <f aca="false">IF(OR(Tasks[[#This Row],[Task Name]]="",Tasks[[#This Row],[_Level]]&lt;=1),0,IFERROR(LOOKUP(2,1/(Tasks[[#Headers],[_Level]]:Tasks[[#This Row],[_Level]]=Tasks[[#This Row],[_Level]]-1),ROW(Tasks[[#Headers],[_Level]]:Tasks[[#This Row],[_Level]])),0))</f>
        <v>6</v>
      </c>
      <c r="CE9" s="43" t="n">
        <f aca="false">IFERROR(N(INDEX(Tasks[_Level],Tasks[[#This Row],[_Row]]+1)),0)</f>
        <v>1</v>
      </c>
      <c r="CF9" s="90" t="b">
        <f aca="false">AND(Tasks[[#This Row],[Task Name]]&lt;&gt;"",Tasks[[#This Row],[_NextLevel]]&gt;Tasks[[#This Row],[_Level]])</f>
        <v>0</v>
      </c>
      <c r="CG9" s="43" t="n">
        <f aca="false">IF(Tasks[[#This Row],[_IsSummary]],COUNTIF(Tasks[WBS],Tasks[[#This Row],[WBS]]&amp;".*"),0)</f>
        <v>0</v>
      </c>
      <c r="CH9" s="43" t="n">
        <f aca="false">IF(AND(Tasks[[#This Row],[Task Name]]&lt;&gt;"",NOT(Tasks[[#This Row],[_IsSummary]])),1,0)</f>
        <v>1</v>
      </c>
      <c r="CI9" s="43" t="n">
        <f aca="false">IF(N(Tasks[[#This Row],[_Pred1UID]])=0,0,IFERROR(MATCH(Tasks[[#This Row],[_Pred1UID]],Tasks[UID],0),-1))</f>
        <v>3</v>
      </c>
      <c r="CJ9" s="43" t="n">
        <f aca="false">IF(N(Tasks[[#This Row],[_Pred2UID]])=0,0,IFERROR(MATCH(Tasks[[#This Row],[_Pred2UID]],Tasks[UID],0),-1))</f>
        <v>0</v>
      </c>
      <c r="CK9" s="43" t="n">
        <f aca="false">IF(N(Tasks[[#This Row],[_Pred3UID]])=0,0,IFERROR(MATCH(Tasks[[#This Row],[_Pred3UID]],Tasks[UID],0),-1))</f>
        <v>0</v>
      </c>
      <c r="CL9" s="43" t="n">
        <f aca="false">IF(N(Tasks[[#This Row],[_Pred4UID]])=0,0,IFERROR(MATCH(Tasks[[#This Row],[_Pred4UID]],Tasks[UID],0),-1))</f>
        <v>0</v>
      </c>
      <c r="CM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 s="91" t="n">
        <f aca="false">IF(OR(Tasks[[#This Row],[_ConstraintCode]]=2,Tasks[[#This Row],[_ConstraintCode]]=3,Tasks[[#This Row],[_ConstraintCode]]=4,Tasks[[#This Row],[_ConstraintCode]]=6),Tasks[[#This Row],[_ConstraintStart]],0)</f>
        <v>0</v>
      </c>
      <c r="CP9" s="91" t="n">
        <f aca="false">IF(OR(Tasks[[#This Row],[_ConstraintCode]]=2,Tasks[[#This Row],[_ConstraintCode]]=3,Tasks[[#This Row],[_ConstraintCode]]=5,Tasks[[#This Row],[_ConstraintCode]]=7),Tasks[[#This Row],[_ConstraintStart]],2958465)</f>
        <v>2958465</v>
      </c>
      <c r="CQ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R9" s="91" t="n">
        <f aca="false">IF(NOT(Tasks[[#This Row],[_IsLeaf]]=1),"",IF(N(Tasks[[#This Row],[_Days]])&lt;=0,Tasks[[#This Row],[_LeafCalcStart]],WORKDAY.INTL(Tasks[[#This Row],[_LeafCalcStart]],Tasks[[#This Row],[_Days]]-1,WorkWeek,Holidays)))</f>
        <v>46276</v>
      </c>
      <c r="CS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T9"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9" s="43" t="str">
        <f aca="false">IF(Tasks[[#This Row],[_Predecessors]]="","",TRIM(MID(SUBSTITUTE(SUBSTITUTE(SUBSTITUTE(UPPER(Tasks[[#This Row],[_Predecessors]]),";",",")," ",""),",",REPT(" ",99)),1,99)))</f>
        <v>3</v>
      </c>
      <c r="CV9" s="43" t="n">
        <f aca="false">IF(Tasks[[#This Row],[_Pred1Text]]="","",IFERROR(VALUE(LEFT(Tasks[[#This Row],[_Pred1Text]],MIN(FIND("F",Tasks[[#This Row],[_Pred1Text]]&amp;"F"),FIND("S",Tasks[[#This Row],[_Pred1Text]]&amp;"S"),FIND("+",Tasks[[#This Row],[_Pred1Text]]&amp;"+"),FIND("-",Tasks[[#This Row],[_Pred1Text]]&amp;"-"))-1)),""))</f>
        <v>3</v>
      </c>
      <c r="CW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9" s="43" t="str">
        <f aca="false">IF(Tasks[[#This Row],[_Pred1Text]]="","",TRIM(MID(SUBSTITUTE(SUBSTITUTE(SUBSTITUTE(UPPER(Tasks[[#This Row],[_Predecessors]]),";",",")," ",""),",",REPT(" ",99)),100,99)))</f>
        <v/>
      </c>
      <c r="CZ9" s="43" t="str">
        <f aca="false">IF(Tasks[[#This Row],[_Pred2Text]]="","",IFERROR(VALUE(LEFT(Tasks[[#This Row],[_Pred2Text]],MIN(FIND("F",Tasks[[#This Row],[_Pred2Text]]&amp;"F"),FIND("S",Tasks[[#This Row],[_Pred2Text]]&amp;"S"),FIND("+",Tasks[[#This Row],[_Pred2Text]]&amp;"+"),FIND("-",Tasks[[#This Row],[_Pred2Text]]&amp;"-"))-1)),""))</f>
        <v/>
      </c>
      <c r="DA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3" t="str">
        <f aca="false">IF(Tasks[[#This Row],[_Pred2Text]]="","",TRIM(MID(SUBSTITUTE(SUBSTITUTE(SUBSTITUTE(UPPER(Tasks[[#This Row],[_Predecessors]]),";",",")," ",""),",",REPT(" ",99)),199,99)))</f>
        <v/>
      </c>
      <c r="DD9" s="43" t="str">
        <f aca="false">IF(Tasks[[#This Row],[_Pred3Text]]="","",IFERROR(VALUE(LEFT(Tasks[[#This Row],[_Pred3Text]],MIN(FIND("F",Tasks[[#This Row],[_Pred3Text]]&amp;"F"),FIND("S",Tasks[[#This Row],[_Pred3Text]]&amp;"S"),FIND("+",Tasks[[#This Row],[_Pred3Text]]&amp;"+"),FIND("-",Tasks[[#This Row],[_Pred3Text]]&amp;"-"))-1)),""))</f>
        <v/>
      </c>
      <c r="DE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3" t="str">
        <f aca="false">IF(Tasks[[#This Row],[_Pred3Text]]="","",TRIM(MID(SUBSTITUTE(SUBSTITUTE(SUBSTITUTE(UPPER(Tasks[[#This Row],[_Predecessors]]),";",",")," ",""),",",REPT(" ",99)),298,99)))</f>
        <v/>
      </c>
      <c r="DH9" s="43" t="str">
        <f aca="false">IF(Tasks[[#This Row],[_Pred4Text]]="","",IFERROR(VALUE(LEFT(Tasks[[#This Row],[_Pred4Text]],MIN(FIND("F",Tasks[[#This Row],[_Pred4Text]]&amp;"F"),FIND("S",Tasks[[#This Row],[_Pred4Text]]&amp;"S"),FIND("+",Tasks[[#This Row],[_Pred4Text]]&amp;"+"),FIND("-",Tasks[[#This Row],[_Pred4Text]]&amp;"-"))-1)),""))</f>
        <v/>
      </c>
      <c r="DI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3" t="str">
        <f aca="false">IF(OR(Tasks[[#This Row],[Task Name]]="",Tasks[[#This Row],[_Resources]]=""),"",TRIM(MID(SUBSTITUTE(Tasks[[#This Row],[_Resources]],",",REPT(" ",99)),1,99)))</f>
        <v/>
      </c>
      <c r="DL9" s="43" t="str">
        <f aca="false">IF(Tasks[[#This Row],[_Res1Text]]="","",TRIM(MID(SUBSTITUTE(Tasks[[#This Row],[_Resources]],",",REPT(" ",99)),100,99)))</f>
        <v/>
      </c>
      <c r="DM9" s="43" t="str">
        <f aca="false">IF(Tasks[[#This Row],[_Res2Text]]="","",TRIM(MID(SUBSTITUTE(Tasks[[#This Row],[_Resources]],",",REPT(" ",99)),199,99)))</f>
        <v/>
      </c>
      <c r="DN9" s="43" t="str">
        <f aca="false">IF(Tasks[[#This Row],[_Res3Text]]="","",TRIM(MID(SUBSTITUTE(Tasks[[#This Row],[_Resources]],",",REPT(" ",99)),298,99)))</f>
        <v/>
      </c>
      <c r="DO9" s="43" t="n">
        <f aca="false">IF(Tasks[[#This Row],[_Res1Text]]="",0,IFERROR(MATCH(TRIM(LEFT(Tasks[[#This Row],[_Res1Text]],FIND("[",Tasks[[#This Row],[_Res1Text]]&amp;"[")-1)),res_Name,0),IFERROR(MATCH(TRIM(LEFT(Tasks[[#This Row],[_Res1Text]],FIND("[",Tasks[[#This Row],[_Res1Text]]&amp;"[")-1)),res_Initials,0),0)))</f>
        <v>0</v>
      </c>
      <c r="DP9" s="43" t="n">
        <f aca="false">IF(Tasks[[#This Row],[_Res2Text]]="",0,IFERROR(MATCH(TRIM(LEFT(Tasks[[#This Row],[_Res2Text]],FIND("[",Tasks[[#This Row],[_Res2Text]]&amp;"[")-1)),res_Name,0),IFERROR(MATCH(TRIM(LEFT(Tasks[[#This Row],[_Res2Text]],FIND("[",Tasks[[#This Row],[_Res2Text]]&amp;"[")-1)),res_Initials,0),0)))</f>
        <v>0</v>
      </c>
      <c r="DQ9" s="43" t="n">
        <f aca="false">IF(Tasks[[#This Row],[_Res3Text]]="",0,IFERROR(MATCH(TRIM(LEFT(Tasks[[#This Row],[_Res3Text]],FIND("[",Tasks[[#This Row],[_Res3Text]]&amp;"[")-1)),res_Name,0),IFERROR(MATCH(TRIM(LEFT(Tasks[[#This Row],[_Res3Text]],FIND("[",Tasks[[#This Row],[_Res3Text]]&amp;"[")-1)),res_Initials,0),0)))</f>
        <v>0</v>
      </c>
      <c r="DR9" s="43" t="n">
        <f aca="false">IF(Tasks[[#This Row],[_Res4Text]]="",0,IFERROR(MATCH(TRIM(LEFT(Tasks[[#This Row],[_Res4Text]],FIND("[",Tasks[[#This Row],[_Res4Text]]&amp;"[")-1)),res_Name,0),IFERROR(MATCH(TRIM(LEFT(Tasks[[#This Row],[_Res4Text]],FIND("[",Tasks[[#This Row],[_Res4Text]]&amp;"[")-1)),res_Initials,0),0)))</f>
        <v>0</v>
      </c>
      <c r="DS9" s="43" t="str">
        <f aca="false">IF(Tasks[[#This Row],[_Res1Text]]="","",IF(Tasks[[#This Row],[_Res1Row]]&gt;0,INDEX(res_Name,Tasks[[#This Row],[_Res1Row]]),TRIM(LEFT(Tasks[[#This Row],[_Res1Text]],FIND("[",Tasks[[#This Row],[_Res1Text]]&amp;"[")-1))))</f>
        <v/>
      </c>
      <c r="DT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3" t="n">
        <f aca="false">IF(NOT(Tasks[[#This Row],[_IsLeaf]]=1),0,(Tasks[[#This Row],[_Resource1]]&lt;&gt;"")+(Tasks[[#This Row],[_Res2]]&lt;&gt;"")+(Tasks[[#This Row],[_Res3]]&lt;&gt;"")+(Tasks[[#This Row],[_Res4]]&lt;&gt;""))</f>
        <v>0</v>
      </c>
      <c r="DV9" s="43" t="str">
        <f aca="false">IF(Tasks[[#This Row],[_Res2Text]]="","",IF(Tasks[[#This Row],[_Res2Row]]&gt;0,INDEX(res_Name,Tasks[[#This Row],[_Res2Row]]),TRIM(LEFT(Tasks[[#This Row],[_Res2Text]],FIND("[",Tasks[[#This Row],[_Res2Text]]&amp;"[")-1))))</f>
        <v/>
      </c>
      <c r="DW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3" t="n">
        <f aca="false">IF(OR(NOT(Tasks[[#This Row],[_IsLeaf]]=1),Tasks[[#This Row],[_Res2Row]]=0),0,N(Tasks[[#This Row],[_Days]])*HoursPerDay*IF(Tasks[[#This Row],[_Res2Units]]="",DefaultUnits,Tasks[[#This Row],[_Res2Units]]))</f>
        <v>0</v>
      </c>
      <c r="DY9" s="43" t="n">
        <f aca="false">IF(AND(AND(Tasks[[#This Row],[_IsLeaf]]=1,Tasks[[#This Row],[_LeafTotalWork]]&gt;0),Tasks[[#This Row],[_Res2Work]]&gt;0),Tasks[[#This Row],[_Res2Work]]/(Tasks[[#This Row],[_FinishWorkday]]-Tasks[[#This Row],[_StartWorkday]]+1),0)</f>
        <v>0</v>
      </c>
      <c r="DZ9" s="43" t="n">
        <f aca="false">Tasks[[#This Row],[_Res2WorkPerWD]]*MAX(0,Tasks[[#This Row],[_StartWorkday]]-1)</f>
        <v>0</v>
      </c>
      <c r="EA9" s="43" t="n">
        <f aca="false">Tasks[[#This Row],[_Res2Work]]*Tasks[[#This Row],[_LeafProgress]]</f>
        <v>0</v>
      </c>
      <c r="EB9" s="43" t="str">
        <f aca="false">IF(Tasks[[#This Row],[_Res3Text]]="","",IF(Tasks[[#This Row],[_Res3Row]]&gt;0,INDEX(res_Name,Tasks[[#This Row],[_Res3Row]]),TRIM(LEFT(Tasks[[#This Row],[_Res3Text]],FIND("[",Tasks[[#This Row],[_Res3Text]]&amp;"[")-1))))</f>
        <v/>
      </c>
      <c r="EC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3" t="n">
        <f aca="false">IF(OR(NOT(Tasks[[#This Row],[_IsLeaf]]=1),Tasks[[#This Row],[_Res3Row]]=0),0,N(Tasks[[#This Row],[_Days]])*HoursPerDay*IF(Tasks[[#This Row],[_Res3Units]]="",DefaultUnits,Tasks[[#This Row],[_Res3Units]]))</f>
        <v>0</v>
      </c>
      <c r="EE9" s="43" t="n">
        <f aca="false">IF(AND(AND(Tasks[[#This Row],[_IsLeaf]]=1,Tasks[[#This Row],[_LeafTotalWork]]&gt;0),Tasks[[#This Row],[_Res3Work]]&gt;0),Tasks[[#This Row],[_Res3Work]]/(Tasks[[#This Row],[_FinishWorkday]]-Tasks[[#This Row],[_StartWorkday]]+1),0)</f>
        <v>0</v>
      </c>
      <c r="EF9" s="43" t="n">
        <f aca="false">Tasks[[#This Row],[_Res3WorkPerWD]]*MAX(0,Tasks[[#This Row],[_StartWorkday]]-1)</f>
        <v>0</v>
      </c>
      <c r="EG9" s="43" t="n">
        <f aca="false">Tasks[[#This Row],[_Res3Work]]*Tasks[[#This Row],[_LeafProgress]]</f>
        <v>0</v>
      </c>
      <c r="EH9" s="43" t="str">
        <f aca="false">IF(Tasks[[#This Row],[_Res4Text]]="","",IF(Tasks[[#This Row],[_Res4Row]]&gt;0,INDEX(res_Name,Tasks[[#This Row],[_Res4Row]]),TRIM(LEFT(Tasks[[#This Row],[_Res4Text]],FIND("[",Tasks[[#This Row],[_Res4Text]]&amp;"[")-1))))</f>
        <v/>
      </c>
      <c r="EI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3" t="n">
        <f aca="false">IF(OR(NOT(Tasks[[#This Row],[_IsLeaf]]=1),Tasks[[#This Row],[_Res4Row]]=0),0,N(Tasks[[#This Row],[_Days]])*HoursPerDay*IF(Tasks[[#This Row],[_Res4Units]]="",DefaultUnits,Tasks[[#This Row],[_Res4Units]]))</f>
        <v>0</v>
      </c>
      <c r="EK9" s="43" t="n">
        <f aca="false">IF(AND(AND(Tasks[[#This Row],[_IsLeaf]]=1,Tasks[[#This Row],[_LeafTotalWork]]&gt;0),Tasks[[#This Row],[_Res4Work]]&gt;0),Tasks[[#This Row],[_Res4Work]]/(Tasks[[#This Row],[_FinishWorkday]]-Tasks[[#This Row],[_StartWorkday]]+1),0)</f>
        <v>0</v>
      </c>
      <c r="EL9" s="43" t="n">
        <f aca="false">Tasks[[#This Row],[_Res4WorkPerWD]]*MAX(0,Tasks[[#This Row],[_StartWorkday]]-1)</f>
        <v>0</v>
      </c>
      <c r="EM9" s="43" t="n">
        <f aca="false">Tasks[[#This Row],[_Res4Work]]*Tasks[[#This Row],[_LeafProgress]]</f>
        <v>0</v>
      </c>
      <c r="EN9" s="94" t="n">
        <f aca="false">IF(ISNUMBER(Tasks[[#This Row],[% Complete]]),Tasks[[#This Row],[% Complete]],IF(Tasks[[#This Row],[Stage]]="",0,IFERROR(INDEX(stg_Pct,MATCH(Tasks[[#This Row],[Stage]],stg_Name,0)),0)))</f>
        <v>1</v>
      </c>
      <c r="EO9" s="43" t="n">
        <f aca="false">IF(NOT(Tasks[[#This Row],[_IsLeaf]]=1),0,IF(N(Tasks[[#This Row],[Actual Finish]])&gt;0,1,MIN(1,Tasks[[#This Row],[_Pct]])))</f>
        <v>1</v>
      </c>
      <c r="EP9" s="43" t="n">
        <f aca="false">IF(OR(NOT(Tasks[[#This Row],[_IsLeaf]]=1),Tasks[[#This Row],[_Res1Row]]=0),0,N(Tasks[[#This Row],[_Days]])*HoursPerDay*IF(Tasks[[#This Row],[_Units1]]="",DefaultUnits,Tasks[[#This Row],[_Units1]]))</f>
        <v>0</v>
      </c>
      <c r="EQ9" s="43" t="n">
        <f aca="false">Tasks[[#This Row],[_LeafWork]]+Tasks[[#This Row],[_Res2Work]]+Tasks[[#This Row],[_Res3Work]]+Tasks[[#This Row],[_Res4Work]]</f>
        <v>0</v>
      </c>
      <c r="ER9"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3" t="n">
        <f aca="false">IF(NOT(Tasks[[#This Row],[_IsLeaf]]=1),0,MAX(_xlfn.MAXIFS(Tasks[_Row],Tasks[_Pred1UID],Tasks[[#This Row],[UID]]),_xlfn.MAXIFS(Tasks[_Row],Tasks[_Pred2UID],Tasks[[#This Row],[UID]]),_xlfn.MAXIFS(Tasks[_Row],Tasks[_Pred3UID],Tasks[[#This Row],[UID]]),_xlfn.MAXIFS(Tasks[_Row],Tasks[_Pred4UID],Tasks[[#This Row],[UID]])))</f>
        <v>6</v>
      </c>
      <c r="FA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9"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9" s="91" t="n">
        <f aca="false">IF(NOT(Tasks[[#This Row],[_IsLeaf]]=1),"",IF(N(Tasks[[#This Row],[_Days]])&lt;=0,Tasks[[#This Row],[_LeafLateFinish]],WORKDAY.INTL(Tasks[[#This Row],[_LeafLateFinish]],-(Tasks[[#This Row],[_Days]]-1),WorkWeek,Holidays)))</f>
        <v>46282</v>
      </c>
      <c r="FD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9" s="90" t="b">
        <f aca="false">AND(Tasks[[#This Row],[_IsLeaf]]=1,Tasks[[#This Row],[_LeafProgress]]&lt;1,N(Tasks[[#This Row],[_LeafTotalSlack]])&lt;=CriticalSlackDays)</f>
        <v>0</v>
      </c>
      <c r="FF9" s="43" t="n">
        <f aca="false">IF(AND(Tasks[[#This Row],[_IsLeaf]]=1,Tasks[[#This Row],[_ConstraintCode]]=1,Tasks[[#This Row],[Mode]]&lt;&gt;"Manual",N(Tasks[[#This Row],[Actual Start]])=0),MAX(0,N(Tasks[[#This Row],[Free Slack]])),0)</f>
        <v>0</v>
      </c>
      <c r="FG9" s="91" t="n">
        <f aca="false">IF(NOT(Tasks[[#This Row],[_IsLeaf]]=1),"",IF(Tasks[[#This Row],[_AlapShift]]=0,Tasks[[#This Row],[_LeafCalcStart]],WORKDAY.INTL(Tasks[[#This Row],[_LeafCalcStart]],Tasks[[#This Row],[_AlapShift]],WorkWeek,Holidays)))</f>
        <v>46276</v>
      </c>
      <c r="FH9" s="91" t="n">
        <f aca="false">IF(NOT(Tasks[[#This Row],[_IsLeaf]]=1),"",IF(Tasks[[#This Row],[_AlapShift]]=0,Tasks[[#This Row],[_LeafCalcFinish]],WORKDAY.INTL(Tasks[[#This Row],[_LeafCalcFinish]],Tasks[[#This Row],[_AlapShift]],WorkWeek,Holidays)))</f>
        <v>46276</v>
      </c>
      <c r="FI9" s="91" t="n">
        <f aca="false">IF(NOT(Tasks[[#This Row],[_IsLeaf]]=1),"",IF(Tasks[[#This Row],[_AlapShift]]=0,Tasks[[#This Row],[_LeafFcstStart]],WORKDAY.INTL(Tasks[[#This Row],[_LeafFcstStart]],Tasks[[#This Row],[_AlapShift]],WorkWeek,Holidays)))</f>
        <v>46279</v>
      </c>
      <c r="FJ9" s="91" t="n">
        <f aca="false">IF(NOT(Tasks[[#This Row],[_IsLeaf]]=1),"",IF(Tasks[[#This Row],[_AlapShift]]=0,Tasks[[#This Row],[_LeafFcstFinish]],WORKDAY.INTL(Tasks[[#This Row],[_LeafFcstFinish]],Tasks[[#This Row],[_AlapShift]],WorkWeek,Holidays)))</f>
        <v>46279</v>
      </c>
      <c r="FK9" s="91" t="n">
        <f aca="false">IF(Tasks[[#This Row],[Task Name]]="","",IF(Tasks[[#This Row],[_IsSummary]],MIN(INDEX(Tasks[_ShownCalcStart],Tasks[[#This Row],[_Row]]+1):INDEX(Tasks[_ShownCalcStart],Tasks[[#This Row],[_Row]]+Tasks[[#This Row],[_Descendants]])),Tasks[[#This Row],[_ShownCalcStart]]))</f>
        <v>46276</v>
      </c>
      <c r="FL9" s="91" t="n">
        <f aca="false">IF(Tasks[[#This Row],[Task Name]]="","",IF(Tasks[[#This Row],[_IsSummary]],MAX(INDEX(Tasks[_ShownCalcFinish],Tasks[[#This Row],[_Row]]+1):INDEX(Tasks[_ShownCalcFinish],Tasks[[#This Row],[_Row]]+Tasks[[#This Row],[_Descendants]])),Tasks[[#This Row],[_ShownCalcFinish]]))</f>
        <v>46276</v>
      </c>
      <c r="FM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R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V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 s="43" t="n">
        <f aca="false">IF(AND(Tasks[[#This Row],[_IsLeaf]]=1,Tasks[[#This Row],[_LeafTotalWork]]&gt;0),NETWORKDAYS.INTL(ProjectStart,Tasks[[#This Row],[_ShownFcstStart]],WorkWeek,Holidays),0)</f>
        <v>0</v>
      </c>
      <c r="FZ9" s="43" t="n">
        <f aca="false">IF(AND(Tasks[[#This Row],[_IsLeaf]]=1,Tasks[[#This Row],[_LeafTotalWork]]&gt;0),MAX(Tasks[[#This Row],[_StartWorkday]],NETWORKDAYS.INTL(ProjectStart,Tasks[[#This Row],[_ShownFcstFinish]],WorkWeek,Holidays)),0)</f>
        <v>0</v>
      </c>
      <c r="GA9" s="43" t="n">
        <f aca="false">IF(AND(Tasks[[#This Row],[_IsLeaf]]=1,Tasks[[#This Row],[_LeafTotalWork]]&gt;0),Tasks[[#This Row],[_LeafWork]]/(Tasks[[#This Row],[_FinishWorkday]]-Tasks[[#This Row],[_StartWorkday]]+1),0)</f>
        <v>0</v>
      </c>
      <c r="GB9" s="43" t="n">
        <f aca="false">Tasks[[#This Row],[_WorkPerWorkday]]*(Tasks[[#This Row],[_StartWorkday]]-1)</f>
        <v>-0</v>
      </c>
      <c r="GC9" s="43" t="n">
        <f aca="false">IF(Tasks[[#This Row],[_IsLeaf]]=1,MAX(N(Tasks[[#This Row],[_Days]]),0.1),0)</f>
        <v>0.1</v>
      </c>
      <c r="GD9" s="43" t="n">
        <f aca="false">Tasks[[#This Row],[_WeightDur]]*Tasks[[#This Row],[_LeafProgress]]</f>
        <v>0.1</v>
      </c>
      <c r="GE9" s="43" t="n">
        <f aca="false">Tasks[[#This Row],[_WeightDur]]*Tasks[[#This Row],[_PlannedPct]]</f>
        <v>0.1</v>
      </c>
      <c r="GF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GG9" s="43" t="str">
        <f aca="false">IF(AND(Tasks[[#This Row],[_IsLeaf]]=1,N(Tasks[[#This Row],[_Days]])=0,Tasks[[#This Row],[_LeafProgress]]&lt;1),Tasks[[#This Row],[_ShownFcstFinish]]+Tasks[[#This Row],[_Row]]/100000,"")</f>
        <v/>
      </c>
      <c r="GH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9" s="43" t="str">
        <f aca="false">IF(Tasks[[#This Row],[Task Name]]="","",LEFT(Tasks[[#This Row],[WBS]],FIND(".",Tasks[[#This Row],[WBS]]&amp;".")-1))</f>
        <v>1</v>
      </c>
      <c r="GJ9" s="43" t="str">
        <f aca="false">IF(AND(Tasks[[#This Row],[Task Name]]&lt;&gt;"",Tasks[[#This Row],[_Level]]=1),Tasks[[#This Row],[_Row]],"")</f>
        <v/>
      </c>
      <c r="GK9" s="95" t="n">
        <f aca="false">IF(AND(Tasks[[#This Row],[_IsLeaf]]=1,N(Tasks[[#This Row],[_Days]])=0),Tasks[[#This Row],[Planned Finish]]+Tasks[[#This Row],[_Row]]/100000,"")</f>
        <v>46276.00004</v>
      </c>
      <c r="GL9" s="43" t="str">
        <f aca="false">IF(AND(Tasks[[#This Row],[_IsLeaf]]=1,Tasks[[#This Row],[_LeafProgress]]&lt;1,OR(N(Tasks[[#This Row],[Finish Var]])&gt;0,Tasks[[#This Row],[Status]]="Late Start")),MAX(0,Tasks[[#This Row],[Finish Var]])+1-Tasks[[#This Row],[_Row]]/1000000,"")</f>
        <v/>
      </c>
      <c r="GM9" s="43" t="str">
        <f aca="false">IF(AND(Tasks[[#This Row],[_IsLeaf]]=1,N(Tasks[[#This Row],[Actual Start]])=0,Tasks[[#This Row],[_ShownFcstStart]]&gt;=StatusDate,Tasks[[#This Row],[_ShownFcstStart]]&lt;=LookaheadEnd),Tasks[[#This Row],[_ShownFcstStart]]+Tasks[[#This Row],[_Row]]/100000,"")</f>
        <v/>
      </c>
      <c r="GN9" s="43" t="str">
        <f aca="false">IF(AND(Tasks[[#This Row],[_IsLeaf]]=1,Tasks[[#This Row],[_LeafProgress]]&lt;1,Tasks[[#This Row],[_ShownFcstFinish]]&gt;=StatusDate,Tasks[[#This Row],[_ShownFcstFinish]]&lt;=LookaheadEnd),Tasks[[#This Row],[_ShownFcstFinish]]+Tasks[[#This Row],[_Row]]/100000,"")</f>
        <v/>
      </c>
      <c r="GO9" s="43" t="str">
        <f aca="false">IF(Tasks[[#This Row],[_LeafCritical]],Tasks[[#This Row],[_ShownFcstStart]]+Tasks[[#This Row],[_Row]]/100000,"")</f>
        <v/>
      </c>
      <c r="GP9" s="43" t="n">
        <f aca="false">Tasks[[#This Row],[_LeafWork]]*Tasks[[#This Row],[_LeafProgress]]</f>
        <v>0</v>
      </c>
      <c r="GQ9" s="91" t="n">
        <f aca="false">IF(AND(Tasks[[#This Row],[_IsLeaf]]=1,Tasks[[#This Row],[_LeafProgress]]&gt;=1),IF(N(Tasks[[#This Row],[Actual Finish]])&gt;0,Tasks[[#This Row],[Actual Finish]],Tasks[[#This Row],[_ShownFcstFinish]]),"")</f>
        <v>46279</v>
      </c>
      <c r="GR9" s="43" t="n">
        <f aca="false">IF(Tasks[[#This Row],[_IsLeaf]]=1,N(Tasks[[#This Row],[Story Points]]),0)</f>
        <v>0</v>
      </c>
      <c r="GS9" s="43" t="str">
        <f aca="false">""</f>
        <v/>
      </c>
      <c r="GT9" s="90" t="b">
        <f aca="false">IF(Tasks[[#This Row],[Task Name]]="",FALSE(),AND(Tasks[[#This Row],[_IsLeaf]]=1,N(Tasks[[#This Row],[_Days]])=0))</f>
        <v>1</v>
      </c>
      <c r="GU9" s="91" t="n">
        <f aca="false">IF(Tasks[[#This Row],[Task Name]]="",0,IF(AND(Tasks[[#This Row],[_IsLeaf]]=1,NOT(Tasks[[#This Row],[_IsMilestone]]),N(Tasks[[#This Row],[Progress]])&gt;0),Tasks[[#This Row],[Start]],0))</f>
        <v>0</v>
      </c>
      <c r="GV9" s="91" t="n">
        <f aca="false">IF(Tasks[[#This Row],[_DoneFrom]]=0,0,IF(Tasks[[#This Row],[Progress]]&gt;=1,Tasks[[#This Row],[Finish]],MAX(Tasks[[#This Row],[_DoneFrom]],Tasks[[#This Row],[Start]]+ROUND((Tasks[[#This Row],[Finish]]-Tasks[[#This Row],[Start]]+1)*Tasks[[#This Row],[Progress]],0)-1)))</f>
        <v>0</v>
      </c>
      <c r="GW9" s="91" t="n">
        <f aca="false">IF(Tasks[[#This Row],[Task Name]]="",0,IF(OR(NOT(Tasks[[#This Row],[_IsLeaf]]=1),Tasks[[#This Row],[_IsMilestone]],N(Tasks[[#This Row],[Progress]])&gt;=1),0,IF(Tasks[[#This Row],[_DoneTo]]&gt;0,Tasks[[#This Row],[_DoneTo]]+1,Tasks[[#This Row],[Start]])))</f>
        <v>0</v>
      </c>
      <c r="GX9" s="91" t="n">
        <f aca="false">IF(Tasks[[#This Row],[_RemFrom]]=0,0,Tasks[[#This Row],[Finish]])</f>
        <v>0</v>
      </c>
      <c r="GY9" s="90" t="b">
        <f aca="false">IF(Tasks[[#This Row],[Task Name]]="",FALSE(),OR(NOT(BaselineSet),N(Tasks[[#This Row],[Baseline Start]])&gt;0))</f>
        <v>1</v>
      </c>
      <c r="GZ9"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HB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92" t="n">
        <f aca="false">IF(Tasks[[#This Row],[_IsLeaf]]=1,Tasks[[#This Row],[_Row]],"")</f>
        <v>4</v>
      </c>
      <c r="HD9" s="92" t="str">
        <f aca="false">IFERROR(INDEX(Tasks[UID],SMALL(Tasks[_PickKey],Tasks[[#This Row],[_Row]]))&amp;" "&amp;INDEX(Tasks[Task Name],SMALL(Tasks[_PickKey],Tasks[[#This Row],[_Row]])),"")</f>
        <v>6 Requirements gathering</v>
      </c>
      <c r="HE9" s="43" t="n">
        <f aca="false">IF(Tasks[[#This Row],[Task Name]]="","",IF(Tasks[[#This Row],[_IsSummary]],NETWORKDAYS.INTL(Tasks[[#This Row],[Start]],Tasks[[#This Row],[Finish]],WorkWeek,Holidays),N(Tasks[[#This Row],[_Days]])))</f>
        <v>0</v>
      </c>
      <c r="HF9" s="43" t="n">
        <f aca="false">IF(Tasks[[#This Row],[Expected]]="",0,((Tasks[[#This Row],[Pessimistic]]-Tasks[[#This Row],[Optimistic]])/6)^2)</f>
        <v>0</v>
      </c>
      <c r="HG9" s="43" t="n">
        <f aca="false">IF(Tasks[[#This Row],[Expected]]="",0,Tasks[[#This Row],[Expected]]-N(Tasks[[#This Row],[_Days]]))</f>
        <v>0</v>
      </c>
    </row>
    <row r="10" customFormat="false" ht="15" hidden="false" customHeight="false" outlineLevel="0" collapsed="false">
      <c r="A10" s="21" t="n">
        <f aca="false">IF(Tasks[[#This Row],[Task Name]]="","",COUNTA(Tasks[[#Headers],[Task Name]]:Tasks[[#This Row],[Task Name]])-1)</f>
        <v>5</v>
      </c>
      <c r="B10" s="22" t="n">
        <v>5</v>
      </c>
      <c r="C10" s="22" t="n">
        <v>1</v>
      </c>
      <c r="D10" s="23" t="s">
        <v>648</v>
      </c>
      <c r="E10" s="22"/>
      <c r="F10" s="23"/>
      <c r="G10" s="22"/>
      <c r="H10" s="22"/>
      <c r="I10" s="23"/>
      <c r="J10" s="22"/>
      <c r="K10" s="22"/>
      <c r="L10" s="23"/>
      <c r="M10" s="22"/>
      <c r="N10" s="22"/>
      <c r="O10" s="23"/>
      <c r="P10" s="22"/>
      <c r="Q10" s="22"/>
      <c r="R10" s="23"/>
      <c r="S10" s="23"/>
      <c r="T10" s="84"/>
      <c r="U10" s="23"/>
      <c r="V10" s="84"/>
      <c r="W10" s="23"/>
      <c r="X10" s="84"/>
      <c r="Y10" s="23"/>
      <c r="Z10" s="84"/>
      <c r="AA10" s="23"/>
      <c r="AB10" s="23"/>
      <c r="AC10" s="7"/>
      <c r="AD10" s="7"/>
      <c r="AE10" s="63" t="n">
        <f aca="false">IF(Tasks[[#This Row],[Task Name]]="","",IF(Tasks[[#This Row],[_IsSummary]],MIN(INDEX(Tasks[_ShownFcstStart],Tasks[[#This Row],[_Row]]+1):INDEX(Tasks[_ShownFcstStart],Tasks[[#This Row],[_Row]]+Tasks[[#This Row],[_Descendants]])),Tasks[[#This Row],[_ShownFcstStart]]))</f>
        <v>46280</v>
      </c>
      <c r="AF10" s="63"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 s="7"/>
      <c r="AK10" s="22" t="s">
        <v>248</v>
      </c>
      <c r="AL10" s="23"/>
      <c r="AM10" s="7"/>
      <c r="AN10" s="47"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3" t="n">
        <f aca="false">IF(Tasks[[#This Row],[Task Name]]="","",IF(N(Tasks[[#This Row],[Baseline Start]])&gt;0,Tasks[[#This Row],[Baseline Start]],Tasks[[#This Row],[_CalcStart]]))</f>
        <v>46279</v>
      </c>
      <c r="AR10" s="63" t="n">
        <f aca="false">IF(Tasks[[#This Row],[Task Name]]="","",IF(N(Tasks[[#This Row],[Baseline Finish]])&gt;0,Tasks[[#This Row],[Baseline Finish]],Tasks[[#This Row],[_CalcFinish]]))</f>
        <v>46296</v>
      </c>
      <c r="AS10" s="47" t="n">
        <f aca="false">IF(Tasks[[#This Row],[Task Name]]="","",IF(Tasks[[#This Row],[Start]]&gt;=Tasks[[#This Row],[Planned Start]],NETWORKDAYS.INTL(Tasks[[#This Row],[Planned Start]],Tasks[[#This Row],[Start]],WorkWeek,Holidays)-1,1-NETWORKDAYS.INTL(Tasks[[#This Row],[Start]],Tasks[[#This Row],[Planned Start]],WorkWeek,Holidays)))</f>
        <v>1</v>
      </c>
      <c r="AT10" s="63" t="n">
        <f aca="false">IF(Tasks[[#This Row],[Task Name]]="","",IF(Tasks[[#This Row],[_IsSummary]],MIN(INDEX(Tasks[_LeafLateStart],Tasks[[#This Row],[_Row]]+1):INDEX(Tasks[_LeafLateStart],Tasks[[#This Row],[_Row]]+Tasks[[#This Row],[_Descendants]])),Tasks[[#This Row],[_LeafLateStart]]))</f>
        <v>46283</v>
      </c>
      <c r="AU10" s="63" t="n">
        <f aca="false">IF(Tasks[[#This Row],[Task Name]]="","",IF(Tasks[[#This Row],[_IsSummary]],MAX(INDEX(Tasks[_LeafLateFinish],Tasks[[#This Row],[_Row]]+1):INDEX(Tasks[_LeafLateFinish],Tasks[[#This Row],[_Row]]+Tasks[[#This Row],[_Descendants]])),Tasks[[#This Row],[_LeafLateFinish]]))</f>
        <v>46302</v>
      </c>
      <c r="AV10" s="47"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5"/>
      <c r="BA10"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6" t="n">
        <f aca="false">IF(Tasks[[#This Row],[Task Name]]="","",IF(Tasks[[#This Row],[_IsSummary]],SUM(INDEX(Tasks[_LeafTotalWork],Tasks[[#This Row],[_Row]]+1):INDEX(Tasks[_LeafTotalWork],Tasks[[#This Row],[_Row]]+Tasks[[#This Row],[_Descendants]])),Tasks[[#This Row],[_LeafTotalWork]]))</f>
        <v>112</v>
      </c>
      <c r="BF10" s="23" t="s">
        <v>643</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7"/>
      <c r="BJ10" s="22"/>
      <c r="BK10" s="47" t="n">
        <f aca="false">IF(OR(Tasks[[#This Row],[Task Name]]="",Tasks[[#This Row],[Baseline Duration]]=""),"",Tasks[[#This Row],[_SpanDays]]-N(Tasks[[#This Row],[Baseline Duration]]))</f>
        <v>2</v>
      </c>
      <c r="BL10" s="86" t="n">
        <f aca="false">IF(OR(Tasks[[#This Row],[Task Name]]="",Tasks[[#This Row],[Baseline Work]]=""),"",Tasks[[#This Row],[Work]]-N(Tasks[[#This Row],[Baseline Work]]))</f>
        <v>0</v>
      </c>
      <c r="BM10" s="63" t="n">
        <f aca="false">IF(Tasks[[#This Row],[Task Name]]="","",IF(OR(TakeBaseline="Yes",N(Tasks[[#This Row],[Baseline Start]])=0),Tasks[[#This Row],[Start]],Tasks[[#This Row],[Baseline Start]]))</f>
        <v>46279</v>
      </c>
      <c r="BN10" s="63" t="n">
        <f aca="false">IF(Tasks[[#This Row],[Task Name]]="","",IF(OR(TakeBaseline="Yes",N(Tasks[[#This Row],[Baseline Finish]])=0),Tasks[[#This Row],[Finish]],Tasks[[#This Row],[Baseline Finish]]))</f>
        <v>46296</v>
      </c>
      <c r="BO10" s="21" t="n">
        <f aca="false">IF(Tasks[[#This Row],[Task Name]]="","",IF(OR(TakeBaseline="Yes",N(Tasks[[#This Row],[Baseline Duration]])=0),Tasks[[#This Row],[_SpanDays]],Tasks[[#This Row],[Baseline Duration]]))</f>
        <v>14</v>
      </c>
      <c r="BP10" s="86" t="n">
        <f aca="false">IF(Tasks[[#This Row],[Task Name]]="","",IF(OR(TakeBaseline="Yes",N(Tasks[[#This Row],[Baseline Work]])=0),Tasks[[#This Row],[Work]],Tasks[[#This Row],[Baseline Work]]))</f>
        <v>112</v>
      </c>
      <c r="BQ10" s="7" t="n">
        <v>46279</v>
      </c>
      <c r="BR10" s="7" t="n">
        <v>46296</v>
      </c>
      <c r="BS10" s="22" t="n">
        <v>14</v>
      </c>
      <c r="BT10" s="88" t="n">
        <v>112</v>
      </c>
      <c r="BU10" s="23"/>
      <c r="BV10" s="23"/>
      <c r="BW10" s="23"/>
      <c r="BX10" s="89" t="str">
        <f aca="false">IF(AND(Tasks[[#This Row],[_IsLeaf]]=1,ISNUMBER(Tasks[[#This Row],[Optimistic]]),ISNUMBER(Tasks[[#This Row],[Pessimistic]])),ROUND((Tasks[[#This Row],[Optimistic]]+4*N(Tasks[[#This Row],[_Days]])+Tasks[[#This Row],[Pessimistic]])/6,1),"")</f>
        <v/>
      </c>
      <c r="BY10" s="87"/>
      <c r="BZ10" s="87"/>
      <c r="CA10" s="22"/>
      <c r="CB10" s="43" t="n">
        <f aca="false">IF(Tasks[[#This Row],[Task Name]]="","",MAX(1,N(Tasks[[#This Row],[Level]])))</f>
        <v>1</v>
      </c>
      <c r="CC10" s="43" t="n">
        <f aca="false">ROW()-ROW(Tasks[[#Headers],[ID]])</f>
        <v>5</v>
      </c>
      <c r="CD10" s="43" t="n">
        <f aca="false">IF(OR(Tasks[[#This Row],[Task Name]]="",Tasks[[#This Row],[_Level]]&lt;=1),0,IFERROR(LOOKUP(2,1/(Tasks[[#Headers],[_Level]]:Tasks[[#This Row],[_Level]]=Tasks[[#This Row],[_Level]]-1),ROW(Tasks[[#Headers],[_Level]]:Tasks[[#This Row],[_Level]])),0))</f>
        <v>0</v>
      </c>
      <c r="CE10" s="43" t="n">
        <f aca="false">IFERROR(N(INDEX(Tasks[_Level],Tasks[[#This Row],[_Row]]+1)),0)</f>
        <v>2</v>
      </c>
      <c r="CF10" s="90" t="b">
        <f aca="false">AND(Tasks[[#This Row],[Task Name]]&lt;&gt;"",Tasks[[#This Row],[_NextLevel]]&gt;Tasks[[#This Row],[_Level]])</f>
        <v>1</v>
      </c>
      <c r="CG10" s="43" t="n">
        <f aca="false">IF(Tasks[[#This Row],[_IsSummary]],COUNTIF(Tasks[WBS],Tasks[[#This Row],[WBS]]&amp;".*"),0)</f>
        <v>3</v>
      </c>
      <c r="CH10" s="43" t="n">
        <f aca="false">IF(AND(Tasks[[#This Row],[Task Name]]&lt;&gt;"",NOT(Tasks[[#This Row],[_IsSummary]])),1,0)</f>
        <v>0</v>
      </c>
      <c r="CI10" s="43" t="n">
        <f aca="false">IF(N(Tasks[[#This Row],[_Pred1UID]])=0,0,IFERROR(MATCH(Tasks[[#This Row],[_Pred1UID]],Tasks[UID],0),-1))</f>
        <v>0</v>
      </c>
      <c r="CJ10" s="43" t="n">
        <f aca="false">IF(N(Tasks[[#This Row],[_Pred2UID]])=0,0,IFERROR(MATCH(Tasks[[#This Row],[_Pred2UID]],Tasks[UID],0),-1))</f>
        <v>0</v>
      </c>
      <c r="CK10" s="43" t="n">
        <f aca="false">IF(N(Tasks[[#This Row],[_Pred3UID]])=0,0,IFERROR(MATCH(Tasks[[#This Row],[_Pred3UID]],Tasks[UID],0),-1))</f>
        <v>0</v>
      </c>
      <c r="CL10" s="43" t="n">
        <f aca="false">IF(N(Tasks[[#This Row],[_Pred4UID]])=0,0,IFERROR(MATCH(Tasks[[#This Row],[_Pred4UID]],Tasks[UID],0),-1))</f>
        <v>0</v>
      </c>
      <c r="CM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 s="91" t="n">
        <f aca="false">IF(OR(Tasks[[#This Row],[_ConstraintCode]]=2,Tasks[[#This Row],[_ConstraintCode]]=3,Tasks[[#This Row],[_ConstraintCode]]=4,Tasks[[#This Row],[_ConstraintCode]]=6),Tasks[[#This Row],[_ConstraintStart]],0)</f>
        <v>0</v>
      </c>
      <c r="CP10" s="91" t="n">
        <f aca="false">IF(OR(Tasks[[#This Row],[_ConstraintCode]]=2,Tasks[[#This Row],[_ConstraintCode]]=3,Tasks[[#This Row],[_ConstraintCode]]=5,Tasks[[#This Row],[_ConstraintCode]]=7),Tasks[[#This Row],[_ConstraintStart]],2958465)</f>
        <v>2958465</v>
      </c>
      <c r="CQ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91" t="str">
        <f aca="false">IF(NOT(Tasks[[#This Row],[_IsLeaf]]=1),"",IF(N(Tasks[[#This Row],[_Days]])&lt;=0,Tasks[[#This Row],[_LeafCalcStart]],WORKDAY.INTL(Tasks[[#This Row],[_LeafCalcStart]],Tasks[[#This Row],[_Days]]-1,WorkWeek,Holidays)))</f>
        <v/>
      </c>
      <c r="CS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3" t="str">
        <f aca="false">IF(Tasks[[#This Row],[_Predecessors]]="","",TRIM(MID(SUBSTITUTE(SUBSTITUTE(SUBSTITUTE(UPPER(Tasks[[#This Row],[_Predecessors]]),";",",")," ",""),",",REPT(" ",99)),1,99)))</f>
        <v/>
      </c>
      <c r="CV10" s="43" t="str">
        <f aca="false">IF(Tasks[[#This Row],[_Pred1Text]]="","",IFERROR(VALUE(LEFT(Tasks[[#This Row],[_Pred1Text]],MIN(FIND("F",Tasks[[#This Row],[_Pred1Text]]&amp;"F"),FIND("S",Tasks[[#This Row],[_Pred1Text]]&amp;"S"),FIND("+",Tasks[[#This Row],[_Pred1Text]]&amp;"+"),FIND("-",Tasks[[#This Row],[_Pred1Text]]&amp;"-"))-1)),""))</f>
        <v/>
      </c>
      <c r="CW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3" t="str">
        <f aca="false">IF(Tasks[[#This Row],[_Pred1Text]]="","",TRIM(MID(SUBSTITUTE(SUBSTITUTE(SUBSTITUTE(UPPER(Tasks[[#This Row],[_Predecessors]]),";",",")," ",""),",",REPT(" ",99)),100,99)))</f>
        <v/>
      </c>
      <c r="CZ10" s="43" t="str">
        <f aca="false">IF(Tasks[[#This Row],[_Pred2Text]]="","",IFERROR(VALUE(LEFT(Tasks[[#This Row],[_Pred2Text]],MIN(FIND("F",Tasks[[#This Row],[_Pred2Text]]&amp;"F"),FIND("S",Tasks[[#This Row],[_Pred2Text]]&amp;"S"),FIND("+",Tasks[[#This Row],[_Pred2Text]]&amp;"+"),FIND("-",Tasks[[#This Row],[_Pred2Text]]&amp;"-"))-1)),""))</f>
        <v/>
      </c>
      <c r="DA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3" t="str">
        <f aca="false">IF(Tasks[[#This Row],[_Pred2Text]]="","",TRIM(MID(SUBSTITUTE(SUBSTITUTE(SUBSTITUTE(UPPER(Tasks[[#This Row],[_Predecessors]]),";",",")," ",""),",",REPT(" ",99)),199,99)))</f>
        <v/>
      </c>
      <c r="DD10" s="43" t="str">
        <f aca="false">IF(Tasks[[#This Row],[_Pred3Text]]="","",IFERROR(VALUE(LEFT(Tasks[[#This Row],[_Pred3Text]],MIN(FIND("F",Tasks[[#This Row],[_Pred3Text]]&amp;"F"),FIND("S",Tasks[[#This Row],[_Pred3Text]]&amp;"S"),FIND("+",Tasks[[#This Row],[_Pred3Text]]&amp;"+"),FIND("-",Tasks[[#This Row],[_Pred3Text]]&amp;"-"))-1)),""))</f>
        <v/>
      </c>
      <c r="DE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3" t="str">
        <f aca="false">IF(Tasks[[#This Row],[_Pred3Text]]="","",TRIM(MID(SUBSTITUTE(SUBSTITUTE(SUBSTITUTE(UPPER(Tasks[[#This Row],[_Predecessors]]),";",",")," ",""),",",REPT(" ",99)),298,99)))</f>
        <v/>
      </c>
      <c r="DH10" s="43" t="str">
        <f aca="false">IF(Tasks[[#This Row],[_Pred4Text]]="","",IFERROR(VALUE(LEFT(Tasks[[#This Row],[_Pred4Text]],MIN(FIND("F",Tasks[[#This Row],[_Pred4Text]]&amp;"F"),FIND("S",Tasks[[#This Row],[_Pred4Text]]&amp;"S"),FIND("+",Tasks[[#This Row],[_Pred4Text]]&amp;"+"),FIND("-",Tasks[[#This Row],[_Pred4Text]]&amp;"-"))-1)),""))</f>
        <v/>
      </c>
      <c r="DI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3" t="str">
        <f aca="false">IF(OR(Tasks[[#This Row],[Task Name]]="",Tasks[[#This Row],[_Resources]]=""),"",TRIM(MID(SUBSTITUTE(Tasks[[#This Row],[_Resources]],",",REPT(" ",99)),1,99)))</f>
        <v/>
      </c>
      <c r="DL10" s="43" t="str">
        <f aca="false">IF(Tasks[[#This Row],[_Res1Text]]="","",TRIM(MID(SUBSTITUTE(Tasks[[#This Row],[_Resources]],",",REPT(" ",99)),100,99)))</f>
        <v/>
      </c>
      <c r="DM10" s="43" t="str">
        <f aca="false">IF(Tasks[[#This Row],[_Res2Text]]="","",TRIM(MID(SUBSTITUTE(Tasks[[#This Row],[_Resources]],",",REPT(" ",99)),199,99)))</f>
        <v/>
      </c>
      <c r="DN10" s="43" t="str">
        <f aca="false">IF(Tasks[[#This Row],[_Res3Text]]="","",TRIM(MID(SUBSTITUTE(Tasks[[#This Row],[_Resources]],",",REPT(" ",99)),298,99)))</f>
        <v/>
      </c>
      <c r="DO10" s="43" t="n">
        <f aca="false">IF(Tasks[[#This Row],[_Res1Text]]="",0,IFERROR(MATCH(TRIM(LEFT(Tasks[[#This Row],[_Res1Text]],FIND("[",Tasks[[#This Row],[_Res1Text]]&amp;"[")-1)),res_Name,0),IFERROR(MATCH(TRIM(LEFT(Tasks[[#This Row],[_Res1Text]],FIND("[",Tasks[[#This Row],[_Res1Text]]&amp;"[")-1)),res_Initials,0),0)))</f>
        <v>0</v>
      </c>
      <c r="DP10" s="43" t="n">
        <f aca="false">IF(Tasks[[#This Row],[_Res2Text]]="",0,IFERROR(MATCH(TRIM(LEFT(Tasks[[#This Row],[_Res2Text]],FIND("[",Tasks[[#This Row],[_Res2Text]]&amp;"[")-1)),res_Name,0),IFERROR(MATCH(TRIM(LEFT(Tasks[[#This Row],[_Res2Text]],FIND("[",Tasks[[#This Row],[_Res2Text]]&amp;"[")-1)),res_Initials,0),0)))</f>
        <v>0</v>
      </c>
      <c r="DQ10" s="43" t="n">
        <f aca="false">IF(Tasks[[#This Row],[_Res3Text]]="",0,IFERROR(MATCH(TRIM(LEFT(Tasks[[#This Row],[_Res3Text]],FIND("[",Tasks[[#This Row],[_Res3Text]]&amp;"[")-1)),res_Name,0),IFERROR(MATCH(TRIM(LEFT(Tasks[[#This Row],[_Res3Text]],FIND("[",Tasks[[#This Row],[_Res3Text]]&amp;"[")-1)),res_Initials,0),0)))</f>
        <v>0</v>
      </c>
      <c r="DR10" s="43" t="n">
        <f aca="false">IF(Tasks[[#This Row],[_Res4Text]]="",0,IFERROR(MATCH(TRIM(LEFT(Tasks[[#This Row],[_Res4Text]],FIND("[",Tasks[[#This Row],[_Res4Text]]&amp;"[")-1)),res_Name,0),IFERROR(MATCH(TRIM(LEFT(Tasks[[#This Row],[_Res4Text]],FIND("[",Tasks[[#This Row],[_Res4Text]]&amp;"[")-1)),res_Initials,0),0)))</f>
        <v>0</v>
      </c>
      <c r="DS10" s="43" t="str">
        <f aca="false">IF(Tasks[[#This Row],[_Res1Text]]="","",IF(Tasks[[#This Row],[_Res1Row]]&gt;0,INDEX(res_Name,Tasks[[#This Row],[_Res1Row]]),TRIM(LEFT(Tasks[[#This Row],[_Res1Text]],FIND("[",Tasks[[#This Row],[_Res1Text]]&amp;"[")-1))))</f>
        <v/>
      </c>
      <c r="DT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3" t="n">
        <f aca="false">IF(NOT(Tasks[[#This Row],[_IsLeaf]]=1),0,(Tasks[[#This Row],[_Resource1]]&lt;&gt;"")+(Tasks[[#This Row],[_Res2]]&lt;&gt;"")+(Tasks[[#This Row],[_Res3]]&lt;&gt;"")+(Tasks[[#This Row],[_Res4]]&lt;&gt;""))</f>
        <v>0</v>
      </c>
      <c r="DV10" s="43" t="str">
        <f aca="false">IF(Tasks[[#This Row],[_Res2Text]]="","",IF(Tasks[[#This Row],[_Res2Row]]&gt;0,INDEX(res_Name,Tasks[[#This Row],[_Res2Row]]),TRIM(LEFT(Tasks[[#This Row],[_Res2Text]],FIND("[",Tasks[[#This Row],[_Res2Text]]&amp;"[")-1))))</f>
        <v/>
      </c>
      <c r="DW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3" t="n">
        <f aca="false">IF(OR(NOT(Tasks[[#This Row],[_IsLeaf]]=1),Tasks[[#This Row],[_Res2Row]]=0),0,N(Tasks[[#This Row],[_Days]])*HoursPerDay*IF(Tasks[[#This Row],[_Res2Units]]="",DefaultUnits,Tasks[[#This Row],[_Res2Units]]))</f>
        <v>0</v>
      </c>
      <c r="DY10" s="43" t="n">
        <f aca="false">IF(AND(AND(Tasks[[#This Row],[_IsLeaf]]=1,Tasks[[#This Row],[_LeafTotalWork]]&gt;0),Tasks[[#This Row],[_Res2Work]]&gt;0),Tasks[[#This Row],[_Res2Work]]/(Tasks[[#This Row],[_FinishWorkday]]-Tasks[[#This Row],[_StartWorkday]]+1),0)</f>
        <v>0</v>
      </c>
      <c r="DZ10" s="43" t="n">
        <f aca="false">Tasks[[#This Row],[_Res2WorkPerWD]]*MAX(0,Tasks[[#This Row],[_StartWorkday]]-1)</f>
        <v>0</v>
      </c>
      <c r="EA10" s="43" t="n">
        <f aca="false">Tasks[[#This Row],[_Res2Work]]*Tasks[[#This Row],[_LeafProgress]]</f>
        <v>0</v>
      </c>
      <c r="EB10" s="43" t="str">
        <f aca="false">IF(Tasks[[#This Row],[_Res3Text]]="","",IF(Tasks[[#This Row],[_Res3Row]]&gt;0,INDEX(res_Name,Tasks[[#This Row],[_Res3Row]]),TRIM(LEFT(Tasks[[#This Row],[_Res3Text]],FIND("[",Tasks[[#This Row],[_Res3Text]]&amp;"[")-1))))</f>
        <v/>
      </c>
      <c r="EC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3" t="n">
        <f aca="false">IF(OR(NOT(Tasks[[#This Row],[_IsLeaf]]=1),Tasks[[#This Row],[_Res3Row]]=0),0,N(Tasks[[#This Row],[_Days]])*HoursPerDay*IF(Tasks[[#This Row],[_Res3Units]]="",DefaultUnits,Tasks[[#This Row],[_Res3Units]]))</f>
        <v>0</v>
      </c>
      <c r="EE10" s="43" t="n">
        <f aca="false">IF(AND(AND(Tasks[[#This Row],[_IsLeaf]]=1,Tasks[[#This Row],[_LeafTotalWork]]&gt;0),Tasks[[#This Row],[_Res3Work]]&gt;0),Tasks[[#This Row],[_Res3Work]]/(Tasks[[#This Row],[_FinishWorkday]]-Tasks[[#This Row],[_StartWorkday]]+1),0)</f>
        <v>0</v>
      </c>
      <c r="EF10" s="43" t="n">
        <f aca="false">Tasks[[#This Row],[_Res3WorkPerWD]]*MAX(0,Tasks[[#This Row],[_StartWorkday]]-1)</f>
        <v>0</v>
      </c>
      <c r="EG10" s="43" t="n">
        <f aca="false">Tasks[[#This Row],[_Res3Work]]*Tasks[[#This Row],[_LeafProgress]]</f>
        <v>0</v>
      </c>
      <c r="EH10" s="43" t="str">
        <f aca="false">IF(Tasks[[#This Row],[_Res4Text]]="","",IF(Tasks[[#This Row],[_Res4Row]]&gt;0,INDEX(res_Name,Tasks[[#This Row],[_Res4Row]]),TRIM(LEFT(Tasks[[#This Row],[_Res4Text]],FIND("[",Tasks[[#This Row],[_Res4Text]]&amp;"[")-1))))</f>
        <v/>
      </c>
      <c r="EI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3" t="n">
        <f aca="false">IF(OR(NOT(Tasks[[#This Row],[_IsLeaf]]=1),Tasks[[#This Row],[_Res4Row]]=0),0,N(Tasks[[#This Row],[_Days]])*HoursPerDay*IF(Tasks[[#This Row],[_Res4Units]]="",DefaultUnits,Tasks[[#This Row],[_Res4Units]]))</f>
        <v>0</v>
      </c>
      <c r="EK10" s="43" t="n">
        <f aca="false">IF(AND(AND(Tasks[[#This Row],[_IsLeaf]]=1,Tasks[[#This Row],[_LeafTotalWork]]&gt;0),Tasks[[#This Row],[_Res4Work]]&gt;0),Tasks[[#This Row],[_Res4Work]]/(Tasks[[#This Row],[_FinishWorkday]]-Tasks[[#This Row],[_StartWorkday]]+1),0)</f>
        <v>0</v>
      </c>
      <c r="EL10" s="43" t="n">
        <f aca="false">Tasks[[#This Row],[_Res4WorkPerWD]]*MAX(0,Tasks[[#This Row],[_StartWorkday]]-1)</f>
        <v>0</v>
      </c>
      <c r="EM10" s="43" t="n">
        <f aca="false">Tasks[[#This Row],[_Res4Work]]*Tasks[[#This Row],[_LeafProgress]]</f>
        <v>0</v>
      </c>
      <c r="EN10" s="43" t="n">
        <f aca="false">IF(ISNUMBER(Tasks[[#This Row],[% Complete]]),Tasks[[#This Row],[% Complete]],IF(Tasks[[#This Row],[Stage]]="",0,IFERROR(INDEX(stg_Pct,MATCH(Tasks[[#This Row],[Stage]],stg_Name,0)),0)))</f>
        <v>0</v>
      </c>
      <c r="EO10" s="43" t="n">
        <f aca="false">IF(NOT(Tasks[[#This Row],[_IsLeaf]]=1),0,IF(N(Tasks[[#This Row],[Actual Finish]])&gt;0,1,MIN(1,Tasks[[#This Row],[_Pct]])))</f>
        <v>0</v>
      </c>
      <c r="EP10" s="43" t="n">
        <f aca="false">IF(OR(NOT(Tasks[[#This Row],[_IsLeaf]]=1),Tasks[[#This Row],[_Res1Row]]=0),0,N(Tasks[[#This Row],[_Days]])*HoursPerDay*IF(Tasks[[#This Row],[_Units1]]="",DefaultUnits,Tasks[[#This Row],[_Units1]]))</f>
        <v>0</v>
      </c>
      <c r="EQ10" s="43" t="n">
        <f aca="false">Tasks[[#This Row],[_LeafWork]]+Tasks[[#This Row],[_Res2Work]]+Tasks[[#This Row],[_Res3Work]]+Tasks[[#This Row],[_Res4Work]]</f>
        <v>0</v>
      </c>
      <c r="ER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3" t="n">
        <f aca="false">IF(NOT(Tasks[[#This Row],[_IsLeaf]]=1),0,MAX(_xlfn.MAXIFS(Tasks[_Row],Tasks[_Pred1UID],Tasks[[#This Row],[UID]]),_xlfn.MAXIFS(Tasks[_Row],Tasks[_Pred2UID],Tasks[[#This Row],[UID]]),_xlfn.MAXIFS(Tasks[_Row],Tasks[_Pred3UID],Tasks[[#This Row],[UID]]),_xlfn.MAXIFS(Tasks[_Row],Tasks[_Pred4UID],Tasks[[#This Row],[UID]])))</f>
        <v>0</v>
      </c>
      <c r="FA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91" t="str">
        <f aca="false">IF(NOT(Tasks[[#This Row],[_IsLeaf]]=1),"",IF(N(Tasks[[#This Row],[_Days]])&lt;=0,Tasks[[#This Row],[_LeafLateFinish]],WORKDAY.INTL(Tasks[[#This Row],[_LeafLateFinish]],-(Tasks[[#This Row],[_Days]]-1),WorkWeek,Holidays)))</f>
        <v/>
      </c>
      <c r="FD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 s="90" t="b">
        <f aca="false">AND(Tasks[[#This Row],[_IsLeaf]]=1,Tasks[[#This Row],[_LeafProgress]]&lt;1,N(Tasks[[#This Row],[_LeafTotalSlack]])&lt;=CriticalSlackDays)</f>
        <v>0</v>
      </c>
      <c r="FF10" s="43" t="n">
        <f aca="false">IF(AND(Tasks[[#This Row],[_IsLeaf]]=1,Tasks[[#This Row],[_ConstraintCode]]=1,Tasks[[#This Row],[Mode]]&lt;&gt;"Manual",N(Tasks[[#This Row],[Actual Start]])=0),MAX(0,N(Tasks[[#This Row],[Free Slack]])),0)</f>
        <v>0</v>
      </c>
      <c r="FG10" s="91" t="str">
        <f aca="false">IF(NOT(Tasks[[#This Row],[_IsLeaf]]=1),"",IF(Tasks[[#This Row],[_AlapShift]]=0,Tasks[[#This Row],[_LeafCalcStart]],WORKDAY.INTL(Tasks[[#This Row],[_LeafCalcStart]],Tasks[[#This Row],[_AlapShift]],WorkWeek,Holidays)))</f>
        <v/>
      </c>
      <c r="FH10" s="91" t="str">
        <f aca="false">IF(NOT(Tasks[[#This Row],[_IsLeaf]]=1),"",IF(Tasks[[#This Row],[_AlapShift]]=0,Tasks[[#This Row],[_LeafCalcFinish]],WORKDAY.INTL(Tasks[[#This Row],[_LeafCalcFinish]],Tasks[[#This Row],[_AlapShift]],WorkWeek,Holidays)))</f>
        <v/>
      </c>
      <c r="FI10" s="91" t="str">
        <f aca="false">IF(NOT(Tasks[[#This Row],[_IsLeaf]]=1),"",IF(Tasks[[#This Row],[_AlapShift]]=0,Tasks[[#This Row],[_LeafFcstStart]],WORKDAY.INTL(Tasks[[#This Row],[_LeafFcstStart]],Tasks[[#This Row],[_AlapShift]],WorkWeek,Holidays)))</f>
        <v/>
      </c>
      <c r="FJ10" s="91" t="str">
        <f aca="false">IF(NOT(Tasks[[#This Row],[_IsLeaf]]=1),"",IF(Tasks[[#This Row],[_AlapShift]]=0,Tasks[[#This Row],[_LeafFcstFinish]],WORKDAY.INTL(Tasks[[#This Row],[_LeafFcstFinish]],Tasks[[#This Row],[_AlapShift]],WorkWeek,Holidays)))</f>
        <v/>
      </c>
      <c r="FK10" s="91" t="n">
        <f aca="false">IF(Tasks[[#This Row],[Task Name]]="","",IF(Tasks[[#This Row],[_IsSummary]],MIN(INDEX(Tasks[_ShownCalcStart],Tasks[[#This Row],[_Row]]+1):INDEX(Tasks[_ShownCalcStart],Tasks[[#This Row],[_Row]]+Tasks[[#This Row],[_Descendants]])),Tasks[[#This Row],[_ShownCalcStart]]))</f>
        <v>46279</v>
      </c>
      <c r="FL10" s="91" t="n">
        <f aca="false">IF(Tasks[[#This Row],[Task Name]]="","",IF(Tasks[[#This Row],[_IsSummary]],MAX(INDEX(Tasks[_ShownCalcFinish],Tasks[[#This Row],[_Row]]+1):INDEX(Tasks[_ShownCalcFinish],Tasks[[#This Row],[_Row]]+Tasks[[#This Row],[_Descendants]])),Tasks[[#This Row],[_ShownCalcFinish]]))</f>
        <v>46296</v>
      </c>
      <c r="FM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 s="43" t="n">
        <f aca="false">IF(AND(Tasks[[#This Row],[_IsLeaf]]=1,Tasks[[#This Row],[_LeafTotalWork]]&gt;0),NETWORKDAYS.INTL(ProjectStart,Tasks[[#This Row],[_ShownFcstStart]],WorkWeek,Holidays),0)</f>
        <v>0</v>
      </c>
      <c r="FZ10" s="43" t="n">
        <f aca="false">IF(AND(Tasks[[#This Row],[_IsLeaf]]=1,Tasks[[#This Row],[_LeafTotalWork]]&gt;0),MAX(Tasks[[#This Row],[_StartWorkday]],NETWORKDAYS.INTL(ProjectStart,Tasks[[#This Row],[_ShownFcstFinish]],WorkWeek,Holidays)),0)</f>
        <v>0</v>
      </c>
      <c r="GA10" s="43" t="n">
        <f aca="false">IF(AND(Tasks[[#This Row],[_IsLeaf]]=1,Tasks[[#This Row],[_LeafTotalWork]]&gt;0),Tasks[[#This Row],[_LeafWork]]/(Tasks[[#This Row],[_FinishWorkday]]-Tasks[[#This Row],[_StartWorkday]]+1),0)</f>
        <v>0</v>
      </c>
      <c r="GB10" s="43" t="n">
        <f aca="false">Tasks[[#This Row],[_WorkPerWorkday]]*(Tasks[[#This Row],[_StartWorkday]]-1)</f>
        <v>-0</v>
      </c>
      <c r="GC10" s="43" t="n">
        <f aca="false">IF(Tasks[[#This Row],[_IsLeaf]]=1,MAX(N(Tasks[[#This Row],[_Days]]),0.1),0)</f>
        <v>0</v>
      </c>
      <c r="GD10" s="43" t="n">
        <f aca="false">Tasks[[#This Row],[_WeightDur]]*Tasks[[#This Row],[_LeafProgress]]</f>
        <v>0</v>
      </c>
      <c r="GE10" s="43" t="n">
        <f aca="false">Tasks[[#This Row],[_WeightDur]]*Tasks[[#This Row],[_PlannedPct]]</f>
        <v>0</v>
      </c>
      <c r="GF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3" t="str">
        <f aca="false">IF(AND(Tasks[[#This Row],[_IsLeaf]]=1,N(Tasks[[#This Row],[_Days]])=0,Tasks[[#This Row],[_LeafProgress]]&lt;1),Tasks[[#This Row],[_ShownFcstFinish]]+Tasks[[#This Row],[_Row]]/100000,"")</f>
        <v/>
      </c>
      <c r="GH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 s="43" t="str">
        <f aca="false">IF(Tasks[[#This Row],[Task Name]]="","",LEFT(Tasks[[#This Row],[WBS]],FIND(".",Tasks[[#This Row],[WBS]]&amp;".")-1))</f>
        <v>2</v>
      </c>
      <c r="GJ10" s="43" t="n">
        <f aca="false">IF(AND(Tasks[[#This Row],[Task Name]]&lt;&gt;"",Tasks[[#This Row],[_Level]]=1),Tasks[[#This Row],[_Row]],"")</f>
        <v>5</v>
      </c>
      <c r="GK10" s="43" t="str">
        <f aca="false">IF(AND(Tasks[[#This Row],[_IsLeaf]]=1,N(Tasks[[#This Row],[_Days]])=0),Tasks[[#This Row],[Planned Finish]]+Tasks[[#This Row],[_Row]]/100000,"")</f>
        <v/>
      </c>
      <c r="GL10" s="43" t="str">
        <f aca="false">IF(AND(Tasks[[#This Row],[_IsLeaf]]=1,Tasks[[#This Row],[_LeafProgress]]&lt;1,OR(N(Tasks[[#This Row],[Finish Var]])&gt;0,Tasks[[#This Row],[Status]]="Late Start")),MAX(0,Tasks[[#This Row],[Finish Var]])+1-Tasks[[#This Row],[_Row]]/1000000,"")</f>
        <v/>
      </c>
      <c r="GM10" s="43" t="str">
        <f aca="false">IF(AND(Tasks[[#This Row],[_IsLeaf]]=1,N(Tasks[[#This Row],[Actual Start]])=0,Tasks[[#This Row],[_ShownFcstStart]]&gt;=StatusDate,Tasks[[#This Row],[_ShownFcstStart]]&lt;=LookaheadEnd),Tasks[[#This Row],[_ShownFcstStart]]+Tasks[[#This Row],[_Row]]/100000,"")</f>
        <v/>
      </c>
      <c r="GN10" s="43" t="str">
        <f aca="false">IF(AND(Tasks[[#This Row],[_IsLeaf]]=1,Tasks[[#This Row],[_LeafProgress]]&lt;1,Tasks[[#This Row],[_ShownFcstFinish]]&gt;=StatusDate,Tasks[[#This Row],[_ShownFcstFinish]]&lt;=LookaheadEnd),Tasks[[#This Row],[_ShownFcstFinish]]+Tasks[[#This Row],[_Row]]/100000,"")</f>
        <v/>
      </c>
      <c r="GO10" s="43" t="str">
        <f aca="false">IF(Tasks[[#This Row],[_LeafCritical]],Tasks[[#This Row],[_ShownFcstStart]]+Tasks[[#This Row],[_Row]]/100000,"")</f>
        <v/>
      </c>
      <c r="GP10" s="43" t="n">
        <f aca="false">Tasks[[#This Row],[_LeafWork]]*Tasks[[#This Row],[_LeafProgress]]</f>
        <v>0</v>
      </c>
      <c r="GQ10" s="91" t="str">
        <f aca="false">IF(AND(Tasks[[#This Row],[_IsLeaf]]=1,Tasks[[#This Row],[_LeafProgress]]&gt;=1),IF(N(Tasks[[#This Row],[Actual Finish]])&gt;0,Tasks[[#This Row],[Actual Finish]],Tasks[[#This Row],[_ShownFcstFinish]]),"")</f>
        <v/>
      </c>
      <c r="GR10" s="43" t="n">
        <f aca="false">IF(Tasks[[#This Row],[_IsLeaf]]=1,N(Tasks[[#This Row],[Story Points]]),0)</f>
        <v>0</v>
      </c>
      <c r="GS10" s="43" t="str">
        <f aca="false">""</f>
        <v/>
      </c>
      <c r="GT10" s="90" t="b">
        <f aca="false">IF(Tasks[[#This Row],[Task Name]]="",FALSE(),AND(Tasks[[#This Row],[_IsLeaf]]=1,N(Tasks[[#This Row],[_Days]])=0))</f>
        <v>0</v>
      </c>
      <c r="GU10" s="91" t="n">
        <f aca="false">IF(Tasks[[#This Row],[Task Name]]="",0,IF(AND(Tasks[[#This Row],[_IsLeaf]]=1,NOT(Tasks[[#This Row],[_IsMilestone]]),N(Tasks[[#This Row],[Progress]])&gt;0),Tasks[[#This Row],[Start]],0))</f>
        <v>0</v>
      </c>
      <c r="GV10" s="91" t="n">
        <f aca="false">IF(Tasks[[#This Row],[_DoneFrom]]=0,0,IF(Tasks[[#This Row],[Progress]]&gt;=1,Tasks[[#This Row],[Finish]],MAX(Tasks[[#This Row],[_DoneFrom]],Tasks[[#This Row],[Start]]+ROUND((Tasks[[#This Row],[Finish]]-Tasks[[#This Row],[Start]]+1)*Tasks[[#This Row],[Progress]],0)-1)))</f>
        <v>0</v>
      </c>
      <c r="GW10" s="91" t="n">
        <f aca="false">IF(Tasks[[#This Row],[Task Name]]="",0,IF(OR(NOT(Tasks[[#This Row],[_IsLeaf]]=1),Tasks[[#This Row],[_IsMilestone]],N(Tasks[[#This Row],[Progress]])&gt;=1),0,IF(Tasks[[#This Row],[_DoneTo]]&gt;0,Tasks[[#This Row],[_DoneTo]]+1,Tasks[[#This Row],[Start]])))</f>
        <v>0</v>
      </c>
      <c r="GX10" s="91" t="n">
        <f aca="false">IF(Tasks[[#This Row],[_RemFrom]]=0,0,Tasks[[#This Row],[Finish]])</f>
        <v>0</v>
      </c>
      <c r="GY10" s="90" t="b">
        <f aca="false">IF(Tasks[[#This Row],[Task Name]]="",FALSE(),OR(NOT(BaselineSet),N(Tasks[[#This Row],[Baseline Start]])&gt;0))</f>
        <v>1</v>
      </c>
      <c r="GZ1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92" t="str">
        <f aca="false">IF(Tasks[[#This Row],[_IsLeaf]]=1,Tasks[[#This Row],[_Row]],"")</f>
        <v/>
      </c>
      <c r="HD10" s="92" t="str">
        <f aca="false">IFERROR(INDEX(Tasks[UID],SMALL(Tasks[_PickKey],Tasks[[#This Row],[_Row]]))&amp;" "&amp;INDEX(Tasks[Task Name],SMALL(Tasks[_PickKey],Tasks[[#This Row],[_Row]])),"")</f>
        <v>8 UX wireframes &amp; prototype</v>
      </c>
      <c r="HE10" s="43" t="n">
        <f aca="false">IF(Tasks[[#This Row],[Task Name]]="","",IF(Tasks[[#This Row],[_IsSummary]],NETWORKDAYS.INTL(Tasks[[#This Row],[Start]],Tasks[[#This Row],[Finish]],WorkWeek,Holidays),N(Tasks[[#This Row],[_Days]])))</f>
        <v>16</v>
      </c>
      <c r="HF10" s="43" t="n">
        <f aca="false">IF(Tasks[[#This Row],[Expected]]="",0,((Tasks[[#This Row],[Pessimistic]]-Tasks[[#This Row],[Optimistic]])/6)^2)</f>
        <v>0</v>
      </c>
      <c r="HG10" s="43" t="n">
        <f aca="false">IF(Tasks[[#This Row],[Expected]]="",0,Tasks[[#This Row],[Expected]]-N(Tasks[[#This Row],[_Days]]))</f>
        <v>0</v>
      </c>
    </row>
    <row r="11" customFormat="false" ht="15" hidden="false" customHeight="false" outlineLevel="1" collapsed="false">
      <c r="A11" s="21" t="n">
        <f aca="false">IF(Tasks[[#This Row],[Task Name]]="","",COUNTA(Tasks[[#Headers],[Task Name]]:Tasks[[#This Row],[Task Name]])-1)</f>
        <v>6</v>
      </c>
      <c r="B11" s="22" t="n">
        <v>6</v>
      </c>
      <c r="C11" s="22" t="n">
        <v>2</v>
      </c>
      <c r="D11" s="93" t="s">
        <v>649</v>
      </c>
      <c r="E11" s="22" t="n">
        <v>8</v>
      </c>
      <c r="F11" s="23" t="n">
        <v>4</v>
      </c>
      <c r="G11" s="22"/>
      <c r="H11" s="22"/>
      <c r="I11" s="23"/>
      <c r="J11" s="22"/>
      <c r="K11" s="22"/>
      <c r="L11" s="23"/>
      <c r="M11" s="22"/>
      <c r="N11" s="22"/>
      <c r="O11" s="23"/>
      <c r="P11" s="22"/>
      <c r="Q11" s="22"/>
      <c r="R11" s="23"/>
      <c r="S11" s="23" t="s">
        <v>643</v>
      </c>
      <c r="T11" s="84"/>
      <c r="U11" s="23"/>
      <c r="V11" s="84"/>
      <c r="W11" s="23"/>
      <c r="X11" s="84"/>
      <c r="Y11" s="23"/>
      <c r="Z11" s="84"/>
      <c r="AA11" s="23"/>
      <c r="AB11" s="23" t="s">
        <v>150</v>
      </c>
      <c r="AC11" s="7" t="n">
        <v>46280</v>
      </c>
      <c r="AD11" s="7" t="n">
        <v>46290</v>
      </c>
      <c r="AE11" s="63" t="n">
        <f aca="false">IF(Tasks[[#This Row],[Task Name]]="","",IF(Tasks[[#This Row],[_IsSummary]],MIN(INDEX(Tasks[_ShownFcstStart],Tasks[[#This Row],[_Row]]+1):INDEX(Tasks[_ShownFcstStart],Tasks[[#This Row],[_Row]]+Tasks[[#This Row],[_Descendants]])),Tasks[[#This Row],[_ShownFcstStart]]))</f>
        <v>46280</v>
      </c>
      <c r="AF11" s="63"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 s="7"/>
      <c r="AK11" s="22" t="s">
        <v>248</v>
      </c>
      <c r="AL11" s="23"/>
      <c r="AM11" s="7"/>
      <c r="AN11" s="47"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3" t="n">
        <f aca="false">IF(Tasks[[#This Row],[Task Name]]="","",IF(N(Tasks[[#This Row],[Baseline Start]])&gt;0,Tasks[[#This Row],[Baseline Start]],Tasks[[#This Row],[_CalcStart]]))</f>
        <v>46279</v>
      </c>
      <c r="AR11" s="63" t="n">
        <f aca="false">IF(Tasks[[#This Row],[Task Name]]="","",IF(N(Tasks[[#This Row],[Baseline Finish]])&gt;0,Tasks[[#This Row],[Baseline Finish]],Tasks[[#This Row],[_CalcFinish]]))</f>
        <v>46288</v>
      </c>
      <c r="AS11" s="47" t="n">
        <f aca="false">IF(Tasks[[#This Row],[Task Name]]="","",IF(Tasks[[#This Row],[Start]]&gt;=Tasks[[#This Row],[Planned Start]],NETWORKDAYS.INTL(Tasks[[#This Row],[Planned Start]],Tasks[[#This Row],[Start]],WorkWeek,Holidays)-1,1-NETWORKDAYS.INTL(Tasks[[#This Row],[Start]],Tasks[[#This Row],[Planned Start]],WorkWeek,Holidays)))</f>
        <v>1</v>
      </c>
      <c r="AT11" s="63" t="n">
        <f aca="false">IF(Tasks[[#This Row],[Task Name]]="","",IF(Tasks[[#This Row],[_IsSummary]],MIN(INDEX(Tasks[_LeafLateStart],Tasks[[#This Row],[_Row]]+1):INDEX(Tasks[_LeafLateStart],Tasks[[#This Row],[_Row]]+Tasks[[#This Row],[_Descendants]])),Tasks[[#This Row],[_LeafLateStart]]))</f>
        <v>46283</v>
      </c>
      <c r="AU11" s="63" t="n">
        <f aca="false">IF(Tasks[[#This Row],[Task Name]]="","",IF(Tasks[[#This Row],[_IsSummary]],MAX(INDEX(Tasks[_LeafLateFinish],Tasks[[#This Row],[_Row]]+1):INDEX(Tasks[_LeafLateFinish],Tasks[[#This Row],[_Row]]+Tasks[[#This Row],[_Descendants]])),Tasks[[#This Row],[_LeafLateFinish]]))</f>
        <v>46294</v>
      </c>
      <c r="AV11" s="47"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5"/>
      <c r="BA11"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6"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7"/>
      <c r="BJ11" s="22"/>
      <c r="BK11" s="47" t="n">
        <f aca="false">IF(OR(Tasks[[#This Row],[Task Name]]="",Tasks[[#This Row],[Baseline Duration]]=""),"",Tasks[[#This Row],[_SpanDays]]-N(Tasks[[#This Row],[Baseline Duration]]))</f>
        <v>0</v>
      </c>
      <c r="BL11" s="86" t="n">
        <f aca="false">IF(OR(Tasks[[#This Row],[Task Name]]="",Tasks[[#This Row],[Baseline Work]]=""),"",Tasks[[#This Row],[Work]]-N(Tasks[[#This Row],[Baseline Work]]))</f>
        <v>0</v>
      </c>
      <c r="BM11" s="63" t="n">
        <f aca="false">IF(Tasks[[#This Row],[Task Name]]="","",IF(OR(TakeBaseline="Yes",N(Tasks[[#This Row],[Baseline Start]])=0),Tasks[[#This Row],[Start]],Tasks[[#This Row],[Baseline Start]]))</f>
        <v>46279</v>
      </c>
      <c r="BN11" s="63" t="n">
        <f aca="false">IF(Tasks[[#This Row],[Task Name]]="","",IF(OR(TakeBaseline="Yes",N(Tasks[[#This Row],[Baseline Finish]])=0),Tasks[[#This Row],[Finish]],Tasks[[#This Row],[Baseline Finish]]))</f>
        <v>46288</v>
      </c>
      <c r="BO11" s="21" t="n">
        <f aca="false">IF(Tasks[[#This Row],[Task Name]]="","",IF(OR(TakeBaseline="Yes",N(Tasks[[#This Row],[Baseline Duration]])=0),Tasks[[#This Row],[_SpanDays]],Tasks[[#This Row],[Baseline Duration]]))</f>
        <v>8</v>
      </c>
      <c r="BP11" s="86" t="n">
        <f aca="false">IF(Tasks[[#This Row],[Task Name]]="","",IF(OR(TakeBaseline="Yes",N(Tasks[[#This Row],[Baseline Work]])=0),Tasks[[#This Row],[Work]],Tasks[[#This Row],[Baseline Work]]))</f>
        <v>64</v>
      </c>
      <c r="BQ11" s="7" t="n">
        <v>46279</v>
      </c>
      <c r="BR11" s="7" t="n">
        <v>46288</v>
      </c>
      <c r="BS11" s="22" t="n">
        <v>8</v>
      </c>
      <c r="BT11" s="88" t="n">
        <v>64</v>
      </c>
      <c r="BU11" s="23"/>
      <c r="BV11" s="23"/>
      <c r="BW11" s="23"/>
      <c r="BX11" s="89" t="str">
        <f aca="false">IF(AND(Tasks[[#This Row],[_IsLeaf]]=1,ISNUMBER(Tasks[[#This Row],[Optimistic]]),ISNUMBER(Tasks[[#This Row],[Pessimistic]])),ROUND((Tasks[[#This Row],[Optimistic]]+4*N(Tasks[[#This Row],[_Days]])+Tasks[[#This Row],[Pessimistic]])/6,1),"")</f>
        <v/>
      </c>
      <c r="BY11" s="87"/>
      <c r="BZ11" s="87"/>
      <c r="CA11" s="22"/>
      <c r="CB11" s="43" t="n">
        <f aca="false">IF(Tasks[[#This Row],[Task Name]]="","",MAX(1,N(Tasks[[#This Row],[Level]])))</f>
        <v>2</v>
      </c>
      <c r="CC11" s="43" t="n">
        <f aca="false">ROW()-ROW(Tasks[[#Headers],[ID]])</f>
        <v>6</v>
      </c>
      <c r="CD11" s="43" t="n">
        <f aca="false">IF(OR(Tasks[[#This Row],[Task Name]]="",Tasks[[#This Row],[_Level]]&lt;=1),0,IFERROR(LOOKUP(2,1/(Tasks[[#Headers],[_Level]]:Tasks[[#This Row],[_Level]]=Tasks[[#This Row],[_Level]]-1),ROW(Tasks[[#Headers],[_Level]]:Tasks[[#This Row],[_Level]])),0))</f>
        <v>10</v>
      </c>
      <c r="CE11" s="43" t="n">
        <f aca="false">IFERROR(N(INDEX(Tasks[_Level],Tasks[[#This Row],[_Row]]+1)),0)</f>
        <v>2</v>
      </c>
      <c r="CF11" s="90" t="b">
        <f aca="false">AND(Tasks[[#This Row],[Task Name]]&lt;&gt;"",Tasks[[#This Row],[_NextLevel]]&gt;Tasks[[#This Row],[_Level]])</f>
        <v>0</v>
      </c>
      <c r="CG11" s="43" t="n">
        <f aca="false">IF(Tasks[[#This Row],[_IsSummary]],COUNTIF(Tasks[WBS],Tasks[[#This Row],[WBS]]&amp;".*"),0)</f>
        <v>0</v>
      </c>
      <c r="CH11" s="43" t="n">
        <f aca="false">IF(AND(Tasks[[#This Row],[Task Name]]&lt;&gt;"",NOT(Tasks[[#This Row],[_IsSummary]])),1,0)</f>
        <v>1</v>
      </c>
      <c r="CI11" s="43" t="n">
        <f aca="false">IF(N(Tasks[[#This Row],[_Pred1UID]])=0,0,IFERROR(MATCH(Tasks[[#This Row],[_Pred1UID]],Tasks[UID],0),-1))</f>
        <v>4</v>
      </c>
      <c r="CJ11" s="43" t="n">
        <f aca="false">IF(N(Tasks[[#This Row],[_Pred2UID]])=0,0,IFERROR(MATCH(Tasks[[#This Row],[_Pred2UID]],Tasks[UID],0),-1))</f>
        <v>0</v>
      </c>
      <c r="CK11" s="43" t="n">
        <f aca="false">IF(N(Tasks[[#This Row],[_Pred3UID]])=0,0,IFERROR(MATCH(Tasks[[#This Row],[_Pred3UID]],Tasks[UID],0),-1))</f>
        <v>0</v>
      </c>
      <c r="CL11" s="43" t="n">
        <f aca="false">IF(N(Tasks[[#This Row],[_Pred4UID]])=0,0,IFERROR(MATCH(Tasks[[#This Row],[_Pred4UID]],Tasks[UID],0),-1))</f>
        <v>0</v>
      </c>
      <c r="CM1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 s="91" t="n">
        <f aca="false">IF(OR(Tasks[[#This Row],[_ConstraintCode]]=2,Tasks[[#This Row],[_ConstraintCode]]=3,Tasks[[#This Row],[_ConstraintCode]]=4,Tasks[[#This Row],[_ConstraintCode]]=6),Tasks[[#This Row],[_ConstraintStart]],0)</f>
        <v>0</v>
      </c>
      <c r="CP11" s="91" t="n">
        <f aca="false">IF(OR(Tasks[[#This Row],[_ConstraintCode]]=2,Tasks[[#This Row],[_ConstraintCode]]=3,Tasks[[#This Row],[_ConstraintCode]]=5,Tasks[[#This Row],[_ConstraintCode]]=7),Tasks[[#This Row],[_ConstraintStart]],2958465)</f>
        <v>2958465</v>
      </c>
      <c r="CQ1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R11" s="91" t="n">
        <f aca="false">IF(NOT(Tasks[[#This Row],[_IsLeaf]]=1),"",IF(N(Tasks[[#This Row],[_Days]])&lt;=0,Tasks[[#This Row],[_LeafCalcStart]],WORKDAY.INTL(Tasks[[#This Row],[_LeafCalcStart]],Tasks[[#This Row],[_Days]]-1,WorkWeek,Holidays)))</f>
        <v>46288</v>
      </c>
      <c r="CS1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T11"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U11" s="43" t="str">
        <f aca="false">IF(Tasks[[#This Row],[_Predecessors]]="","",TRIM(MID(SUBSTITUTE(SUBSTITUTE(SUBSTITUTE(UPPER(Tasks[[#This Row],[_Predecessors]]),";",",")," ",""),",",REPT(" ",99)),1,99)))</f>
        <v>4</v>
      </c>
      <c r="CV11" s="43" t="n">
        <f aca="false">IF(Tasks[[#This Row],[_Pred1Text]]="","",IFERROR(VALUE(LEFT(Tasks[[#This Row],[_Pred1Text]],MIN(FIND("F",Tasks[[#This Row],[_Pred1Text]]&amp;"F"),FIND("S",Tasks[[#This Row],[_Pred1Text]]&amp;"S"),FIND("+",Tasks[[#This Row],[_Pred1Text]]&amp;"+"),FIND("-",Tasks[[#This Row],[_Pred1Text]]&amp;"-"))-1)),""))</f>
        <v>4</v>
      </c>
      <c r="CW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1" s="43" t="str">
        <f aca="false">IF(Tasks[[#This Row],[_Pred1Text]]="","",TRIM(MID(SUBSTITUTE(SUBSTITUTE(SUBSTITUTE(UPPER(Tasks[[#This Row],[_Predecessors]]),";",",")," ",""),",",REPT(" ",99)),100,99)))</f>
        <v/>
      </c>
      <c r="CZ11" s="43" t="str">
        <f aca="false">IF(Tasks[[#This Row],[_Pred2Text]]="","",IFERROR(VALUE(LEFT(Tasks[[#This Row],[_Pred2Text]],MIN(FIND("F",Tasks[[#This Row],[_Pred2Text]]&amp;"F"),FIND("S",Tasks[[#This Row],[_Pred2Text]]&amp;"S"),FIND("+",Tasks[[#This Row],[_Pred2Text]]&amp;"+"),FIND("-",Tasks[[#This Row],[_Pred2Text]]&amp;"-"))-1)),""))</f>
        <v/>
      </c>
      <c r="DA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3" t="str">
        <f aca="false">IF(Tasks[[#This Row],[_Pred2Text]]="","",TRIM(MID(SUBSTITUTE(SUBSTITUTE(SUBSTITUTE(UPPER(Tasks[[#This Row],[_Predecessors]]),";",",")," ",""),",",REPT(" ",99)),199,99)))</f>
        <v/>
      </c>
      <c r="DD11" s="43" t="str">
        <f aca="false">IF(Tasks[[#This Row],[_Pred3Text]]="","",IFERROR(VALUE(LEFT(Tasks[[#This Row],[_Pred3Text]],MIN(FIND("F",Tasks[[#This Row],[_Pred3Text]]&amp;"F"),FIND("S",Tasks[[#This Row],[_Pred3Text]]&amp;"S"),FIND("+",Tasks[[#This Row],[_Pred3Text]]&amp;"+"),FIND("-",Tasks[[#This Row],[_Pred3Text]]&amp;"-"))-1)),""))</f>
        <v/>
      </c>
      <c r="DE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3" t="str">
        <f aca="false">IF(Tasks[[#This Row],[_Pred3Text]]="","",TRIM(MID(SUBSTITUTE(SUBSTITUTE(SUBSTITUTE(UPPER(Tasks[[#This Row],[_Predecessors]]),";",",")," ",""),",",REPT(" ",99)),298,99)))</f>
        <v/>
      </c>
      <c r="DH11" s="43" t="str">
        <f aca="false">IF(Tasks[[#This Row],[_Pred4Text]]="","",IFERROR(VALUE(LEFT(Tasks[[#This Row],[_Pred4Text]],MIN(FIND("F",Tasks[[#This Row],[_Pred4Text]]&amp;"F"),FIND("S",Tasks[[#This Row],[_Pred4Text]]&amp;"S"),FIND("+",Tasks[[#This Row],[_Pred4Text]]&amp;"+"),FIND("-",Tasks[[#This Row],[_Pred4Text]]&amp;"-"))-1)),""))</f>
        <v/>
      </c>
      <c r="DI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3" t="str">
        <f aca="false">IF(OR(Tasks[[#This Row],[Task Name]]="",Tasks[[#This Row],[_Resources]]=""),"",TRIM(MID(SUBSTITUTE(Tasks[[#This Row],[_Resources]],",",REPT(" ",99)),1,99)))</f>
        <v>Morgan Patel</v>
      </c>
      <c r="DL11" s="43" t="str">
        <f aca="false">IF(Tasks[[#This Row],[_Res1Text]]="","",TRIM(MID(SUBSTITUTE(Tasks[[#This Row],[_Resources]],",",REPT(" ",99)),100,99)))</f>
        <v/>
      </c>
      <c r="DM11" s="43" t="str">
        <f aca="false">IF(Tasks[[#This Row],[_Res2Text]]="","",TRIM(MID(SUBSTITUTE(Tasks[[#This Row],[_Resources]],",",REPT(" ",99)),199,99)))</f>
        <v/>
      </c>
      <c r="DN11" s="43" t="str">
        <f aca="false">IF(Tasks[[#This Row],[_Res3Text]]="","",TRIM(MID(SUBSTITUTE(Tasks[[#This Row],[_Resources]],",",REPT(" ",99)),298,99)))</f>
        <v/>
      </c>
      <c r="DO11" s="43" t="n">
        <f aca="false">IF(Tasks[[#This Row],[_Res1Text]]="",0,IFERROR(MATCH(TRIM(LEFT(Tasks[[#This Row],[_Res1Text]],FIND("[",Tasks[[#This Row],[_Res1Text]]&amp;"[")-1)),res_Name,0),IFERROR(MATCH(TRIM(LEFT(Tasks[[#This Row],[_Res1Text]],FIND("[",Tasks[[#This Row],[_Res1Text]]&amp;"[")-1)),res_Initials,0),0)))</f>
        <v>2</v>
      </c>
      <c r="DP11" s="43" t="n">
        <f aca="false">IF(Tasks[[#This Row],[_Res2Text]]="",0,IFERROR(MATCH(TRIM(LEFT(Tasks[[#This Row],[_Res2Text]],FIND("[",Tasks[[#This Row],[_Res2Text]]&amp;"[")-1)),res_Name,0),IFERROR(MATCH(TRIM(LEFT(Tasks[[#This Row],[_Res2Text]],FIND("[",Tasks[[#This Row],[_Res2Text]]&amp;"[")-1)),res_Initials,0),0)))</f>
        <v>0</v>
      </c>
      <c r="DQ11" s="43" t="n">
        <f aca="false">IF(Tasks[[#This Row],[_Res3Text]]="",0,IFERROR(MATCH(TRIM(LEFT(Tasks[[#This Row],[_Res3Text]],FIND("[",Tasks[[#This Row],[_Res3Text]]&amp;"[")-1)),res_Name,0),IFERROR(MATCH(TRIM(LEFT(Tasks[[#This Row],[_Res3Text]],FIND("[",Tasks[[#This Row],[_Res3Text]]&amp;"[")-1)),res_Initials,0),0)))</f>
        <v>0</v>
      </c>
      <c r="DR11" s="43" t="n">
        <f aca="false">IF(Tasks[[#This Row],[_Res4Text]]="",0,IFERROR(MATCH(TRIM(LEFT(Tasks[[#This Row],[_Res4Text]],FIND("[",Tasks[[#This Row],[_Res4Text]]&amp;"[")-1)),res_Name,0),IFERROR(MATCH(TRIM(LEFT(Tasks[[#This Row],[_Res4Text]],FIND("[",Tasks[[#This Row],[_Res4Text]]&amp;"[")-1)),res_Initials,0),0)))</f>
        <v>0</v>
      </c>
      <c r="DS11" s="43" t="str">
        <f aca="false">IF(Tasks[[#This Row],[_Res1Text]]="","",IF(Tasks[[#This Row],[_Res1Row]]&gt;0,INDEX(res_Name,Tasks[[#This Row],[_Res1Row]]),TRIM(LEFT(Tasks[[#This Row],[_Res1Text]],FIND("[",Tasks[[#This Row],[_Res1Text]]&amp;"[")-1))))</f>
        <v>Morgan Patel</v>
      </c>
      <c r="DT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3" t="n">
        <f aca="false">IF(NOT(Tasks[[#This Row],[_IsLeaf]]=1),0,(Tasks[[#This Row],[_Resource1]]&lt;&gt;"")+(Tasks[[#This Row],[_Res2]]&lt;&gt;"")+(Tasks[[#This Row],[_Res3]]&lt;&gt;"")+(Tasks[[#This Row],[_Res4]]&lt;&gt;""))</f>
        <v>1</v>
      </c>
      <c r="DV11" s="43" t="str">
        <f aca="false">IF(Tasks[[#This Row],[_Res2Text]]="","",IF(Tasks[[#This Row],[_Res2Row]]&gt;0,INDEX(res_Name,Tasks[[#This Row],[_Res2Row]]),TRIM(LEFT(Tasks[[#This Row],[_Res2Text]],FIND("[",Tasks[[#This Row],[_Res2Text]]&amp;"[")-1))))</f>
        <v/>
      </c>
      <c r="DW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3" t="n">
        <f aca="false">IF(OR(NOT(Tasks[[#This Row],[_IsLeaf]]=1),Tasks[[#This Row],[_Res2Row]]=0),0,N(Tasks[[#This Row],[_Days]])*HoursPerDay*IF(Tasks[[#This Row],[_Res2Units]]="",DefaultUnits,Tasks[[#This Row],[_Res2Units]]))</f>
        <v>0</v>
      </c>
      <c r="DY11" s="43" t="n">
        <f aca="false">IF(AND(AND(Tasks[[#This Row],[_IsLeaf]]=1,Tasks[[#This Row],[_LeafTotalWork]]&gt;0),Tasks[[#This Row],[_Res2Work]]&gt;0),Tasks[[#This Row],[_Res2Work]]/(Tasks[[#This Row],[_FinishWorkday]]-Tasks[[#This Row],[_StartWorkday]]+1),0)</f>
        <v>0</v>
      </c>
      <c r="DZ11" s="43" t="n">
        <f aca="false">Tasks[[#This Row],[_Res2WorkPerWD]]*MAX(0,Tasks[[#This Row],[_StartWorkday]]-1)</f>
        <v>0</v>
      </c>
      <c r="EA11" s="43" t="n">
        <f aca="false">Tasks[[#This Row],[_Res2Work]]*Tasks[[#This Row],[_LeafProgress]]</f>
        <v>0</v>
      </c>
      <c r="EB11" s="43" t="str">
        <f aca="false">IF(Tasks[[#This Row],[_Res3Text]]="","",IF(Tasks[[#This Row],[_Res3Row]]&gt;0,INDEX(res_Name,Tasks[[#This Row],[_Res3Row]]),TRIM(LEFT(Tasks[[#This Row],[_Res3Text]],FIND("[",Tasks[[#This Row],[_Res3Text]]&amp;"[")-1))))</f>
        <v/>
      </c>
      <c r="EC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3" t="n">
        <f aca="false">IF(OR(NOT(Tasks[[#This Row],[_IsLeaf]]=1),Tasks[[#This Row],[_Res3Row]]=0),0,N(Tasks[[#This Row],[_Days]])*HoursPerDay*IF(Tasks[[#This Row],[_Res3Units]]="",DefaultUnits,Tasks[[#This Row],[_Res3Units]]))</f>
        <v>0</v>
      </c>
      <c r="EE11" s="43" t="n">
        <f aca="false">IF(AND(AND(Tasks[[#This Row],[_IsLeaf]]=1,Tasks[[#This Row],[_LeafTotalWork]]&gt;0),Tasks[[#This Row],[_Res3Work]]&gt;0),Tasks[[#This Row],[_Res3Work]]/(Tasks[[#This Row],[_FinishWorkday]]-Tasks[[#This Row],[_StartWorkday]]+1),0)</f>
        <v>0</v>
      </c>
      <c r="EF11" s="43" t="n">
        <f aca="false">Tasks[[#This Row],[_Res3WorkPerWD]]*MAX(0,Tasks[[#This Row],[_StartWorkday]]-1)</f>
        <v>0</v>
      </c>
      <c r="EG11" s="43" t="n">
        <f aca="false">Tasks[[#This Row],[_Res3Work]]*Tasks[[#This Row],[_LeafProgress]]</f>
        <v>0</v>
      </c>
      <c r="EH11" s="43" t="str">
        <f aca="false">IF(Tasks[[#This Row],[_Res4Text]]="","",IF(Tasks[[#This Row],[_Res4Row]]&gt;0,INDEX(res_Name,Tasks[[#This Row],[_Res4Row]]),TRIM(LEFT(Tasks[[#This Row],[_Res4Text]],FIND("[",Tasks[[#This Row],[_Res4Text]]&amp;"[")-1))))</f>
        <v/>
      </c>
      <c r="EI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3" t="n">
        <f aca="false">IF(OR(NOT(Tasks[[#This Row],[_IsLeaf]]=1),Tasks[[#This Row],[_Res4Row]]=0),0,N(Tasks[[#This Row],[_Days]])*HoursPerDay*IF(Tasks[[#This Row],[_Res4Units]]="",DefaultUnits,Tasks[[#This Row],[_Res4Units]]))</f>
        <v>0</v>
      </c>
      <c r="EK11" s="43" t="n">
        <f aca="false">IF(AND(AND(Tasks[[#This Row],[_IsLeaf]]=1,Tasks[[#This Row],[_LeafTotalWork]]&gt;0),Tasks[[#This Row],[_Res4Work]]&gt;0),Tasks[[#This Row],[_Res4Work]]/(Tasks[[#This Row],[_FinishWorkday]]-Tasks[[#This Row],[_StartWorkday]]+1),0)</f>
        <v>0</v>
      </c>
      <c r="EL11" s="43" t="n">
        <f aca="false">Tasks[[#This Row],[_Res4WorkPerWD]]*MAX(0,Tasks[[#This Row],[_StartWorkday]]-1)</f>
        <v>0</v>
      </c>
      <c r="EM11" s="43" t="n">
        <f aca="false">Tasks[[#This Row],[_Res4Work]]*Tasks[[#This Row],[_LeafProgress]]</f>
        <v>0</v>
      </c>
      <c r="EN11" s="94" t="n">
        <f aca="false">IF(ISNUMBER(Tasks[[#This Row],[% Complete]]),Tasks[[#This Row],[% Complete]],IF(Tasks[[#This Row],[Stage]]="",0,IFERROR(INDEX(stg_Pct,MATCH(Tasks[[#This Row],[Stage]],stg_Name,0)),0)))</f>
        <v>1</v>
      </c>
      <c r="EO11" s="43" t="n">
        <f aca="false">IF(NOT(Tasks[[#This Row],[_IsLeaf]]=1),0,IF(N(Tasks[[#This Row],[Actual Finish]])&gt;0,1,MIN(1,Tasks[[#This Row],[_Pct]])))</f>
        <v>1</v>
      </c>
      <c r="EP11" s="43" t="n">
        <f aca="false">IF(OR(NOT(Tasks[[#This Row],[_IsLeaf]]=1),Tasks[[#This Row],[_Res1Row]]=0),0,N(Tasks[[#This Row],[_Days]])*HoursPerDay*IF(Tasks[[#This Row],[_Units1]]="",DefaultUnits,Tasks[[#This Row],[_Units1]]))</f>
        <v>64</v>
      </c>
      <c r="EQ11" s="43" t="n">
        <f aca="false">Tasks[[#This Row],[_LeafWork]]+Tasks[[#This Row],[_Res2Work]]+Tasks[[#This Row],[_Res3Work]]+Tasks[[#This Row],[_Res4Work]]</f>
        <v>64</v>
      </c>
      <c r="ER11"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3" t="n">
        <f aca="false">IF(NOT(Tasks[[#This Row],[_IsLeaf]]=1),0,MAX(_xlfn.MAXIFS(Tasks[_Row],Tasks[_Pred1UID],Tasks[[#This Row],[UID]]),_xlfn.MAXIFS(Tasks[_Row],Tasks[_Pred2UID],Tasks[[#This Row],[UID]]),_xlfn.MAXIFS(Tasks[_Row],Tasks[_Pred3UID],Tasks[[#This Row],[UID]]),_xlfn.MAXIFS(Tasks[_Row],Tasks[_Pred4UID],Tasks[[#This Row],[UID]])))</f>
        <v>7</v>
      </c>
      <c r="FA1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FB11"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FC11" s="91" t="n">
        <f aca="false">IF(NOT(Tasks[[#This Row],[_IsLeaf]]=1),"",IF(N(Tasks[[#This Row],[_Days]])&lt;=0,Tasks[[#This Row],[_LeafLateFinish]],WORKDAY.INTL(Tasks[[#This Row],[_LeafLateFinish]],-(Tasks[[#This Row],[_Days]]-1),WorkWeek,Holidays)))</f>
        <v>46283</v>
      </c>
      <c r="FD1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FE11" s="90" t="b">
        <f aca="false">AND(Tasks[[#This Row],[_IsLeaf]]=1,Tasks[[#This Row],[_LeafProgress]]&lt;1,N(Tasks[[#This Row],[_LeafTotalSlack]])&lt;=CriticalSlackDays)</f>
        <v>0</v>
      </c>
      <c r="FF11" s="43" t="n">
        <f aca="false">IF(AND(Tasks[[#This Row],[_IsLeaf]]=1,Tasks[[#This Row],[_ConstraintCode]]=1,Tasks[[#This Row],[Mode]]&lt;&gt;"Manual",N(Tasks[[#This Row],[Actual Start]])=0),MAX(0,N(Tasks[[#This Row],[Free Slack]])),0)</f>
        <v>0</v>
      </c>
      <c r="FG11" s="91" t="n">
        <f aca="false">IF(NOT(Tasks[[#This Row],[_IsLeaf]]=1),"",IF(Tasks[[#This Row],[_AlapShift]]=0,Tasks[[#This Row],[_LeafCalcStart]],WORKDAY.INTL(Tasks[[#This Row],[_LeafCalcStart]],Tasks[[#This Row],[_AlapShift]],WorkWeek,Holidays)))</f>
        <v>46279</v>
      </c>
      <c r="FH11" s="91" t="n">
        <f aca="false">IF(NOT(Tasks[[#This Row],[_IsLeaf]]=1),"",IF(Tasks[[#This Row],[_AlapShift]]=0,Tasks[[#This Row],[_LeafCalcFinish]],WORKDAY.INTL(Tasks[[#This Row],[_LeafCalcFinish]],Tasks[[#This Row],[_AlapShift]],WorkWeek,Holidays)))</f>
        <v>46288</v>
      </c>
      <c r="FI11" s="91" t="n">
        <f aca="false">IF(NOT(Tasks[[#This Row],[_IsLeaf]]=1),"",IF(Tasks[[#This Row],[_AlapShift]]=0,Tasks[[#This Row],[_LeafFcstStart]],WORKDAY.INTL(Tasks[[#This Row],[_LeafFcstStart]],Tasks[[#This Row],[_AlapShift]],WorkWeek,Holidays)))</f>
        <v>46280</v>
      </c>
      <c r="FJ11" s="91" t="n">
        <f aca="false">IF(NOT(Tasks[[#This Row],[_IsLeaf]]=1),"",IF(Tasks[[#This Row],[_AlapShift]]=0,Tasks[[#This Row],[_LeafFcstFinish]],WORKDAY.INTL(Tasks[[#This Row],[_LeafFcstFinish]],Tasks[[#This Row],[_AlapShift]],WorkWeek,Holidays)))</f>
        <v>46290</v>
      </c>
      <c r="FK11" s="91" t="n">
        <f aca="false">IF(Tasks[[#This Row],[Task Name]]="","",IF(Tasks[[#This Row],[_IsSummary]],MIN(INDEX(Tasks[_ShownCalcStart],Tasks[[#This Row],[_Row]]+1):INDEX(Tasks[_ShownCalcStart],Tasks[[#This Row],[_Row]]+Tasks[[#This Row],[_Descendants]])),Tasks[[#This Row],[_ShownCalcStart]]))</f>
        <v>46279</v>
      </c>
      <c r="FL11" s="91" t="n">
        <f aca="false">IF(Tasks[[#This Row],[Task Name]]="","",IF(Tasks[[#This Row],[_IsSummary]],MAX(INDEX(Tasks[_ShownCalcFinish],Tasks[[#This Row],[_Row]]+1):INDEX(Tasks[_ShownCalcFinish],Tasks[[#This Row],[_Row]]+Tasks[[#This Row],[_Descendants]])),Tasks[[#This Row],[_ShownCalcFinish]]))</f>
        <v>46288</v>
      </c>
      <c r="FM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R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V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 s="43" t="n">
        <f aca="false">IF(AND(Tasks[[#This Row],[_IsLeaf]]=1,Tasks[[#This Row],[_LeafTotalWork]]&gt;0),NETWORKDAYS.INTL(ProjectStart,Tasks[[#This Row],[_ShownFcstStart]],WorkWeek,Holidays),0)</f>
        <v>7</v>
      </c>
      <c r="FZ11" s="43" t="n">
        <f aca="false">IF(AND(Tasks[[#This Row],[_IsLeaf]]=1,Tasks[[#This Row],[_LeafTotalWork]]&gt;0),MAX(Tasks[[#This Row],[_StartWorkday]],NETWORKDAYS.INTL(ProjectStart,Tasks[[#This Row],[_ShownFcstFinish]],WorkWeek,Holidays)),0)</f>
        <v>15</v>
      </c>
      <c r="GA11" s="43" t="n">
        <f aca="false">IF(AND(Tasks[[#This Row],[_IsLeaf]]=1,Tasks[[#This Row],[_LeafTotalWork]]&gt;0),Tasks[[#This Row],[_LeafWork]]/(Tasks[[#This Row],[_FinishWorkday]]-Tasks[[#This Row],[_StartWorkday]]+1),0)</f>
        <v>7.11111111111111</v>
      </c>
      <c r="GB11" s="43" t="n">
        <f aca="false">Tasks[[#This Row],[_WorkPerWorkday]]*(Tasks[[#This Row],[_StartWorkday]]-1)</f>
        <v>42.6666666666667</v>
      </c>
      <c r="GC11" s="43" t="n">
        <f aca="false">IF(Tasks[[#This Row],[_IsLeaf]]=1,MAX(N(Tasks[[#This Row],[_Days]]),0.1),0)</f>
        <v>8</v>
      </c>
      <c r="GD11" s="43" t="n">
        <f aca="false">Tasks[[#This Row],[_WeightDur]]*Tasks[[#This Row],[_LeafProgress]]</f>
        <v>8</v>
      </c>
      <c r="GE11" s="43" t="n">
        <f aca="false">Tasks[[#This Row],[_WeightDur]]*Tasks[[#This Row],[_PlannedPct]]</f>
        <v>8</v>
      </c>
      <c r="GF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GG11" s="43" t="str">
        <f aca="false">IF(AND(Tasks[[#This Row],[_IsLeaf]]=1,N(Tasks[[#This Row],[_Days]])=0,Tasks[[#This Row],[_LeafProgress]]&lt;1),Tasks[[#This Row],[_ShownFcstFinish]]+Tasks[[#This Row],[_Row]]/100000,"")</f>
        <v/>
      </c>
      <c r="GH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1" s="43" t="str">
        <f aca="false">IF(Tasks[[#This Row],[Task Name]]="","",LEFT(Tasks[[#This Row],[WBS]],FIND(".",Tasks[[#This Row],[WBS]]&amp;".")-1))</f>
        <v>2</v>
      </c>
      <c r="GJ11" s="43" t="str">
        <f aca="false">IF(AND(Tasks[[#This Row],[Task Name]]&lt;&gt;"",Tasks[[#This Row],[_Level]]=1),Tasks[[#This Row],[_Row]],"")</f>
        <v/>
      </c>
      <c r="GK11" s="43" t="str">
        <f aca="false">IF(AND(Tasks[[#This Row],[_IsLeaf]]=1,N(Tasks[[#This Row],[_Days]])=0),Tasks[[#This Row],[Planned Finish]]+Tasks[[#This Row],[_Row]]/100000,"")</f>
        <v/>
      </c>
      <c r="GL11" s="43" t="str">
        <f aca="false">IF(AND(Tasks[[#This Row],[_IsLeaf]]=1,Tasks[[#This Row],[_LeafProgress]]&lt;1,OR(N(Tasks[[#This Row],[Finish Var]])&gt;0,Tasks[[#This Row],[Status]]="Late Start")),MAX(0,Tasks[[#This Row],[Finish Var]])+1-Tasks[[#This Row],[_Row]]/1000000,"")</f>
        <v/>
      </c>
      <c r="GM11" s="43" t="str">
        <f aca="false">IF(AND(Tasks[[#This Row],[_IsLeaf]]=1,N(Tasks[[#This Row],[Actual Start]])=0,Tasks[[#This Row],[_ShownFcstStart]]&gt;=StatusDate,Tasks[[#This Row],[_ShownFcstStart]]&lt;=LookaheadEnd),Tasks[[#This Row],[_ShownFcstStart]]+Tasks[[#This Row],[_Row]]/100000,"")</f>
        <v/>
      </c>
      <c r="GN11" s="43" t="str">
        <f aca="false">IF(AND(Tasks[[#This Row],[_IsLeaf]]=1,Tasks[[#This Row],[_LeafProgress]]&lt;1,Tasks[[#This Row],[_ShownFcstFinish]]&gt;=StatusDate,Tasks[[#This Row],[_ShownFcstFinish]]&lt;=LookaheadEnd),Tasks[[#This Row],[_ShownFcstFinish]]+Tasks[[#This Row],[_Row]]/100000,"")</f>
        <v/>
      </c>
      <c r="GO11" s="43" t="str">
        <f aca="false">IF(Tasks[[#This Row],[_LeafCritical]],Tasks[[#This Row],[_ShownFcstStart]]+Tasks[[#This Row],[_Row]]/100000,"")</f>
        <v/>
      </c>
      <c r="GP11" s="43" t="n">
        <f aca="false">Tasks[[#This Row],[_LeafWork]]*Tasks[[#This Row],[_LeafProgress]]</f>
        <v>64</v>
      </c>
      <c r="GQ11" s="91" t="n">
        <f aca="false">IF(AND(Tasks[[#This Row],[_IsLeaf]]=1,Tasks[[#This Row],[_LeafProgress]]&gt;=1),IF(N(Tasks[[#This Row],[Actual Finish]])&gt;0,Tasks[[#This Row],[Actual Finish]],Tasks[[#This Row],[_ShownFcstFinish]]),"")</f>
        <v>46290</v>
      </c>
      <c r="GR11" s="43" t="n">
        <f aca="false">IF(Tasks[[#This Row],[_IsLeaf]]=1,N(Tasks[[#This Row],[Story Points]]),0)</f>
        <v>0</v>
      </c>
      <c r="GS11" s="43" t="str">
        <f aca="false">""</f>
        <v/>
      </c>
      <c r="GT11" s="90" t="b">
        <f aca="false">IF(Tasks[[#This Row],[Task Name]]="",FALSE(),AND(Tasks[[#This Row],[_IsLeaf]]=1,N(Tasks[[#This Row],[_Days]])=0))</f>
        <v>0</v>
      </c>
      <c r="GU11" s="91" t="n">
        <f aca="false">IF(Tasks[[#This Row],[Task Name]]="",0,IF(AND(Tasks[[#This Row],[_IsLeaf]]=1,NOT(Tasks[[#This Row],[_IsMilestone]]),N(Tasks[[#This Row],[Progress]])&gt;0),Tasks[[#This Row],[Start]],0))</f>
        <v>46280</v>
      </c>
      <c r="GV11" s="91" t="n">
        <f aca="false">IF(Tasks[[#This Row],[_DoneFrom]]=0,0,IF(Tasks[[#This Row],[Progress]]&gt;=1,Tasks[[#This Row],[Finish]],MAX(Tasks[[#This Row],[_DoneFrom]],Tasks[[#This Row],[Start]]+ROUND((Tasks[[#This Row],[Finish]]-Tasks[[#This Row],[Start]]+1)*Tasks[[#This Row],[Progress]],0)-1)))</f>
        <v>46290</v>
      </c>
      <c r="GW11" s="91" t="n">
        <f aca="false">IF(Tasks[[#This Row],[Task Name]]="",0,IF(OR(NOT(Tasks[[#This Row],[_IsLeaf]]=1),Tasks[[#This Row],[_IsMilestone]],N(Tasks[[#This Row],[Progress]])&gt;=1),0,IF(Tasks[[#This Row],[_DoneTo]]&gt;0,Tasks[[#This Row],[_DoneTo]]+1,Tasks[[#This Row],[Start]])))</f>
        <v>0</v>
      </c>
      <c r="GX11" s="91" t="n">
        <f aca="false">IF(Tasks[[#This Row],[_RemFrom]]=0,0,Tasks[[#This Row],[Finish]])</f>
        <v>0</v>
      </c>
      <c r="GY11" s="90" t="b">
        <f aca="false">IF(Tasks[[#This Row],[Task Name]]="",FALSE(),OR(NOT(BaselineSet),N(Tasks[[#This Row],[Baseline Start]])&gt;0))</f>
        <v>1</v>
      </c>
      <c r="GZ11"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HA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HB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11" s="92" t="n">
        <f aca="false">IF(Tasks[[#This Row],[_IsLeaf]]=1,Tasks[[#This Row],[_Row]],"")</f>
        <v>6</v>
      </c>
      <c r="HD11" s="92" t="str">
        <f aca="false">IFERROR(INDEX(Tasks[UID],SMALL(Tasks[_PickKey],Tasks[[#This Row],[_Row]]))&amp;" "&amp;INDEX(Tasks[Task Name],SMALL(Tasks[_PickKey],Tasks[[#This Row],[_Row]])),"")</f>
        <v>9 Design sign-off</v>
      </c>
      <c r="HE11" s="43" t="n">
        <f aca="false">IF(Tasks[[#This Row],[Task Name]]="","",IF(Tasks[[#This Row],[_IsSummary]],NETWORKDAYS.INTL(Tasks[[#This Row],[Start]],Tasks[[#This Row],[Finish]],WorkWeek,Holidays),N(Tasks[[#This Row],[_Days]])))</f>
        <v>8</v>
      </c>
      <c r="HF11" s="43" t="n">
        <f aca="false">IF(Tasks[[#This Row],[Expected]]="",0,((Tasks[[#This Row],[Pessimistic]]-Tasks[[#This Row],[Optimistic]])/6)^2)</f>
        <v>0</v>
      </c>
      <c r="HG11" s="43" t="n">
        <f aca="false">IF(Tasks[[#This Row],[Expected]]="",0,Tasks[[#This Row],[Expected]]-N(Tasks[[#This Row],[_Days]]))</f>
        <v>0</v>
      </c>
    </row>
    <row r="12" customFormat="false" ht="15" hidden="false" customHeight="false" outlineLevel="1" collapsed="false">
      <c r="A12" s="21" t="n">
        <f aca="false">IF(Tasks[[#This Row],[Task Name]]="","",COUNTA(Tasks[[#Headers],[Task Name]]:Tasks[[#This Row],[Task Name]])-1)</f>
        <v>7</v>
      </c>
      <c r="B12" s="22" t="n">
        <v>8</v>
      </c>
      <c r="C12" s="22" t="n">
        <v>2</v>
      </c>
      <c r="D12" s="93" t="s">
        <v>650</v>
      </c>
      <c r="E12" s="22" t="n">
        <v>6</v>
      </c>
      <c r="F12" s="23" t="n">
        <v>6</v>
      </c>
      <c r="G12" s="22"/>
      <c r="H12" s="22"/>
      <c r="I12" s="23"/>
      <c r="J12" s="22"/>
      <c r="K12" s="22"/>
      <c r="L12" s="23"/>
      <c r="M12" s="22"/>
      <c r="N12" s="22"/>
      <c r="O12" s="23"/>
      <c r="P12" s="22"/>
      <c r="Q12" s="22"/>
      <c r="R12" s="23"/>
      <c r="S12" s="23" t="s">
        <v>651</v>
      </c>
      <c r="T12" s="84"/>
      <c r="U12" s="23"/>
      <c r="V12" s="84"/>
      <c r="W12" s="23"/>
      <c r="X12" s="84"/>
      <c r="Y12" s="23"/>
      <c r="Z12" s="84"/>
      <c r="AA12" s="23"/>
      <c r="AB12" s="23" t="s">
        <v>150</v>
      </c>
      <c r="AC12" s="7" t="n">
        <v>46293</v>
      </c>
      <c r="AD12" s="7" t="n">
        <v>46301</v>
      </c>
      <c r="AE12" s="63" t="n">
        <f aca="false">IF(Tasks[[#This Row],[Task Name]]="","",IF(Tasks[[#This Row],[_IsSummary]],MIN(INDEX(Tasks[_ShownFcstStart],Tasks[[#This Row],[_Row]]+1):INDEX(Tasks[_ShownFcstStart],Tasks[[#This Row],[_Row]]+Tasks[[#This Row],[_Descendants]])),Tasks[[#This Row],[_ShownFcstStart]]))</f>
        <v>46293</v>
      </c>
      <c r="AF12" s="63"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 s="7"/>
      <c r="AK12" s="22" t="s">
        <v>248</v>
      </c>
      <c r="AL12" s="23"/>
      <c r="AM12" s="7"/>
      <c r="AN12" s="47"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3" t="n">
        <f aca="false">IF(Tasks[[#This Row],[Task Name]]="","",IF(N(Tasks[[#This Row],[Baseline Start]])&gt;0,Tasks[[#This Row],[Baseline Start]],Tasks[[#This Row],[_CalcStart]]))</f>
        <v>46289</v>
      </c>
      <c r="AR12" s="63" t="n">
        <f aca="false">IF(Tasks[[#This Row],[Task Name]]="","",IF(N(Tasks[[#This Row],[Baseline Finish]])&gt;0,Tasks[[#This Row],[Baseline Finish]],Tasks[[#This Row],[_CalcFinish]]))</f>
        <v>46296</v>
      </c>
      <c r="AS12" s="47" t="n">
        <f aca="false">IF(Tasks[[#This Row],[Task Name]]="","",IF(Tasks[[#This Row],[Start]]&gt;=Tasks[[#This Row],[Planned Start]],NETWORKDAYS.INTL(Tasks[[#This Row],[Planned Start]],Tasks[[#This Row],[Start]],WorkWeek,Holidays)-1,1-NETWORKDAYS.INTL(Tasks[[#This Row],[Start]],Tasks[[#This Row],[Planned Start]],WorkWeek,Holidays)))</f>
        <v>2</v>
      </c>
      <c r="AT12" s="63" t="n">
        <f aca="false">IF(Tasks[[#This Row],[Task Name]]="","",IF(Tasks[[#This Row],[_IsSummary]],MIN(INDEX(Tasks[_LeafLateStart],Tasks[[#This Row],[_Row]]+1):INDEX(Tasks[_LeafLateStart],Tasks[[#This Row],[_Row]]+Tasks[[#This Row],[_Descendants]])),Tasks[[#This Row],[_LeafLateStart]]))</f>
        <v>46295</v>
      </c>
      <c r="AU12" s="63" t="n">
        <f aca="false">IF(Tasks[[#This Row],[Task Name]]="","",IF(Tasks[[#This Row],[_IsSummary]],MAX(INDEX(Tasks[_LeafLateFinish],Tasks[[#This Row],[_Row]]+1):INDEX(Tasks[_LeafLateFinish],Tasks[[#This Row],[_Row]]+Tasks[[#This Row],[_Descendants]])),Tasks[[#This Row],[_LeafLateFinish]]))</f>
        <v>46302</v>
      </c>
      <c r="AV12" s="47"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5"/>
      <c r="BA12"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6"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7"/>
      <c r="BJ12" s="22"/>
      <c r="BK12" s="47" t="n">
        <f aca="false">IF(OR(Tasks[[#This Row],[Task Name]]="",Tasks[[#This Row],[Baseline Duration]]=""),"",Tasks[[#This Row],[_SpanDays]]-N(Tasks[[#This Row],[Baseline Duration]]))</f>
        <v>0</v>
      </c>
      <c r="BL12" s="86" t="n">
        <f aca="false">IF(OR(Tasks[[#This Row],[Task Name]]="",Tasks[[#This Row],[Baseline Work]]=""),"",Tasks[[#This Row],[Work]]-N(Tasks[[#This Row],[Baseline Work]]))</f>
        <v>0</v>
      </c>
      <c r="BM12" s="63" t="n">
        <f aca="false">IF(Tasks[[#This Row],[Task Name]]="","",IF(OR(TakeBaseline="Yes",N(Tasks[[#This Row],[Baseline Start]])=0),Tasks[[#This Row],[Start]],Tasks[[#This Row],[Baseline Start]]))</f>
        <v>46289</v>
      </c>
      <c r="BN12" s="63" t="n">
        <f aca="false">IF(Tasks[[#This Row],[Task Name]]="","",IF(OR(TakeBaseline="Yes",N(Tasks[[#This Row],[Baseline Finish]])=0),Tasks[[#This Row],[Finish]],Tasks[[#This Row],[Baseline Finish]]))</f>
        <v>46296</v>
      </c>
      <c r="BO12" s="21" t="n">
        <f aca="false">IF(Tasks[[#This Row],[Task Name]]="","",IF(OR(TakeBaseline="Yes",N(Tasks[[#This Row],[Baseline Duration]])=0),Tasks[[#This Row],[_SpanDays]],Tasks[[#This Row],[Baseline Duration]]))</f>
        <v>6</v>
      </c>
      <c r="BP12" s="86" t="n">
        <f aca="false">IF(Tasks[[#This Row],[Task Name]]="","",IF(OR(TakeBaseline="Yes",N(Tasks[[#This Row],[Baseline Work]])=0),Tasks[[#This Row],[Work]],Tasks[[#This Row],[Baseline Work]]))</f>
        <v>48</v>
      </c>
      <c r="BQ12" s="7" t="n">
        <v>46289</v>
      </c>
      <c r="BR12" s="7" t="n">
        <v>46296</v>
      </c>
      <c r="BS12" s="22" t="n">
        <v>6</v>
      </c>
      <c r="BT12" s="88" t="n">
        <v>48</v>
      </c>
      <c r="BU12" s="23"/>
      <c r="BV12" s="23"/>
      <c r="BW12" s="23"/>
      <c r="BX12" s="89" t="str">
        <f aca="false">IF(AND(Tasks[[#This Row],[_IsLeaf]]=1,ISNUMBER(Tasks[[#This Row],[Optimistic]]),ISNUMBER(Tasks[[#This Row],[Pessimistic]])),ROUND((Tasks[[#This Row],[Optimistic]]+4*N(Tasks[[#This Row],[_Days]])+Tasks[[#This Row],[Pessimistic]])/6,1),"")</f>
        <v/>
      </c>
      <c r="BY12" s="87"/>
      <c r="BZ12" s="87"/>
      <c r="CA12" s="22"/>
      <c r="CB12" s="43" t="n">
        <f aca="false">IF(Tasks[[#This Row],[Task Name]]="","",MAX(1,N(Tasks[[#This Row],[Level]])))</f>
        <v>2</v>
      </c>
      <c r="CC12" s="43" t="n">
        <f aca="false">ROW()-ROW(Tasks[[#Headers],[ID]])</f>
        <v>7</v>
      </c>
      <c r="CD12" s="43" t="n">
        <f aca="false">IF(OR(Tasks[[#This Row],[Task Name]]="",Tasks[[#This Row],[_Level]]&lt;=1),0,IFERROR(LOOKUP(2,1/(Tasks[[#Headers],[_Level]]:Tasks[[#This Row],[_Level]]=Tasks[[#This Row],[_Level]]-1),ROW(Tasks[[#Headers],[_Level]]:Tasks[[#This Row],[_Level]])),0))</f>
        <v>10</v>
      </c>
      <c r="CE12" s="43" t="n">
        <f aca="false">IFERROR(N(INDEX(Tasks[_Level],Tasks[[#This Row],[_Row]]+1)),0)</f>
        <v>2</v>
      </c>
      <c r="CF12" s="90" t="b">
        <f aca="false">AND(Tasks[[#This Row],[Task Name]]&lt;&gt;"",Tasks[[#This Row],[_NextLevel]]&gt;Tasks[[#This Row],[_Level]])</f>
        <v>0</v>
      </c>
      <c r="CG12" s="43" t="n">
        <f aca="false">IF(Tasks[[#This Row],[_IsSummary]],COUNTIF(Tasks[WBS],Tasks[[#This Row],[WBS]]&amp;".*"),0)</f>
        <v>0</v>
      </c>
      <c r="CH12" s="43" t="n">
        <f aca="false">IF(AND(Tasks[[#This Row],[Task Name]]&lt;&gt;"",NOT(Tasks[[#This Row],[_IsSummary]])),1,0)</f>
        <v>1</v>
      </c>
      <c r="CI12" s="43" t="n">
        <f aca="false">IF(N(Tasks[[#This Row],[_Pred1UID]])=0,0,IFERROR(MATCH(Tasks[[#This Row],[_Pred1UID]],Tasks[UID],0),-1))</f>
        <v>6</v>
      </c>
      <c r="CJ12" s="43" t="n">
        <f aca="false">IF(N(Tasks[[#This Row],[_Pred2UID]])=0,0,IFERROR(MATCH(Tasks[[#This Row],[_Pred2UID]],Tasks[UID],0),-1))</f>
        <v>0</v>
      </c>
      <c r="CK12" s="43" t="n">
        <f aca="false">IF(N(Tasks[[#This Row],[_Pred3UID]])=0,0,IFERROR(MATCH(Tasks[[#This Row],[_Pred3UID]],Tasks[UID],0),-1))</f>
        <v>0</v>
      </c>
      <c r="CL12" s="43" t="n">
        <f aca="false">IF(N(Tasks[[#This Row],[_Pred4UID]])=0,0,IFERROR(MATCH(Tasks[[#This Row],[_Pred4UID]],Tasks[UID],0),-1))</f>
        <v>0</v>
      </c>
      <c r="CM12"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 s="91" t="n">
        <f aca="false">IF(OR(Tasks[[#This Row],[_ConstraintCode]]=2,Tasks[[#This Row],[_ConstraintCode]]=3,Tasks[[#This Row],[_ConstraintCode]]=4,Tasks[[#This Row],[_ConstraintCode]]=6),Tasks[[#This Row],[_ConstraintStart]],0)</f>
        <v>0</v>
      </c>
      <c r="CP12" s="91" t="n">
        <f aca="false">IF(OR(Tasks[[#This Row],[_ConstraintCode]]=2,Tasks[[#This Row],[_ConstraintCode]]=3,Tasks[[#This Row],[_ConstraintCode]]=5,Tasks[[#This Row],[_ConstraintCode]]=7),Tasks[[#This Row],[_ConstraintStart]],2958465)</f>
        <v>2958465</v>
      </c>
      <c r="CQ12"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R12" s="91" t="n">
        <f aca="false">IF(NOT(Tasks[[#This Row],[_IsLeaf]]=1),"",IF(N(Tasks[[#This Row],[_Days]])&lt;=0,Tasks[[#This Row],[_LeafCalcStart]],WORKDAY.INTL(Tasks[[#This Row],[_LeafCalcStart]],Tasks[[#This Row],[_Days]]-1,WorkWeek,Holidays)))</f>
        <v>46296</v>
      </c>
      <c r="CS12"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T12"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2" s="43" t="str">
        <f aca="false">IF(Tasks[[#This Row],[_Predecessors]]="","",TRIM(MID(SUBSTITUTE(SUBSTITUTE(SUBSTITUTE(UPPER(Tasks[[#This Row],[_Predecessors]]),";",",")," ",""),",",REPT(" ",99)),1,99)))</f>
        <v>6</v>
      </c>
      <c r="CV12" s="43" t="n">
        <f aca="false">IF(Tasks[[#This Row],[_Pred1Text]]="","",IFERROR(VALUE(LEFT(Tasks[[#This Row],[_Pred1Text]],MIN(FIND("F",Tasks[[#This Row],[_Pred1Text]]&amp;"F"),FIND("S",Tasks[[#This Row],[_Pred1Text]]&amp;"S"),FIND("+",Tasks[[#This Row],[_Pred1Text]]&amp;"+"),FIND("-",Tasks[[#This Row],[_Pred1Text]]&amp;"-"))-1)),""))</f>
        <v>6</v>
      </c>
      <c r="CW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2"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2" s="43" t="str">
        <f aca="false">IF(Tasks[[#This Row],[_Pred1Text]]="","",TRIM(MID(SUBSTITUTE(SUBSTITUTE(SUBSTITUTE(UPPER(Tasks[[#This Row],[_Predecessors]]),";",",")," ",""),",",REPT(" ",99)),100,99)))</f>
        <v/>
      </c>
      <c r="CZ12" s="43" t="str">
        <f aca="false">IF(Tasks[[#This Row],[_Pred2Text]]="","",IFERROR(VALUE(LEFT(Tasks[[#This Row],[_Pred2Text]],MIN(FIND("F",Tasks[[#This Row],[_Pred2Text]]&amp;"F"),FIND("S",Tasks[[#This Row],[_Pred2Text]]&amp;"S"),FIND("+",Tasks[[#This Row],[_Pred2Text]]&amp;"+"),FIND("-",Tasks[[#This Row],[_Pred2Text]]&amp;"-"))-1)),""))</f>
        <v/>
      </c>
      <c r="DA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3" t="str">
        <f aca="false">IF(Tasks[[#This Row],[_Pred2Text]]="","",TRIM(MID(SUBSTITUTE(SUBSTITUTE(SUBSTITUTE(UPPER(Tasks[[#This Row],[_Predecessors]]),";",",")," ",""),",",REPT(" ",99)),199,99)))</f>
        <v/>
      </c>
      <c r="DD12" s="43" t="str">
        <f aca="false">IF(Tasks[[#This Row],[_Pred3Text]]="","",IFERROR(VALUE(LEFT(Tasks[[#This Row],[_Pred3Text]],MIN(FIND("F",Tasks[[#This Row],[_Pred3Text]]&amp;"F"),FIND("S",Tasks[[#This Row],[_Pred3Text]]&amp;"S"),FIND("+",Tasks[[#This Row],[_Pred3Text]]&amp;"+"),FIND("-",Tasks[[#This Row],[_Pred3Text]]&amp;"-"))-1)),""))</f>
        <v/>
      </c>
      <c r="DE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3" t="str">
        <f aca="false">IF(Tasks[[#This Row],[_Pred3Text]]="","",TRIM(MID(SUBSTITUTE(SUBSTITUTE(SUBSTITUTE(UPPER(Tasks[[#This Row],[_Predecessors]]),";",",")," ",""),",",REPT(" ",99)),298,99)))</f>
        <v/>
      </c>
      <c r="DH12" s="43" t="str">
        <f aca="false">IF(Tasks[[#This Row],[_Pred4Text]]="","",IFERROR(VALUE(LEFT(Tasks[[#This Row],[_Pred4Text]],MIN(FIND("F",Tasks[[#This Row],[_Pred4Text]]&amp;"F"),FIND("S",Tasks[[#This Row],[_Pred4Text]]&amp;"S"),FIND("+",Tasks[[#This Row],[_Pred4Text]]&amp;"+"),FIND("-",Tasks[[#This Row],[_Pred4Text]]&amp;"-"))-1)),""))</f>
        <v/>
      </c>
      <c r="DI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3" t="str">
        <f aca="false">IF(OR(Tasks[[#This Row],[Task Name]]="",Tasks[[#This Row],[_Resources]]=""),"",TRIM(MID(SUBSTITUTE(Tasks[[#This Row],[_Resources]],",",REPT(" ",99)),1,99)))</f>
        <v>Casey Kim</v>
      </c>
      <c r="DL12" s="43" t="str">
        <f aca="false">IF(Tasks[[#This Row],[_Res1Text]]="","",TRIM(MID(SUBSTITUTE(Tasks[[#This Row],[_Resources]],",",REPT(" ",99)),100,99)))</f>
        <v/>
      </c>
      <c r="DM12" s="43" t="str">
        <f aca="false">IF(Tasks[[#This Row],[_Res2Text]]="","",TRIM(MID(SUBSTITUTE(Tasks[[#This Row],[_Resources]],",",REPT(" ",99)),199,99)))</f>
        <v/>
      </c>
      <c r="DN12" s="43" t="str">
        <f aca="false">IF(Tasks[[#This Row],[_Res3Text]]="","",TRIM(MID(SUBSTITUTE(Tasks[[#This Row],[_Resources]],",",REPT(" ",99)),298,99)))</f>
        <v/>
      </c>
      <c r="DO12" s="43" t="n">
        <f aca="false">IF(Tasks[[#This Row],[_Res1Text]]="",0,IFERROR(MATCH(TRIM(LEFT(Tasks[[#This Row],[_Res1Text]],FIND("[",Tasks[[#This Row],[_Res1Text]]&amp;"[")-1)),res_Name,0),IFERROR(MATCH(TRIM(LEFT(Tasks[[#This Row],[_Res1Text]],FIND("[",Tasks[[#This Row],[_Res1Text]]&amp;"[")-1)),res_Initials,0),0)))</f>
        <v>4</v>
      </c>
      <c r="DP12" s="43" t="n">
        <f aca="false">IF(Tasks[[#This Row],[_Res2Text]]="",0,IFERROR(MATCH(TRIM(LEFT(Tasks[[#This Row],[_Res2Text]],FIND("[",Tasks[[#This Row],[_Res2Text]]&amp;"[")-1)),res_Name,0),IFERROR(MATCH(TRIM(LEFT(Tasks[[#This Row],[_Res2Text]],FIND("[",Tasks[[#This Row],[_Res2Text]]&amp;"[")-1)),res_Initials,0),0)))</f>
        <v>0</v>
      </c>
      <c r="DQ12" s="43" t="n">
        <f aca="false">IF(Tasks[[#This Row],[_Res3Text]]="",0,IFERROR(MATCH(TRIM(LEFT(Tasks[[#This Row],[_Res3Text]],FIND("[",Tasks[[#This Row],[_Res3Text]]&amp;"[")-1)),res_Name,0),IFERROR(MATCH(TRIM(LEFT(Tasks[[#This Row],[_Res3Text]],FIND("[",Tasks[[#This Row],[_Res3Text]]&amp;"[")-1)),res_Initials,0),0)))</f>
        <v>0</v>
      </c>
      <c r="DR12" s="43" t="n">
        <f aca="false">IF(Tasks[[#This Row],[_Res4Text]]="",0,IFERROR(MATCH(TRIM(LEFT(Tasks[[#This Row],[_Res4Text]],FIND("[",Tasks[[#This Row],[_Res4Text]]&amp;"[")-1)),res_Name,0),IFERROR(MATCH(TRIM(LEFT(Tasks[[#This Row],[_Res4Text]],FIND("[",Tasks[[#This Row],[_Res4Text]]&amp;"[")-1)),res_Initials,0),0)))</f>
        <v>0</v>
      </c>
      <c r="DS12" s="43" t="str">
        <f aca="false">IF(Tasks[[#This Row],[_Res1Text]]="","",IF(Tasks[[#This Row],[_Res1Row]]&gt;0,INDEX(res_Name,Tasks[[#This Row],[_Res1Row]]),TRIM(LEFT(Tasks[[#This Row],[_Res1Text]],FIND("[",Tasks[[#This Row],[_Res1Text]]&amp;"[")-1))))</f>
        <v>Casey Kim</v>
      </c>
      <c r="DT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3" t="n">
        <f aca="false">IF(NOT(Tasks[[#This Row],[_IsLeaf]]=1),0,(Tasks[[#This Row],[_Resource1]]&lt;&gt;"")+(Tasks[[#This Row],[_Res2]]&lt;&gt;"")+(Tasks[[#This Row],[_Res3]]&lt;&gt;"")+(Tasks[[#This Row],[_Res4]]&lt;&gt;""))</f>
        <v>1</v>
      </c>
      <c r="DV12" s="43" t="str">
        <f aca="false">IF(Tasks[[#This Row],[_Res2Text]]="","",IF(Tasks[[#This Row],[_Res2Row]]&gt;0,INDEX(res_Name,Tasks[[#This Row],[_Res2Row]]),TRIM(LEFT(Tasks[[#This Row],[_Res2Text]],FIND("[",Tasks[[#This Row],[_Res2Text]]&amp;"[")-1))))</f>
        <v/>
      </c>
      <c r="DW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3" t="n">
        <f aca="false">IF(OR(NOT(Tasks[[#This Row],[_IsLeaf]]=1),Tasks[[#This Row],[_Res2Row]]=0),0,N(Tasks[[#This Row],[_Days]])*HoursPerDay*IF(Tasks[[#This Row],[_Res2Units]]="",DefaultUnits,Tasks[[#This Row],[_Res2Units]]))</f>
        <v>0</v>
      </c>
      <c r="DY12" s="43" t="n">
        <f aca="false">IF(AND(AND(Tasks[[#This Row],[_IsLeaf]]=1,Tasks[[#This Row],[_LeafTotalWork]]&gt;0),Tasks[[#This Row],[_Res2Work]]&gt;0),Tasks[[#This Row],[_Res2Work]]/(Tasks[[#This Row],[_FinishWorkday]]-Tasks[[#This Row],[_StartWorkday]]+1),0)</f>
        <v>0</v>
      </c>
      <c r="DZ12" s="43" t="n">
        <f aca="false">Tasks[[#This Row],[_Res2WorkPerWD]]*MAX(0,Tasks[[#This Row],[_StartWorkday]]-1)</f>
        <v>0</v>
      </c>
      <c r="EA12" s="43" t="n">
        <f aca="false">Tasks[[#This Row],[_Res2Work]]*Tasks[[#This Row],[_LeafProgress]]</f>
        <v>0</v>
      </c>
      <c r="EB12" s="43" t="str">
        <f aca="false">IF(Tasks[[#This Row],[_Res3Text]]="","",IF(Tasks[[#This Row],[_Res3Row]]&gt;0,INDEX(res_Name,Tasks[[#This Row],[_Res3Row]]),TRIM(LEFT(Tasks[[#This Row],[_Res3Text]],FIND("[",Tasks[[#This Row],[_Res3Text]]&amp;"[")-1))))</f>
        <v/>
      </c>
      <c r="EC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3" t="n">
        <f aca="false">IF(OR(NOT(Tasks[[#This Row],[_IsLeaf]]=1),Tasks[[#This Row],[_Res3Row]]=0),0,N(Tasks[[#This Row],[_Days]])*HoursPerDay*IF(Tasks[[#This Row],[_Res3Units]]="",DefaultUnits,Tasks[[#This Row],[_Res3Units]]))</f>
        <v>0</v>
      </c>
      <c r="EE12" s="43" t="n">
        <f aca="false">IF(AND(AND(Tasks[[#This Row],[_IsLeaf]]=1,Tasks[[#This Row],[_LeafTotalWork]]&gt;0),Tasks[[#This Row],[_Res3Work]]&gt;0),Tasks[[#This Row],[_Res3Work]]/(Tasks[[#This Row],[_FinishWorkday]]-Tasks[[#This Row],[_StartWorkday]]+1),0)</f>
        <v>0</v>
      </c>
      <c r="EF12" s="43" t="n">
        <f aca="false">Tasks[[#This Row],[_Res3WorkPerWD]]*MAX(0,Tasks[[#This Row],[_StartWorkday]]-1)</f>
        <v>0</v>
      </c>
      <c r="EG12" s="43" t="n">
        <f aca="false">Tasks[[#This Row],[_Res3Work]]*Tasks[[#This Row],[_LeafProgress]]</f>
        <v>0</v>
      </c>
      <c r="EH12" s="43" t="str">
        <f aca="false">IF(Tasks[[#This Row],[_Res4Text]]="","",IF(Tasks[[#This Row],[_Res4Row]]&gt;0,INDEX(res_Name,Tasks[[#This Row],[_Res4Row]]),TRIM(LEFT(Tasks[[#This Row],[_Res4Text]],FIND("[",Tasks[[#This Row],[_Res4Text]]&amp;"[")-1))))</f>
        <v/>
      </c>
      <c r="EI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3" t="n">
        <f aca="false">IF(OR(NOT(Tasks[[#This Row],[_IsLeaf]]=1),Tasks[[#This Row],[_Res4Row]]=0),0,N(Tasks[[#This Row],[_Days]])*HoursPerDay*IF(Tasks[[#This Row],[_Res4Units]]="",DefaultUnits,Tasks[[#This Row],[_Res4Units]]))</f>
        <v>0</v>
      </c>
      <c r="EK12" s="43" t="n">
        <f aca="false">IF(AND(AND(Tasks[[#This Row],[_IsLeaf]]=1,Tasks[[#This Row],[_LeafTotalWork]]&gt;0),Tasks[[#This Row],[_Res4Work]]&gt;0),Tasks[[#This Row],[_Res4Work]]/(Tasks[[#This Row],[_FinishWorkday]]-Tasks[[#This Row],[_StartWorkday]]+1),0)</f>
        <v>0</v>
      </c>
      <c r="EL12" s="43" t="n">
        <f aca="false">Tasks[[#This Row],[_Res4WorkPerWD]]*MAX(0,Tasks[[#This Row],[_StartWorkday]]-1)</f>
        <v>0</v>
      </c>
      <c r="EM12" s="43" t="n">
        <f aca="false">Tasks[[#This Row],[_Res4Work]]*Tasks[[#This Row],[_LeafProgress]]</f>
        <v>0</v>
      </c>
      <c r="EN12" s="94" t="n">
        <f aca="false">IF(ISNUMBER(Tasks[[#This Row],[% Complete]]),Tasks[[#This Row],[% Complete]],IF(Tasks[[#This Row],[Stage]]="",0,IFERROR(INDEX(stg_Pct,MATCH(Tasks[[#This Row],[Stage]],stg_Name,0)),0)))</f>
        <v>1</v>
      </c>
      <c r="EO12" s="43" t="n">
        <f aca="false">IF(NOT(Tasks[[#This Row],[_IsLeaf]]=1),0,IF(N(Tasks[[#This Row],[Actual Finish]])&gt;0,1,MIN(1,Tasks[[#This Row],[_Pct]])))</f>
        <v>1</v>
      </c>
      <c r="EP12" s="43" t="n">
        <f aca="false">IF(OR(NOT(Tasks[[#This Row],[_IsLeaf]]=1),Tasks[[#This Row],[_Res1Row]]=0),0,N(Tasks[[#This Row],[_Days]])*HoursPerDay*IF(Tasks[[#This Row],[_Units1]]="",DefaultUnits,Tasks[[#This Row],[_Units1]]))</f>
        <v>48</v>
      </c>
      <c r="EQ12" s="43" t="n">
        <f aca="false">Tasks[[#This Row],[_LeafWork]]+Tasks[[#This Row],[_Res2Work]]+Tasks[[#This Row],[_Res3Work]]+Tasks[[#This Row],[_Res4Work]]</f>
        <v>48</v>
      </c>
      <c r="ER12"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S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3" t="n">
        <f aca="false">IF(NOT(Tasks[[#This Row],[_IsLeaf]]=1),0,MAX(_xlfn.MAXIFS(Tasks[_Row],Tasks[_Pred1UID],Tasks[[#This Row],[UID]]),_xlfn.MAXIFS(Tasks[_Row],Tasks[_Pred2UID],Tasks[[#This Row],[UID]]),_xlfn.MAXIFS(Tasks[_Row],Tasks[_Pred3UID],Tasks[[#This Row],[UID]]),_xlfn.MAXIFS(Tasks[_Row],Tasks[_Pred4UID],Tasks[[#This Row],[UID]])))</f>
        <v>8</v>
      </c>
      <c r="FA12"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2"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2" s="91" t="n">
        <f aca="false">IF(NOT(Tasks[[#This Row],[_IsLeaf]]=1),"",IF(N(Tasks[[#This Row],[_Days]])&lt;=0,Tasks[[#This Row],[_LeafLateFinish]],WORKDAY.INTL(Tasks[[#This Row],[_LeafLateFinish]],-(Tasks[[#This Row],[_Days]]-1),WorkWeek,Holidays)))</f>
        <v>46295</v>
      </c>
      <c r="FD12"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2" s="90" t="b">
        <f aca="false">AND(Tasks[[#This Row],[_IsLeaf]]=1,Tasks[[#This Row],[_LeafProgress]]&lt;1,N(Tasks[[#This Row],[_LeafTotalSlack]])&lt;=CriticalSlackDays)</f>
        <v>0</v>
      </c>
      <c r="FF12" s="43" t="n">
        <f aca="false">IF(AND(Tasks[[#This Row],[_IsLeaf]]=1,Tasks[[#This Row],[_ConstraintCode]]=1,Tasks[[#This Row],[Mode]]&lt;&gt;"Manual",N(Tasks[[#This Row],[Actual Start]])=0),MAX(0,N(Tasks[[#This Row],[Free Slack]])),0)</f>
        <v>0</v>
      </c>
      <c r="FG12" s="91" t="n">
        <f aca="false">IF(NOT(Tasks[[#This Row],[_IsLeaf]]=1),"",IF(Tasks[[#This Row],[_AlapShift]]=0,Tasks[[#This Row],[_LeafCalcStart]],WORKDAY.INTL(Tasks[[#This Row],[_LeafCalcStart]],Tasks[[#This Row],[_AlapShift]],WorkWeek,Holidays)))</f>
        <v>46289</v>
      </c>
      <c r="FH12" s="91" t="n">
        <f aca="false">IF(NOT(Tasks[[#This Row],[_IsLeaf]]=1),"",IF(Tasks[[#This Row],[_AlapShift]]=0,Tasks[[#This Row],[_LeafCalcFinish]],WORKDAY.INTL(Tasks[[#This Row],[_LeafCalcFinish]],Tasks[[#This Row],[_AlapShift]],WorkWeek,Holidays)))</f>
        <v>46296</v>
      </c>
      <c r="FI12" s="91" t="n">
        <f aca="false">IF(NOT(Tasks[[#This Row],[_IsLeaf]]=1),"",IF(Tasks[[#This Row],[_AlapShift]]=0,Tasks[[#This Row],[_LeafFcstStart]],WORKDAY.INTL(Tasks[[#This Row],[_LeafFcstStart]],Tasks[[#This Row],[_AlapShift]],WorkWeek,Holidays)))</f>
        <v>46293</v>
      </c>
      <c r="FJ12" s="91" t="n">
        <f aca="false">IF(NOT(Tasks[[#This Row],[_IsLeaf]]=1),"",IF(Tasks[[#This Row],[_AlapShift]]=0,Tasks[[#This Row],[_LeafFcstFinish]],WORKDAY.INTL(Tasks[[#This Row],[_LeafFcstFinish]],Tasks[[#This Row],[_AlapShift]],WorkWeek,Holidays)))</f>
        <v>46301</v>
      </c>
      <c r="FK12" s="91" t="n">
        <f aca="false">IF(Tasks[[#This Row],[Task Name]]="","",IF(Tasks[[#This Row],[_IsSummary]],MIN(INDEX(Tasks[_ShownCalcStart],Tasks[[#This Row],[_Row]]+1):INDEX(Tasks[_ShownCalcStart],Tasks[[#This Row],[_Row]]+Tasks[[#This Row],[_Descendants]])),Tasks[[#This Row],[_ShownCalcStart]]))</f>
        <v>46289</v>
      </c>
      <c r="FL12" s="91" t="n">
        <f aca="false">IF(Tasks[[#This Row],[Task Name]]="","",IF(Tasks[[#This Row],[_IsSummary]],MAX(INDEX(Tasks[_ShownCalcFinish],Tasks[[#This Row],[_Row]]+1):INDEX(Tasks[_ShownCalcFinish],Tasks[[#This Row],[_Row]]+Tasks[[#This Row],[_Descendants]])),Tasks[[#This Row],[_ShownCalcFinish]]))</f>
        <v>46296</v>
      </c>
      <c r="FM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R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V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 s="43" t="n">
        <f aca="false">IF(AND(Tasks[[#This Row],[_IsLeaf]]=1,Tasks[[#This Row],[_LeafTotalWork]]&gt;0),NETWORKDAYS.INTL(ProjectStart,Tasks[[#This Row],[_ShownFcstStart]],WorkWeek,Holidays),0)</f>
        <v>16</v>
      </c>
      <c r="FZ12" s="43" t="n">
        <f aca="false">IF(AND(Tasks[[#This Row],[_IsLeaf]]=1,Tasks[[#This Row],[_LeafTotalWork]]&gt;0),MAX(Tasks[[#This Row],[_StartWorkday]],NETWORKDAYS.INTL(ProjectStart,Tasks[[#This Row],[_ShownFcstFinish]],WorkWeek,Holidays)),0)</f>
        <v>22</v>
      </c>
      <c r="GA12" s="43" t="n">
        <f aca="false">IF(AND(Tasks[[#This Row],[_IsLeaf]]=1,Tasks[[#This Row],[_LeafTotalWork]]&gt;0),Tasks[[#This Row],[_LeafWork]]/(Tasks[[#This Row],[_FinishWorkday]]-Tasks[[#This Row],[_StartWorkday]]+1),0)</f>
        <v>6.85714285714286</v>
      </c>
      <c r="GB12" s="43" t="n">
        <f aca="false">Tasks[[#This Row],[_WorkPerWorkday]]*(Tasks[[#This Row],[_StartWorkday]]-1)</f>
        <v>102.857142857143</v>
      </c>
      <c r="GC12" s="43" t="n">
        <f aca="false">IF(Tasks[[#This Row],[_IsLeaf]]=1,MAX(N(Tasks[[#This Row],[_Days]]),0.1),0)</f>
        <v>6</v>
      </c>
      <c r="GD12" s="43" t="n">
        <f aca="false">Tasks[[#This Row],[_WeightDur]]*Tasks[[#This Row],[_LeafProgress]]</f>
        <v>6</v>
      </c>
      <c r="GE12" s="43" t="n">
        <f aca="false">Tasks[[#This Row],[_WeightDur]]*Tasks[[#This Row],[_PlannedPct]]</f>
        <v>6</v>
      </c>
      <c r="GF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GG12" s="43" t="str">
        <f aca="false">IF(AND(Tasks[[#This Row],[_IsLeaf]]=1,N(Tasks[[#This Row],[_Days]])=0,Tasks[[#This Row],[_LeafProgress]]&lt;1),Tasks[[#This Row],[_ShownFcstFinish]]+Tasks[[#This Row],[_Row]]/100000,"")</f>
        <v/>
      </c>
      <c r="GH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2" s="43" t="str">
        <f aca="false">IF(Tasks[[#This Row],[Task Name]]="","",LEFT(Tasks[[#This Row],[WBS]],FIND(".",Tasks[[#This Row],[WBS]]&amp;".")-1))</f>
        <v>2</v>
      </c>
      <c r="GJ12" s="43" t="str">
        <f aca="false">IF(AND(Tasks[[#This Row],[Task Name]]&lt;&gt;"",Tasks[[#This Row],[_Level]]=1),Tasks[[#This Row],[_Row]],"")</f>
        <v/>
      </c>
      <c r="GK12" s="43" t="str">
        <f aca="false">IF(AND(Tasks[[#This Row],[_IsLeaf]]=1,N(Tasks[[#This Row],[_Days]])=0),Tasks[[#This Row],[Planned Finish]]+Tasks[[#This Row],[_Row]]/100000,"")</f>
        <v/>
      </c>
      <c r="GL12" s="43" t="str">
        <f aca="false">IF(AND(Tasks[[#This Row],[_IsLeaf]]=1,Tasks[[#This Row],[_LeafProgress]]&lt;1,OR(N(Tasks[[#This Row],[Finish Var]])&gt;0,Tasks[[#This Row],[Status]]="Late Start")),MAX(0,Tasks[[#This Row],[Finish Var]])+1-Tasks[[#This Row],[_Row]]/1000000,"")</f>
        <v/>
      </c>
      <c r="GM12" s="43" t="str">
        <f aca="false">IF(AND(Tasks[[#This Row],[_IsLeaf]]=1,N(Tasks[[#This Row],[Actual Start]])=0,Tasks[[#This Row],[_ShownFcstStart]]&gt;=StatusDate,Tasks[[#This Row],[_ShownFcstStart]]&lt;=LookaheadEnd),Tasks[[#This Row],[_ShownFcstStart]]+Tasks[[#This Row],[_Row]]/100000,"")</f>
        <v/>
      </c>
      <c r="GN12" s="43" t="str">
        <f aca="false">IF(AND(Tasks[[#This Row],[_IsLeaf]]=1,Tasks[[#This Row],[_LeafProgress]]&lt;1,Tasks[[#This Row],[_ShownFcstFinish]]&gt;=StatusDate,Tasks[[#This Row],[_ShownFcstFinish]]&lt;=LookaheadEnd),Tasks[[#This Row],[_ShownFcstFinish]]+Tasks[[#This Row],[_Row]]/100000,"")</f>
        <v/>
      </c>
      <c r="GO12" s="43" t="str">
        <f aca="false">IF(Tasks[[#This Row],[_LeafCritical]],Tasks[[#This Row],[_ShownFcstStart]]+Tasks[[#This Row],[_Row]]/100000,"")</f>
        <v/>
      </c>
      <c r="GP12" s="43" t="n">
        <f aca="false">Tasks[[#This Row],[_LeafWork]]*Tasks[[#This Row],[_LeafProgress]]</f>
        <v>48</v>
      </c>
      <c r="GQ12" s="91" t="n">
        <f aca="false">IF(AND(Tasks[[#This Row],[_IsLeaf]]=1,Tasks[[#This Row],[_LeafProgress]]&gt;=1),IF(N(Tasks[[#This Row],[Actual Finish]])&gt;0,Tasks[[#This Row],[Actual Finish]],Tasks[[#This Row],[_ShownFcstFinish]]),"")</f>
        <v>46301</v>
      </c>
      <c r="GR12" s="43" t="n">
        <f aca="false">IF(Tasks[[#This Row],[_IsLeaf]]=1,N(Tasks[[#This Row],[Story Points]]),0)</f>
        <v>0</v>
      </c>
      <c r="GS12" s="43" t="str">
        <f aca="false">""</f>
        <v/>
      </c>
      <c r="GT12" s="90" t="b">
        <f aca="false">IF(Tasks[[#This Row],[Task Name]]="",FALSE(),AND(Tasks[[#This Row],[_IsLeaf]]=1,N(Tasks[[#This Row],[_Days]])=0))</f>
        <v>0</v>
      </c>
      <c r="GU12" s="91" t="n">
        <f aca="false">IF(Tasks[[#This Row],[Task Name]]="",0,IF(AND(Tasks[[#This Row],[_IsLeaf]]=1,NOT(Tasks[[#This Row],[_IsMilestone]]),N(Tasks[[#This Row],[Progress]])&gt;0),Tasks[[#This Row],[Start]],0))</f>
        <v>46293</v>
      </c>
      <c r="GV12" s="91" t="n">
        <f aca="false">IF(Tasks[[#This Row],[_DoneFrom]]=0,0,IF(Tasks[[#This Row],[Progress]]&gt;=1,Tasks[[#This Row],[Finish]],MAX(Tasks[[#This Row],[_DoneFrom]],Tasks[[#This Row],[Start]]+ROUND((Tasks[[#This Row],[Finish]]-Tasks[[#This Row],[Start]]+1)*Tasks[[#This Row],[Progress]],0)-1)))</f>
        <v>46301</v>
      </c>
      <c r="GW12" s="91" t="n">
        <f aca="false">IF(Tasks[[#This Row],[Task Name]]="",0,IF(OR(NOT(Tasks[[#This Row],[_IsLeaf]]=1),Tasks[[#This Row],[_IsMilestone]],N(Tasks[[#This Row],[Progress]])&gt;=1),0,IF(Tasks[[#This Row],[_DoneTo]]&gt;0,Tasks[[#This Row],[_DoneTo]]+1,Tasks[[#This Row],[Start]])))</f>
        <v>0</v>
      </c>
      <c r="GX12" s="91" t="n">
        <f aca="false">IF(Tasks[[#This Row],[_RemFrom]]=0,0,Tasks[[#This Row],[Finish]])</f>
        <v>0</v>
      </c>
      <c r="GY12" s="90" t="b">
        <f aca="false">IF(Tasks[[#This Row],[Task Name]]="",FALSE(),OR(NOT(BaselineSet),N(Tasks[[#This Row],[Baseline Start]])&gt;0))</f>
        <v>1</v>
      </c>
      <c r="GZ12"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HA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HB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HC12" s="92" t="n">
        <f aca="false">IF(Tasks[[#This Row],[_IsLeaf]]=1,Tasks[[#This Row],[_Row]],"")</f>
        <v>7</v>
      </c>
      <c r="HD12" s="92" t="str">
        <f aca="false">IFERROR(INDEX(Tasks[UID],SMALL(Tasks[_PickKey],Tasks[[#This Row],[_Row]]))&amp;" "&amp;INDEX(Tasks[Task Name],SMALL(Tasks[_PickKey],Tasks[[#This Row],[_Row]])),"")</f>
        <v>21 System integration testing</v>
      </c>
      <c r="HE12" s="43" t="n">
        <f aca="false">IF(Tasks[[#This Row],[Task Name]]="","",IF(Tasks[[#This Row],[_IsSummary]],NETWORKDAYS.INTL(Tasks[[#This Row],[Start]],Tasks[[#This Row],[Finish]],WorkWeek,Holidays),N(Tasks[[#This Row],[_Days]])))</f>
        <v>6</v>
      </c>
      <c r="HF12" s="43" t="n">
        <f aca="false">IF(Tasks[[#This Row],[Expected]]="",0,((Tasks[[#This Row],[Pessimistic]]-Tasks[[#This Row],[Optimistic]])/6)^2)</f>
        <v>0</v>
      </c>
      <c r="HG12" s="43" t="n">
        <f aca="false">IF(Tasks[[#This Row],[Expected]]="",0,Tasks[[#This Row],[Expected]]-N(Tasks[[#This Row],[_Days]]))</f>
        <v>0</v>
      </c>
    </row>
    <row r="13" customFormat="false" ht="15" hidden="false" customHeight="false" outlineLevel="1" collapsed="false">
      <c r="A13" s="21" t="n">
        <f aca="false">IF(Tasks[[#This Row],[Task Name]]="","",COUNTA(Tasks[[#Headers],[Task Name]]:Tasks[[#This Row],[Task Name]])-1)</f>
        <v>8</v>
      </c>
      <c r="B13" s="22" t="n">
        <v>9</v>
      </c>
      <c r="C13" s="22" t="n">
        <v>2</v>
      </c>
      <c r="D13" s="93" t="s">
        <v>652</v>
      </c>
      <c r="E13" s="22" t="n">
        <v>0</v>
      </c>
      <c r="F13" s="23" t="n">
        <v>8</v>
      </c>
      <c r="G13" s="22"/>
      <c r="H13" s="22"/>
      <c r="I13" s="23"/>
      <c r="J13" s="22"/>
      <c r="K13" s="22"/>
      <c r="L13" s="23"/>
      <c r="M13" s="22"/>
      <c r="N13" s="22"/>
      <c r="O13" s="23"/>
      <c r="P13" s="22"/>
      <c r="Q13" s="22"/>
      <c r="R13" s="23"/>
      <c r="S13" s="23"/>
      <c r="T13" s="84"/>
      <c r="U13" s="23"/>
      <c r="V13" s="84"/>
      <c r="W13" s="23"/>
      <c r="X13" s="84"/>
      <c r="Y13" s="23"/>
      <c r="Z13" s="84"/>
      <c r="AA13" s="23"/>
      <c r="AB13" s="23" t="s">
        <v>150</v>
      </c>
      <c r="AC13" s="7" t="n">
        <v>46301</v>
      </c>
      <c r="AD13" s="7" t="n">
        <v>46301</v>
      </c>
      <c r="AE13" s="63" t="n">
        <f aca="false">IF(Tasks[[#This Row],[Task Name]]="","",IF(Tasks[[#This Row],[_IsSummary]],MIN(INDEX(Tasks[_ShownFcstStart],Tasks[[#This Row],[_Row]]+1):INDEX(Tasks[_ShownFcstStart],Tasks[[#This Row],[_Row]]+Tasks[[#This Row],[_Descendants]])),Tasks[[#This Row],[_ShownFcstStart]]))</f>
        <v>46301</v>
      </c>
      <c r="AF13" s="63" t="n">
        <f aca="false">IF(Tasks[[#This Row],[Task Name]]="","",IF(Tasks[[#This Row],[_IsSummary]],MAX(INDEX(Tasks[_ShownFcstFinish],Tasks[[#This Row],[_Row]]+1):INDEX(Tasks[_ShownFcstFinish],Tasks[[#This Row],[_Row]]+Tasks[[#This Row],[_Descendants]])),Tasks[[#This Row],[_ShownFcstFinish]]))</f>
        <v>46301</v>
      </c>
      <c r="AG13" s="21" t="str">
        <f aca="false">""</f>
        <v/>
      </c>
      <c r="AH13" s="23" t="s">
        <v>653</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 s="7"/>
      <c r="AK13" s="22" t="s">
        <v>248</v>
      </c>
      <c r="AL13" s="23"/>
      <c r="AM13" s="7"/>
      <c r="AN13" s="47"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3" t="n">
        <f aca="false">IF(Tasks[[#This Row],[Task Name]]="","",IF(N(Tasks[[#This Row],[Baseline Start]])&gt;0,Tasks[[#This Row],[Baseline Start]],Tasks[[#This Row],[_CalcStart]]))</f>
        <v>46296</v>
      </c>
      <c r="AR13" s="63" t="n">
        <f aca="false">IF(Tasks[[#This Row],[Task Name]]="","",IF(N(Tasks[[#This Row],[Baseline Finish]])&gt;0,Tasks[[#This Row],[Baseline Finish]],Tasks[[#This Row],[_CalcFinish]]))</f>
        <v>46296</v>
      </c>
      <c r="AS13" s="47" t="n">
        <f aca="false">IF(Tasks[[#This Row],[Task Name]]="","",IF(Tasks[[#This Row],[Start]]&gt;=Tasks[[#This Row],[Planned Start]],NETWORKDAYS.INTL(Tasks[[#This Row],[Planned Start]],Tasks[[#This Row],[Start]],WorkWeek,Holidays)-1,1-NETWORKDAYS.INTL(Tasks[[#This Row],[Start]],Tasks[[#This Row],[Planned Start]],WorkWeek,Holidays)))</f>
        <v>3</v>
      </c>
      <c r="AT13" s="63" t="n">
        <f aca="false">IF(Tasks[[#This Row],[Task Name]]="","",IF(Tasks[[#This Row],[_IsSummary]],MIN(INDEX(Tasks[_LeafLateStart],Tasks[[#This Row],[_Row]]+1):INDEX(Tasks[_LeafLateStart],Tasks[[#This Row],[_Row]]+Tasks[[#This Row],[_Descendants]])),Tasks[[#This Row],[_LeafLateStart]]))</f>
        <v>46302</v>
      </c>
      <c r="AU13" s="63" t="n">
        <f aca="false">IF(Tasks[[#This Row],[Task Name]]="","",IF(Tasks[[#This Row],[_IsSummary]],MAX(INDEX(Tasks[_LeafLateFinish],Tasks[[#This Row],[_Row]]+1):INDEX(Tasks[_LeafLateFinish],Tasks[[#This Row],[_Row]]+Tasks[[#This Row],[_Descendants]])),Tasks[[#This Row],[_LeafLateFinish]]))</f>
        <v>46302</v>
      </c>
      <c r="AV13" s="47"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5"/>
      <c r="BA13"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6"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7"/>
      <c r="BJ13" s="22"/>
      <c r="BK13" s="47" t="n">
        <f aca="false">IF(OR(Tasks[[#This Row],[Task Name]]="",Tasks[[#This Row],[Baseline Duration]]=""),"",Tasks[[#This Row],[_SpanDays]]-N(Tasks[[#This Row],[Baseline Duration]]))</f>
        <v>0</v>
      </c>
      <c r="BL13" s="86" t="n">
        <f aca="false">IF(OR(Tasks[[#This Row],[Task Name]]="",Tasks[[#This Row],[Baseline Work]]=""),"",Tasks[[#This Row],[Work]]-N(Tasks[[#This Row],[Baseline Work]]))</f>
        <v>0</v>
      </c>
      <c r="BM13" s="63" t="n">
        <f aca="false">IF(Tasks[[#This Row],[Task Name]]="","",IF(OR(TakeBaseline="Yes",N(Tasks[[#This Row],[Baseline Start]])=0),Tasks[[#This Row],[Start]],Tasks[[#This Row],[Baseline Start]]))</f>
        <v>46296</v>
      </c>
      <c r="BN13" s="63" t="n">
        <f aca="false">IF(Tasks[[#This Row],[Task Name]]="","",IF(OR(TakeBaseline="Yes",N(Tasks[[#This Row],[Baseline Finish]])=0),Tasks[[#This Row],[Finish]],Tasks[[#This Row],[Baseline Finish]]))</f>
        <v>46296</v>
      </c>
      <c r="BO13" s="21" t="n">
        <f aca="false">IF(Tasks[[#This Row],[Task Name]]="","",IF(OR(TakeBaseline="Yes",N(Tasks[[#This Row],[Baseline Duration]])=0),Tasks[[#This Row],[_SpanDays]],Tasks[[#This Row],[Baseline Duration]]))</f>
        <v>0</v>
      </c>
      <c r="BP13" s="86" t="n">
        <f aca="false">IF(Tasks[[#This Row],[Task Name]]="","",IF(OR(TakeBaseline="Yes",N(Tasks[[#This Row],[Baseline Work]])=0),Tasks[[#This Row],[Work]],Tasks[[#This Row],[Baseline Work]]))</f>
        <v>0</v>
      </c>
      <c r="BQ13" s="7" t="n">
        <v>46296</v>
      </c>
      <c r="BR13" s="7" t="n">
        <v>46296</v>
      </c>
      <c r="BS13" s="22" t="n">
        <v>0</v>
      </c>
      <c r="BT13" s="88" t="n">
        <v>0</v>
      </c>
      <c r="BU13" s="23"/>
      <c r="BV13" s="23"/>
      <c r="BW13" s="23"/>
      <c r="BX13" s="89" t="str">
        <f aca="false">IF(AND(Tasks[[#This Row],[_IsLeaf]]=1,ISNUMBER(Tasks[[#This Row],[Optimistic]]),ISNUMBER(Tasks[[#This Row],[Pessimistic]])),ROUND((Tasks[[#This Row],[Optimistic]]+4*N(Tasks[[#This Row],[_Days]])+Tasks[[#This Row],[Pessimistic]])/6,1),"")</f>
        <v/>
      </c>
      <c r="BY13" s="87"/>
      <c r="BZ13" s="87"/>
      <c r="CA13" s="22"/>
      <c r="CB13" s="43" t="n">
        <f aca="false">IF(Tasks[[#This Row],[Task Name]]="","",MAX(1,N(Tasks[[#This Row],[Level]])))</f>
        <v>2</v>
      </c>
      <c r="CC13" s="43" t="n">
        <f aca="false">ROW()-ROW(Tasks[[#Headers],[ID]])</f>
        <v>8</v>
      </c>
      <c r="CD13" s="43" t="n">
        <f aca="false">IF(OR(Tasks[[#This Row],[Task Name]]="",Tasks[[#This Row],[_Level]]&lt;=1),0,IFERROR(LOOKUP(2,1/(Tasks[[#Headers],[_Level]]:Tasks[[#This Row],[_Level]]=Tasks[[#This Row],[_Level]]-1),ROW(Tasks[[#Headers],[_Level]]:Tasks[[#This Row],[_Level]])),0))</f>
        <v>10</v>
      </c>
      <c r="CE13" s="43" t="n">
        <f aca="false">IFERROR(N(INDEX(Tasks[_Level],Tasks[[#This Row],[_Row]]+1)),0)</f>
        <v>1</v>
      </c>
      <c r="CF13" s="90" t="b">
        <f aca="false">AND(Tasks[[#This Row],[Task Name]]&lt;&gt;"",Tasks[[#This Row],[_NextLevel]]&gt;Tasks[[#This Row],[_Level]])</f>
        <v>0</v>
      </c>
      <c r="CG13" s="43" t="n">
        <f aca="false">IF(Tasks[[#This Row],[_IsSummary]],COUNTIF(Tasks[WBS],Tasks[[#This Row],[WBS]]&amp;".*"),0)</f>
        <v>0</v>
      </c>
      <c r="CH13" s="43" t="n">
        <f aca="false">IF(AND(Tasks[[#This Row],[Task Name]]&lt;&gt;"",NOT(Tasks[[#This Row],[_IsSummary]])),1,0)</f>
        <v>1</v>
      </c>
      <c r="CI13" s="43" t="n">
        <f aca="false">IF(N(Tasks[[#This Row],[_Pred1UID]])=0,0,IFERROR(MATCH(Tasks[[#This Row],[_Pred1UID]],Tasks[UID],0),-1))</f>
        <v>7</v>
      </c>
      <c r="CJ13" s="43" t="n">
        <f aca="false">IF(N(Tasks[[#This Row],[_Pred2UID]])=0,0,IFERROR(MATCH(Tasks[[#This Row],[_Pred2UID]],Tasks[UID],0),-1))</f>
        <v>0</v>
      </c>
      <c r="CK13" s="43" t="n">
        <f aca="false">IF(N(Tasks[[#This Row],[_Pred3UID]])=0,0,IFERROR(MATCH(Tasks[[#This Row],[_Pred3UID]],Tasks[UID],0),-1))</f>
        <v>0</v>
      </c>
      <c r="CL13" s="43" t="n">
        <f aca="false">IF(N(Tasks[[#This Row],[_Pred4UID]])=0,0,IFERROR(MATCH(Tasks[[#This Row],[_Pred4UID]],Tasks[UID],0),-1))</f>
        <v>0</v>
      </c>
      <c r="CM1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 s="91" t="n">
        <f aca="false">IF(OR(Tasks[[#This Row],[_ConstraintCode]]=2,Tasks[[#This Row],[_ConstraintCode]]=3,Tasks[[#This Row],[_ConstraintCode]]=4,Tasks[[#This Row],[_ConstraintCode]]=6),Tasks[[#This Row],[_ConstraintStart]],0)</f>
        <v>0</v>
      </c>
      <c r="CP13" s="91" t="n">
        <f aca="false">IF(OR(Tasks[[#This Row],[_ConstraintCode]]=2,Tasks[[#This Row],[_ConstraintCode]]=3,Tasks[[#This Row],[_ConstraintCode]]=5,Tasks[[#This Row],[_ConstraintCode]]=7),Tasks[[#This Row],[_ConstraintStart]],2958465)</f>
        <v>2958465</v>
      </c>
      <c r="CQ1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R13" s="91" t="n">
        <f aca="false">IF(NOT(Tasks[[#This Row],[_IsLeaf]]=1),"",IF(N(Tasks[[#This Row],[_Days]])&lt;=0,Tasks[[#This Row],[_LeafCalcStart]],WORKDAY.INTL(Tasks[[#This Row],[_LeafCalcStart]],Tasks[[#This Row],[_Days]]-1,WorkWeek,Holidays)))</f>
        <v>46296</v>
      </c>
      <c r="CS1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T13"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3" s="43" t="str">
        <f aca="false">IF(Tasks[[#This Row],[_Predecessors]]="","",TRIM(MID(SUBSTITUTE(SUBSTITUTE(SUBSTITUTE(UPPER(Tasks[[#This Row],[_Predecessors]]),";",",")," ",""),",",REPT(" ",99)),1,99)))</f>
        <v>8</v>
      </c>
      <c r="CV13" s="43" t="n">
        <f aca="false">IF(Tasks[[#This Row],[_Pred1Text]]="","",IFERROR(VALUE(LEFT(Tasks[[#This Row],[_Pred1Text]],MIN(FIND("F",Tasks[[#This Row],[_Pred1Text]]&amp;"F"),FIND("S",Tasks[[#This Row],[_Pred1Text]]&amp;"S"),FIND("+",Tasks[[#This Row],[_Pred1Text]]&amp;"+"),FIND("-",Tasks[[#This Row],[_Pred1Text]]&amp;"-"))-1)),""))</f>
        <v>8</v>
      </c>
      <c r="CW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3"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3" s="43" t="str">
        <f aca="false">IF(Tasks[[#This Row],[_Pred1Text]]="","",TRIM(MID(SUBSTITUTE(SUBSTITUTE(SUBSTITUTE(UPPER(Tasks[[#This Row],[_Predecessors]]),";",",")," ",""),",",REPT(" ",99)),100,99)))</f>
        <v/>
      </c>
      <c r="CZ13" s="43" t="str">
        <f aca="false">IF(Tasks[[#This Row],[_Pred2Text]]="","",IFERROR(VALUE(LEFT(Tasks[[#This Row],[_Pred2Text]],MIN(FIND("F",Tasks[[#This Row],[_Pred2Text]]&amp;"F"),FIND("S",Tasks[[#This Row],[_Pred2Text]]&amp;"S"),FIND("+",Tasks[[#This Row],[_Pred2Text]]&amp;"+"),FIND("-",Tasks[[#This Row],[_Pred2Text]]&amp;"-"))-1)),""))</f>
        <v/>
      </c>
      <c r="DA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3" t="str">
        <f aca="false">IF(Tasks[[#This Row],[_Pred2Text]]="","",TRIM(MID(SUBSTITUTE(SUBSTITUTE(SUBSTITUTE(UPPER(Tasks[[#This Row],[_Predecessors]]),";",",")," ",""),",",REPT(" ",99)),199,99)))</f>
        <v/>
      </c>
      <c r="DD13" s="43" t="str">
        <f aca="false">IF(Tasks[[#This Row],[_Pred3Text]]="","",IFERROR(VALUE(LEFT(Tasks[[#This Row],[_Pred3Text]],MIN(FIND("F",Tasks[[#This Row],[_Pred3Text]]&amp;"F"),FIND("S",Tasks[[#This Row],[_Pred3Text]]&amp;"S"),FIND("+",Tasks[[#This Row],[_Pred3Text]]&amp;"+"),FIND("-",Tasks[[#This Row],[_Pred3Text]]&amp;"-"))-1)),""))</f>
        <v/>
      </c>
      <c r="DE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3" t="str">
        <f aca="false">IF(Tasks[[#This Row],[_Pred3Text]]="","",TRIM(MID(SUBSTITUTE(SUBSTITUTE(SUBSTITUTE(UPPER(Tasks[[#This Row],[_Predecessors]]),";",",")," ",""),",",REPT(" ",99)),298,99)))</f>
        <v/>
      </c>
      <c r="DH13" s="43" t="str">
        <f aca="false">IF(Tasks[[#This Row],[_Pred4Text]]="","",IFERROR(VALUE(LEFT(Tasks[[#This Row],[_Pred4Text]],MIN(FIND("F",Tasks[[#This Row],[_Pred4Text]]&amp;"F"),FIND("S",Tasks[[#This Row],[_Pred4Text]]&amp;"S"),FIND("+",Tasks[[#This Row],[_Pred4Text]]&amp;"+"),FIND("-",Tasks[[#This Row],[_Pred4Text]]&amp;"-"))-1)),""))</f>
        <v/>
      </c>
      <c r="DI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3" t="str">
        <f aca="false">IF(OR(Tasks[[#This Row],[Task Name]]="",Tasks[[#This Row],[_Resources]]=""),"",TRIM(MID(SUBSTITUTE(Tasks[[#This Row],[_Resources]],",",REPT(" ",99)),1,99)))</f>
        <v/>
      </c>
      <c r="DL13" s="43" t="str">
        <f aca="false">IF(Tasks[[#This Row],[_Res1Text]]="","",TRIM(MID(SUBSTITUTE(Tasks[[#This Row],[_Resources]],",",REPT(" ",99)),100,99)))</f>
        <v/>
      </c>
      <c r="DM13" s="43" t="str">
        <f aca="false">IF(Tasks[[#This Row],[_Res2Text]]="","",TRIM(MID(SUBSTITUTE(Tasks[[#This Row],[_Resources]],",",REPT(" ",99)),199,99)))</f>
        <v/>
      </c>
      <c r="DN13" s="43" t="str">
        <f aca="false">IF(Tasks[[#This Row],[_Res3Text]]="","",TRIM(MID(SUBSTITUTE(Tasks[[#This Row],[_Resources]],",",REPT(" ",99)),298,99)))</f>
        <v/>
      </c>
      <c r="DO13" s="43" t="n">
        <f aca="false">IF(Tasks[[#This Row],[_Res1Text]]="",0,IFERROR(MATCH(TRIM(LEFT(Tasks[[#This Row],[_Res1Text]],FIND("[",Tasks[[#This Row],[_Res1Text]]&amp;"[")-1)),res_Name,0),IFERROR(MATCH(TRIM(LEFT(Tasks[[#This Row],[_Res1Text]],FIND("[",Tasks[[#This Row],[_Res1Text]]&amp;"[")-1)),res_Initials,0),0)))</f>
        <v>0</v>
      </c>
      <c r="DP13" s="43" t="n">
        <f aca="false">IF(Tasks[[#This Row],[_Res2Text]]="",0,IFERROR(MATCH(TRIM(LEFT(Tasks[[#This Row],[_Res2Text]],FIND("[",Tasks[[#This Row],[_Res2Text]]&amp;"[")-1)),res_Name,0),IFERROR(MATCH(TRIM(LEFT(Tasks[[#This Row],[_Res2Text]],FIND("[",Tasks[[#This Row],[_Res2Text]]&amp;"[")-1)),res_Initials,0),0)))</f>
        <v>0</v>
      </c>
      <c r="DQ13" s="43" t="n">
        <f aca="false">IF(Tasks[[#This Row],[_Res3Text]]="",0,IFERROR(MATCH(TRIM(LEFT(Tasks[[#This Row],[_Res3Text]],FIND("[",Tasks[[#This Row],[_Res3Text]]&amp;"[")-1)),res_Name,0),IFERROR(MATCH(TRIM(LEFT(Tasks[[#This Row],[_Res3Text]],FIND("[",Tasks[[#This Row],[_Res3Text]]&amp;"[")-1)),res_Initials,0),0)))</f>
        <v>0</v>
      </c>
      <c r="DR13" s="43" t="n">
        <f aca="false">IF(Tasks[[#This Row],[_Res4Text]]="",0,IFERROR(MATCH(TRIM(LEFT(Tasks[[#This Row],[_Res4Text]],FIND("[",Tasks[[#This Row],[_Res4Text]]&amp;"[")-1)),res_Name,0),IFERROR(MATCH(TRIM(LEFT(Tasks[[#This Row],[_Res4Text]],FIND("[",Tasks[[#This Row],[_Res4Text]]&amp;"[")-1)),res_Initials,0),0)))</f>
        <v>0</v>
      </c>
      <c r="DS13" s="43" t="str">
        <f aca="false">IF(Tasks[[#This Row],[_Res1Text]]="","",IF(Tasks[[#This Row],[_Res1Row]]&gt;0,INDEX(res_Name,Tasks[[#This Row],[_Res1Row]]),TRIM(LEFT(Tasks[[#This Row],[_Res1Text]],FIND("[",Tasks[[#This Row],[_Res1Text]]&amp;"[")-1))))</f>
        <v/>
      </c>
      <c r="DT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3" t="n">
        <f aca="false">IF(NOT(Tasks[[#This Row],[_IsLeaf]]=1),0,(Tasks[[#This Row],[_Resource1]]&lt;&gt;"")+(Tasks[[#This Row],[_Res2]]&lt;&gt;"")+(Tasks[[#This Row],[_Res3]]&lt;&gt;"")+(Tasks[[#This Row],[_Res4]]&lt;&gt;""))</f>
        <v>0</v>
      </c>
      <c r="DV13" s="43" t="str">
        <f aca="false">IF(Tasks[[#This Row],[_Res2Text]]="","",IF(Tasks[[#This Row],[_Res2Row]]&gt;0,INDEX(res_Name,Tasks[[#This Row],[_Res2Row]]),TRIM(LEFT(Tasks[[#This Row],[_Res2Text]],FIND("[",Tasks[[#This Row],[_Res2Text]]&amp;"[")-1))))</f>
        <v/>
      </c>
      <c r="DW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3" t="n">
        <f aca="false">IF(OR(NOT(Tasks[[#This Row],[_IsLeaf]]=1),Tasks[[#This Row],[_Res2Row]]=0),0,N(Tasks[[#This Row],[_Days]])*HoursPerDay*IF(Tasks[[#This Row],[_Res2Units]]="",DefaultUnits,Tasks[[#This Row],[_Res2Units]]))</f>
        <v>0</v>
      </c>
      <c r="DY13" s="43" t="n">
        <f aca="false">IF(AND(AND(Tasks[[#This Row],[_IsLeaf]]=1,Tasks[[#This Row],[_LeafTotalWork]]&gt;0),Tasks[[#This Row],[_Res2Work]]&gt;0),Tasks[[#This Row],[_Res2Work]]/(Tasks[[#This Row],[_FinishWorkday]]-Tasks[[#This Row],[_StartWorkday]]+1),0)</f>
        <v>0</v>
      </c>
      <c r="DZ13" s="43" t="n">
        <f aca="false">Tasks[[#This Row],[_Res2WorkPerWD]]*MAX(0,Tasks[[#This Row],[_StartWorkday]]-1)</f>
        <v>0</v>
      </c>
      <c r="EA13" s="43" t="n">
        <f aca="false">Tasks[[#This Row],[_Res2Work]]*Tasks[[#This Row],[_LeafProgress]]</f>
        <v>0</v>
      </c>
      <c r="EB13" s="43" t="str">
        <f aca="false">IF(Tasks[[#This Row],[_Res3Text]]="","",IF(Tasks[[#This Row],[_Res3Row]]&gt;0,INDEX(res_Name,Tasks[[#This Row],[_Res3Row]]),TRIM(LEFT(Tasks[[#This Row],[_Res3Text]],FIND("[",Tasks[[#This Row],[_Res3Text]]&amp;"[")-1))))</f>
        <v/>
      </c>
      <c r="EC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3" t="n">
        <f aca="false">IF(OR(NOT(Tasks[[#This Row],[_IsLeaf]]=1),Tasks[[#This Row],[_Res3Row]]=0),0,N(Tasks[[#This Row],[_Days]])*HoursPerDay*IF(Tasks[[#This Row],[_Res3Units]]="",DefaultUnits,Tasks[[#This Row],[_Res3Units]]))</f>
        <v>0</v>
      </c>
      <c r="EE13" s="43" t="n">
        <f aca="false">IF(AND(AND(Tasks[[#This Row],[_IsLeaf]]=1,Tasks[[#This Row],[_LeafTotalWork]]&gt;0),Tasks[[#This Row],[_Res3Work]]&gt;0),Tasks[[#This Row],[_Res3Work]]/(Tasks[[#This Row],[_FinishWorkday]]-Tasks[[#This Row],[_StartWorkday]]+1),0)</f>
        <v>0</v>
      </c>
      <c r="EF13" s="43" t="n">
        <f aca="false">Tasks[[#This Row],[_Res3WorkPerWD]]*MAX(0,Tasks[[#This Row],[_StartWorkday]]-1)</f>
        <v>0</v>
      </c>
      <c r="EG13" s="43" t="n">
        <f aca="false">Tasks[[#This Row],[_Res3Work]]*Tasks[[#This Row],[_LeafProgress]]</f>
        <v>0</v>
      </c>
      <c r="EH13" s="43" t="str">
        <f aca="false">IF(Tasks[[#This Row],[_Res4Text]]="","",IF(Tasks[[#This Row],[_Res4Row]]&gt;0,INDEX(res_Name,Tasks[[#This Row],[_Res4Row]]),TRIM(LEFT(Tasks[[#This Row],[_Res4Text]],FIND("[",Tasks[[#This Row],[_Res4Text]]&amp;"[")-1))))</f>
        <v/>
      </c>
      <c r="EI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3" t="n">
        <f aca="false">IF(OR(NOT(Tasks[[#This Row],[_IsLeaf]]=1),Tasks[[#This Row],[_Res4Row]]=0),0,N(Tasks[[#This Row],[_Days]])*HoursPerDay*IF(Tasks[[#This Row],[_Res4Units]]="",DefaultUnits,Tasks[[#This Row],[_Res4Units]]))</f>
        <v>0</v>
      </c>
      <c r="EK13" s="43" t="n">
        <f aca="false">IF(AND(AND(Tasks[[#This Row],[_IsLeaf]]=1,Tasks[[#This Row],[_LeafTotalWork]]&gt;0),Tasks[[#This Row],[_Res4Work]]&gt;0),Tasks[[#This Row],[_Res4Work]]/(Tasks[[#This Row],[_FinishWorkday]]-Tasks[[#This Row],[_StartWorkday]]+1),0)</f>
        <v>0</v>
      </c>
      <c r="EL13" s="43" t="n">
        <f aca="false">Tasks[[#This Row],[_Res4WorkPerWD]]*MAX(0,Tasks[[#This Row],[_StartWorkday]]-1)</f>
        <v>0</v>
      </c>
      <c r="EM13" s="43" t="n">
        <f aca="false">Tasks[[#This Row],[_Res4Work]]*Tasks[[#This Row],[_LeafProgress]]</f>
        <v>0</v>
      </c>
      <c r="EN13" s="94" t="n">
        <f aca="false">IF(ISNUMBER(Tasks[[#This Row],[% Complete]]),Tasks[[#This Row],[% Complete]],IF(Tasks[[#This Row],[Stage]]="",0,IFERROR(INDEX(stg_Pct,MATCH(Tasks[[#This Row],[Stage]],stg_Name,0)),0)))</f>
        <v>1</v>
      </c>
      <c r="EO13" s="43" t="n">
        <f aca="false">IF(NOT(Tasks[[#This Row],[_IsLeaf]]=1),0,IF(N(Tasks[[#This Row],[Actual Finish]])&gt;0,1,MIN(1,Tasks[[#This Row],[_Pct]])))</f>
        <v>1</v>
      </c>
      <c r="EP13" s="43" t="n">
        <f aca="false">IF(OR(NOT(Tasks[[#This Row],[_IsLeaf]]=1),Tasks[[#This Row],[_Res1Row]]=0),0,N(Tasks[[#This Row],[_Days]])*HoursPerDay*IF(Tasks[[#This Row],[_Units1]]="",DefaultUnits,Tasks[[#This Row],[_Units1]]))</f>
        <v>0</v>
      </c>
      <c r="EQ13" s="43" t="n">
        <f aca="false">Tasks[[#This Row],[_LeafWork]]+Tasks[[#This Row],[_Res2Work]]+Tasks[[#This Row],[_Res3Work]]+Tasks[[#This Row],[_Res4Work]]</f>
        <v>0</v>
      </c>
      <c r="ER13"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3" t="n">
        <f aca="false">IF(NOT(Tasks[[#This Row],[_IsLeaf]]=1),0,MAX(_xlfn.MAXIFS(Tasks[_Row],Tasks[_Pred1UID],Tasks[[#This Row],[UID]]),_xlfn.MAXIFS(Tasks[_Row],Tasks[_Pred2UID],Tasks[[#This Row],[UID]]),_xlfn.MAXIFS(Tasks[_Row],Tasks[_Pred3UID],Tasks[[#This Row],[UID]]),_xlfn.MAXIFS(Tasks[_Row],Tasks[_Pred4UID],Tasks[[#This Row],[UID]])))</f>
        <v>10</v>
      </c>
      <c r="FA1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3"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3" s="91" t="n">
        <f aca="false">IF(NOT(Tasks[[#This Row],[_IsLeaf]]=1),"",IF(N(Tasks[[#This Row],[_Days]])&lt;=0,Tasks[[#This Row],[_LeafLateFinish]],WORKDAY.INTL(Tasks[[#This Row],[_LeafLateFinish]],-(Tasks[[#This Row],[_Days]]-1),WorkWeek,Holidays)))</f>
        <v>46302</v>
      </c>
      <c r="FD1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3" s="90" t="b">
        <f aca="false">AND(Tasks[[#This Row],[_IsLeaf]]=1,Tasks[[#This Row],[_LeafProgress]]&lt;1,N(Tasks[[#This Row],[_LeafTotalSlack]])&lt;=CriticalSlackDays)</f>
        <v>0</v>
      </c>
      <c r="FF13" s="43" t="n">
        <f aca="false">IF(AND(Tasks[[#This Row],[_IsLeaf]]=1,Tasks[[#This Row],[_ConstraintCode]]=1,Tasks[[#This Row],[Mode]]&lt;&gt;"Manual",N(Tasks[[#This Row],[Actual Start]])=0),MAX(0,N(Tasks[[#This Row],[Free Slack]])),0)</f>
        <v>0</v>
      </c>
      <c r="FG13" s="91" t="n">
        <f aca="false">IF(NOT(Tasks[[#This Row],[_IsLeaf]]=1),"",IF(Tasks[[#This Row],[_AlapShift]]=0,Tasks[[#This Row],[_LeafCalcStart]],WORKDAY.INTL(Tasks[[#This Row],[_LeafCalcStart]],Tasks[[#This Row],[_AlapShift]],WorkWeek,Holidays)))</f>
        <v>46296</v>
      </c>
      <c r="FH13" s="91" t="n">
        <f aca="false">IF(NOT(Tasks[[#This Row],[_IsLeaf]]=1),"",IF(Tasks[[#This Row],[_AlapShift]]=0,Tasks[[#This Row],[_LeafCalcFinish]],WORKDAY.INTL(Tasks[[#This Row],[_LeafCalcFinish]],Tasks[[#This Row],[_AlapShift]],WorkWeek,Holidays)))</f>
        <v>46296</v>
      </c>
      <c r="FI13" s="91" t="n">
        <f aca="false">IF(NOT(Tasks[[#This Row],[_IsLeaf]]=1),"",IF(Tasks[[#This Row],[_AlapShift]]=0,Tasks[[#This Row],[_LeafFcstStart]],WORKDAY.INTL(Tasks[[#This Row],[_LeafFcstStart]],Tasks[[#This Row],[_AlapShift]],WorkWeek,Holidays)))</f>
        <v>46301</v>
      </c>
      <c r="FJ13" s="91" t="n">
        <f aca="false">IF(NOT(Tasks[[#This Row],[_IsLeaf]]=1),"",IF(Tasks[[#This Row],[_AlapShift]]=0,Tasks[[#This Row],[_LeafFcstFinish]],WORKDAY.INTL(Tasks[[#This Row],[_LeafFcstFinish]],Tasks[[#This Row],[_AlapShift]],WorkWeek,Holidays)))</f>
        <v>46301</v>
      </c>
      <c r="FK13" s="91" t="n">
        <f aca="false">IF(Tasks[[#This Row],[Task Name]]="","",IF(Tasks[[#This Row],[_IsSummary]],MIN(INDEX(Tasks[_ShownCalcStart],Tasks[[#This Row],[_Row]]+1):INDEX(Tasks[_ShownCalcStart],Tasks[[#This Row],[_Row]]+Tasks[[#This Row],[_Descendants]])),Tasks[[#This Row],[_ShownCalcStart]]))</f>
        <v>46296</v>
      </c>
      <c r="FL13" s="91" t="n">
        <f aca="false">IF(Tasks[[#This Row],[Task Name]]="","",IF(Tasks[[#This Row],[_IsSummary]],MAX(INDEX(Tasks[_ShownCalcFinish],Tasks[[#This Row],[_Row]]+1):INDEX(Tasks[_ShownCalcFinish],Tasks[[#This Row],[_Row]]+Tasks[[#This Row],[_Descendants]])),Tasks[[#This Row],[_ShownCalcFinish]]))</f>
        <v>46296</v>
      </c>
      <c r="FM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R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V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 s="43" t="n">
        <f aca="false">IF(AND(Tasks[[#This Row],[_IsLeaf]]=1,Tasks[[#This Row],[_LeafTotalWork]]&gt;0),NETWORKDAYS.INTL(ProjectStart,Tasks[[#This Row],[_ShownFcstStart]],WorkWeek,Holidays),0)</f>
        <v>0</v>
      </c>
      <c r="FZ13" s="43" t="n">
        <f aca="false">IF(AND(Tasks[[#This Row],[_IsLeaf]]=1,Tasks[[#This Row],[_LeafTotalWork]]&gt;0),MAX(Tasks[[#This Row],[_StartWorkday]],NETWORKDAYS.INTL(ProjectStart,Tasks[[#This Row],[_ShownFcstFinish]],WorkWeek,Holidays)),0)</f>
        <v>0</v>
      </c>
      <c r="GA13" s="43" t="n">
        <f aca="false">IF(AND(Tasks[[#This Row],[_IsLeaf]]=1,Tasks[[#This Row],[_LeafTotalWork]]&gt;0),Tasks[[#This Row],[_LeafWork]]/(Tasks[[#This Row],[_FinishWorkday]]-Tasks[[#This Row],[_StartWorkday]]+1),0)</f>
        <v>0</v>
      </c>
      <c r="GB13" s="43" t="n">
        <f aca="false">Tasks[[#This Row],[_WorkPerWorkday]]*(Tasks[[#This Row],[_StartWorkday]]-1)</f>
        <v>-0</v>
      </c>
      <c r="GC13" s="43" t="n">
        <f aca="false">IF(Tasks[[#This Row],[_IsLeaf]]=1,MAX(N(Tasks[[#This Row],[_Days]]),0.1),0)</f>
        <v>0.1</v>
      </c>
      <c r="GD13" s="43" t="n">
        <f aca="false">Tasks[[#This Row],[_WeightDur]]*Tasks[[#This Row],[_LeafProgress]]</f>
        <v>0.1</v>
      </c>
      <c r="GE13" s="43" t="n">
        <f aca="false">Tasks[[#This Row],[_WeightDur]]*Tasks[[#This Row],[_PlannedPct]]</f>
        <v>0.1</v>
      </c>
      <c r="GF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GG13" s="43" t="str">
        <f aca="false">IF(AND(Tasks[[#This Row],[_IsLeaf]]=1,N(Tasks[[#This Row],[_Days]])=0,Tasks[[#This Row],[_LeafProgress]]&lt;1),Tasks[[#This Row],[_ShownFcstFinish]]+Tasks[[#This Row],[_Row]]/100000,"")</f>
        <v/>
      </c>
      <c r="GH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3" s="43" t="str">
        <f aca="false">IF(Tasks[[#This Row],[Task Name]]="","",LEFT(Tasks[[#This Row],[WBS]],FIND(".",Tasks[[#This Row],[WBS]]&amp;".")-1))</f>
        <v>2</v>
      </c>
      <c r="GJ13" s="43" t="str">
        <f aca="false">IF(AND(Tasks[[#This Row],[Task Name]]&lt;&gt;"",Tasks[[#This Row],[_Level]]=1),Tasks[[#This Row],[_Row]],"")</f>
        <v/>
      </c>
      <c r="GK13" s="95" t="n">
        <f aca="false">IF(AND(Tasks[[#This Row],[_IsLeaf]]=1,N(Tasks[[#This Row],[_Days]])=0),Tasks[[#This Row],[Planned Finish]]+Tasks[[#This Row],[_Row]]/100000,"")</f>
        <v>46296.00008</v>
      </c>
      <c r="GL13" s="43" t="str">
        <f aca="false">IF(AND(Tasks[[#This Row],[_IsLeaf]]=1,Tasks[[#This Row],[_LeafProgress]]&lt;1,OR(N(Tasks[[#This Row],[Finish Var]])&gt;0,Tasks[[#This Row],[Status]]="Late Start")),MAX(0,Tasks[[#This Row],[Finish Var]])+1-Tasks[[#This Row],[_Row]]/1000000,"")</f>
        <v/>
      </c>
      <c r="GM13" s="43" t="str">
        <f aca="false">IF(AND(Tasks[[#This Row],[_IsLeaf]]=1,N(Tasks[[#This Row],[Actual Start]])=0,Tasks[[#This Row],[_ShownFcstStart]]&gt;=StatusDate,Tasks[[#This Row],[_ShownFcstStart]]&lt;=LookaheadEnd),Tasks[[#This Row],[_ShownFcstStart]]+Tasks[[#This Row],[_Row]]/100000,"")</f>
        <v/>
      </c>
      <c r="GN13" s="43" t="str">
        <f aca="false">IF(AND(Tasks[[#This Row],[_IsLeaf]]=1,Tasks[[#This Row],[_LeafProgress]]&lt;1,Tasks[[#This Row],[_ShownFcstFinish]]&gt;=StatusDate,Tasks[[#This Row],[_ShownFcstFinish]]&lt;=LookaheadEnd),Tasks[[#This Row],[_ShownFcstFinish]]+Tasks[[#This Row],[_Row]]/100000,"")</f>
        <v/>
      </c>
      <c r="GO13" s="43" t="str">
        <f aca="false">IF(Tasks[[#This Row],[_LeafCritical]],Tasks[[#This Row],[_ShownFcstStart]]+Tasks[[#This Row],[_Row]]/100000,"")</f>
        <v/>
      </c>
      <c r="GP13" s="43" t="n">
        <f aca="false">Tasks[[#This Row],[_LeafWork]]*Tasks[[#This Row],[_LeafProgress]]</f>
        <v>0</v>
      </c>
      <c r="GQ13" s="91" t="n">
        <f aca="false">IF(AND(Tasks[[#This Row],[_IsLeaf]]=1,Tasks[[#This Row],[_LeafProgress]]&gt;=1),IF(N(Tasks[[#This Row],[Actual Finish]])&gt;0,Tasks[[#This Row],[Actual Finish]],Tasks[[#This Row],[_ShownFcstFinish]]),"")</f>
        <v>46301</v>
      </c>
      <c r="GR13" s="43" t="n">
        <f aca="false">IF(Tasks[[#This Row],[_IsLeaf]]=1,N(Tasks[[#This Row],[Story Points]]),0)</f>
        <v>0</v>
      </c>
      <c r="GS13" s="43" t="str">
        <f aca="false">""</f>
        <v/>
      </c>
      <c r="GT13" s="90" t="b">
        <f aca="false">IF(Tasks[[#This Row],[Task Name]]="",FALSE(),AND(Tasks[[#This Row],[_IsLeaf]]=1,N(Tasks[[#This Row],[_Days]])=0))</f>
        <v>1</v>
      </c>
      <c r="GU13" s="91" t="n">
        <f aca="false">IF(Tasks[[#This Row],[Task Name]]="",0,IF(AND(Tasks[[#This Row],[_IsLeaf]]=1,NOT(Tasks[[#This Row],[_IsMilestone]]),N(Tasks[[#This Row],[Progress]])&gt;0),Tasks[[#This Row],[Start]],0))</f>
        <v>0</v>
      </c>
      <c r="GV13" s="91" t="n">
        <f aca="false">IF(Tasks[[#This Row],[_DoneFrom]]=0,0,IF(Tasks[[#This Row],[Progress]]&gt;=1,Tasks[[#This Row],[Finish]],MAX(Tasks[[#This Row],[_DoneFrom]],Tasks[[#This Row],[Start]]+ROUND((Tasks[[#This Row],[Finish]]-Tasks[[#This Row],[Start]]+1)*Tasks[[#This Row],[Progress]],0)-1)))</f>
        <v>0</v>
      </c>
      <c r="GW13" s="91" t="n">
        <f aca="false">IF(Tasks[[#This Row],[Task Name]]="",0,IF(OR(NOT(Tasks[[#This Row],[_IsLeaf]]=1),Tasks[[#This Row],[_IsMilestone]],N(Tasks[[#This Row],[Progress]])&gt;=1),0,IF(Tasks[[#This Row],[_DoneTo]]&gt;0,Tasks[[#This Row],[_DoneTo]]+1,Tasks[[#This Row],[Start]])))</f>
        <v>0</v>
      </c>
      <c r="GX13" s="91" t="n">
        <f aca="false">IF(Tasks[[#This Row],[_RemFrom]]=0,0,Tasks[[#This Row],[Finish]])</f>
        <v>0</v>
      </c>
      <c r="GY13" s="90" t="b">
        <f aca="false">IF(Tasks[[#This Row],[Task Name]]="",FALSE(),OR(NOT(BaselineSet),N(Tasks[[#This Row],[Baseline Start]])&gt;0))</f>
        <v>1</v>
      </c>
      <c r="GZ13"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HB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92" t="n">
        <f aca="false">IF(Tasks[[#This Row],[_IsLeaf]]=1,Tasks[[#This Row],[_Row]],"")</f>
        <v>8</v>
      </c>
      <c r="HD13" s="92" t="str">
        <f aca="false">IFERROR(INDEX(Tasks[UID],SMALL(Tasks[_PickKey],Tasks[[#This Row],[_Row]]))&amp;" "&amp;INDEX(Tasks[Task Name],SMALL(Tasks[_PickKey],Tasks[[#This Row],[_Row]])),"")</f>
        <v>24 Go-live readiness review</v>
      </c>
      <c r="HE13" s="43" t="n">
        <f aca="false">IF(Tasks[[#This Row],[Task Name]]="","",IF(Tasks[[#This Row],[_IsSummary]],NETWORKDAYS.INTL(Tasks[[#This Row],[Start]],Tasks[[#This Row],[Finish]],WorkWeek,Holidays),N(Tasks[[#This Row],[_Days]])))</f>
        <v>0</v>
      </c>
      <c r="HF13" s="43" t="n">
        <f aca="false">IF(Tasks[[#This Row],[Expected]]="",0,((Tasks[[#This Row],[Pessimistic]]-Tasks[[#This Row],[Optimistic]])/6)^2)</f>
        <v>0</v>
      </c>
      <c r="HG13" s="43" t="n">
        <f aca="false">IF(Tasks[[#This Row],[Expected]]="",0,Tasks[[#This Row],[Expected]]-N(Tasks[[#This Row],[_Days]]))</f>
        <v>0</v>
      </c>
    </row>
    <row r="14" customFormat="false" ht="15" hidden="false" customHeight="false" outlineLevel="0" collapsed="false">
      <c r="A14" s="21" t="n">
        <f aca="false">IF(Tasks[[#This Row],[Task Name]]="","",COUNTA(Tasks[[#Headers],[Task Name]]:Tasks[[#This Row],[Task Name]])-1)</f>
        <v>9</v>
      </c>
      <c r="B14" s="22" t="n">
        <v>20</v>
      </c>
      <c r="C14" s="22" t="n">
        <v>1</v>
      </c>
      <c r="D14" s="23" t="s">
        <v>654</v>
      </c>
      <c r="E14" s="22"/>
      <c r="F14" s="23"/>
      <c r="G14" s="22"/>
      <c r="H14" s="22"/>
      <c r="I14" s="23"/>
      <c r="J14" s="22"/>
      <c r="K14" s="22"/>
      <c r="L14" s="23"/>
      <c r="M14" s="22"/>
      <c r="N14" s="22"/>
      <c r="O14" s="23"/>
      <c r="P14" s="22"/>
      <c r="Q14" s="22"/>
      <c r="R14" s="23"/>
      <c r="S14" s="23"/>
      <c r="T14" s="84"/>
      <c r="U14" s="23"/>
      <c r="V14" s="84"/>
      <c r="W14" s="23"/>
      <c r="X14" s="84"/>
      <c r="Y14" s="23"/>
      <c r="Z14" s="84"/>
      <c r="AA14" s="23"/>
      <c r="AB14" s="23"/>
      <c r="AC14" s="7"/>
      <c r="AD14" s="7"/>
      <c r="AE14" s="63" t="n">
        <f aca="false">IF(Tasks[[#This Row],[Task Name]]="","",IF(Tasks[[#This Row],[_IsSummary]],MIN(INDEX(Tasks[_ShownFcstStart],Tasks[[#This Row],[_Row]]+1):INDEX(Tasks[_ShownFcstStart],Tasks[[#This Row],[_Row]]+Tasks[[#This Row],[_Descendants]])),Tasks[[#This Row],[_ShownFcstStart]]))</f>
        <v>46302</v>
      </c>
      <c r="AF14" s="63"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 s="7"/>
      <c r="AK14" s="22" t="s">
        <v>248</v>
      </c>
      <c r="AL14" s="23"/>
      <c r="AM14" s="7"/>
      <c r="AN14" s="47"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3" t="n">
        <f aca="false">IF(Tasks[[#This Row],[Task Name]]="","",IF(N(Tasks[[#This Row],[Baseline Start]])&gt;0,Tasks[[#This Row],[Baseline Start]],Tasks[[#This Row],[_CalcStart]]))</f>
        <v>46297</v>
      </c>
      <c r="AR14" s="63" t="n">
        <f aca="false">IF(Tasks[[#This Row],[Task Name]]="","",IF(N(Tasks[[#This Row],[Baseline Finish]])&gt;0,Tasks[[#This Row],[Baseline Finish]],Tasks[[#This Row],[_CalcFinish]]))</f>
        <v>46318</v>
      </c>
      <c r="AS14" s="47" t="n">
        <f aca="false">IF(Tasks[[#This Row],[Task Name]]="","",IF(Tasks[[#This Row],[Start]]&gt;=Tasks[[#This Row],[Planned Start]],NETWORKDAYS.INTL(Tasks[[#This Row],[Planned Start]],Tasks[[#This Row],[Start]],WorkWeek,Holidays)-1,1-NETWORKDAYS.INTL(Tasks[[#This Row],[Start]],Tasks[[#This Row],[Planned Start]],WorkWeek,Holidays)))</f>
        <v>3</v>
      </c>
      <c r="AT14" s="63" t="n">
        <f aca="false">IF(Tasks[[#This Row],[Task Name]]="","",IF(Tasks[[#This Row],[_IsSummary]],MIN(INDEX(Tasks[_LeafLateStart],Tasks[[#This Row],[_Row]]+1):INDEX(Tasks[_LeafLateStart],Tasks[[#This Row],[_Row]]+Tasks[[#This Row],[_Descendants]])),Tasks[[#This Row],[_LeafLateStart]]))</f>
        <v>46303</v>
      </c>
      <c r="AU14" s="63" t="n">
        <f aca="false">IF(Tasks[[#This Row],[Task Name]]="","",IF(Tasks[[#This Row],[_IsSummary]],MAX(INDEX(Tasks[_LeafLateFinish],Tasks[[#This Row],[_Row]]+1):INDEX(Tasks[_LeafLateFinish],Tasks[[#This Row],[_Row]]+Tasks[[#This Row],[_Descendants]])),Tasks[[#This Row],[_LeafLateFinish]]))</f>
        <v>46324</v>
      </c>
      <c r="AV14" s="47"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5"/>
      <c r="BA14"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6" t="n">
        <f aca="false">IF(Tasks[[#This Row],[Task Name]]="","",IF(Tasks[[#This Row],[_IsSummary]],SUM(INDEX(Tasks[_LeafTotalWork],Tasks[[#This Row],[_Row]]+1):INDEX(Tasks[_LeafTotalWork],Tasks[[#This Row],[_Row]]+Tasks[[#This Row],[_Descendants]])),Tasks[[#This Row],[_LeafTotalWork]]))</f>
        <v>188</v>
      </c>
      <c r="BF14" s="23" t="s">
        <v>655</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7"/>
      <c r="BJ14" s="22"/>
      <c r="BK14" s="47" t="n">
        <f aca="false">IF(OR(Tasks[[#This Row],[Task Name]]="",Tasks[[#This Row],[Baseline Duration]]=""),"",Tasks[[#This Row],[_SpanDays]]-N(Tasks[[#This Row],[Baseline Duration]]))</f>
        <v>1</v>
      </c>
      <c r="BL14" s="86" t="n">
        <f aca="false">IF(OR(Tasks[[#This Row],[Task Name]]="",Tasks[[#This Row],[Baseline Work]]=""),"",Tasks[[#This Row],[Work]]-N(Tasks[[#This Row],[Baseline Work]]))</f>
        <v>60</v>
      </c>
      <c r="BM14" s="63" t="n">
        <f aca="false">IF(Tasks[[#This Row],[Task Name]]="","",IF(OR(TakeBaseline="Yes",N(Tasks[[#This Row],[Baseline Start]])=0),Tasks[[#This Row],[Start]],Tasks[[#This Row],[Baseline Start]]))</f>
        <v>46297</v>
      </c>
      <c r="BN14" s="63" t="n">
        <f aca="false">IF(Tasks[[#This Row],[Task Name]]="","",IF(OR(TakeBaseline="Yes",N(Tasks[[#This Row],[Baseline Finish]])=0),Tasks[[#This Row],[Finish]],Tasks[[#This Row],[Baseline Finish]]))</f>
        <v>46318</v>
      </c>
      <c r="BO14" s="21" t="n">
        <f aca="false">IF(Tasks[[#This Row],[Task Name]]="","",IF(OR(TakeBaseline="Yes",N(Tasks[[#This Row],[Baseline Duration]])=0),Tasks[[#This Row],[_SpanDays]],Tasks[[#This Row],[Baseline Duration]]))</f>
        <v>16</v>
      </c>
      <c r="BP14" s="86" t="n">
        <f aca="false">IF(Tasks[[#This Row],[Task Name]]="","",IF(OR(TakeBaseline="Yes",N(Tasks[[#This Row],[Baseline Work]])=0),Tasks[[#This Row],[Work]],Tasks[[#This Row],[Baseline Work]]))</f>
        <v>128</v>
      </c>
      <c r="BQ14" s="7" t="n">
        <v>46297</v>
      </c>
      <c r="BR14" s="7" t="n">
        <v>46318</v>
      </c>
      <c r="BS14" s="22" t="n">
        <v>16</v>
      </c>
      <c r="BT14" s="88" t="n">
        <v>128</v>
      </c>
      <c r="BU14" s="23"/>
      <c r="BV14" s="23"/>
      <c r="BW14" s="23"/>
      <c r="BX14" s="89" t="str">
        <f aca="false">IF(AND(Tasks[[#This Row],[_IsLeaf]]=1,ISNUMBER(Tasks[[#This Row],[Optimistic]]),ISNUMBER(Tasks[[#This Row],[Pessimistic]])),ROUND((Tasks[[#This Row],[Optimistic]]+4*N(Tasks[[#This Row],[_Days]])+Tasks[[#This Row],[Pessimistic]])/6,1),"")</f>
        <v/>
      </c>
      <c r="BY14" s="87"/>
      <c r="BZ14" s="87"/>
      <c r="CA14" s="22"/>
      <c r="CB14" s="43" t="n">
        <f aca="false">IF(Tasks[[#This Row],[Task Name]]="","",MAX(1,N(Tasks[[#This Row],[Level]])))</f>
        <v>1</v>
      </c>
      <c r="CC14" s="43" t="n">
        <f aca="false">ROW()-ROW(Tasks[[#Headers],[ID]])</f>
        <v>9</v>
      </c>
      <c r="CD14" s="43" t="n">
        <f aca="false">IF(OR(Tasks[[#This Row],[Task Name]]="",Tasks[[#This Row],[_Level]]&lt;=1),0,IFERROR(LOOKUP(2,1/(Tasks[[#Headers],[_Level]]:Tasks[[#This Row],[_Level]]=Tasks[[#This Row],[_Level]]-1),ROW(Tasks[[#Headers],[_Level]]:Tasks[[#This Row],[_Level]])),0))</f>
        <v>0</v>
      </c>
      <c r="CE14" s="43" t="n">
        <f aca="false">IFERROR(N(INDEX(Tasks[_Level],Tasks[[#This Row],[_Row]]+1)),0)</f>
        <v>2</v>
      </c>
      <c r="CF14" s="90" t="b">
        <f aca="false">AND(Tasks[[#This Row],[Task Name]]&lt;&gt;"",Tasks[[#This Row],[_NextLevel]]&gt;Tasks[[#This Row],[_Level]])</f>
        <v>1</v>
      </c>
      <c r="CG14" s="43" t="n">
        <f aca="false">IF(Tasks[[#This Row],[_IsSummary]],COUNTIF(Tasks[WBS],Tasks[[#This Row],[WBS]]&amp;".*"),0)</f>
        <v>3</v>
      </c>
      <c r="CH14" s="43" t="n">
        <f aca="false">IF(AND(Tasks[[#This Row],[Task Name]]&lt;&gt;"",NOT(Tasks[[#This Row],[_IsSummary]])),1,0)</f>
        <v>0</v>
      </c>
      <c r="CI14" s="43" t="n">
        <f aca="false">IF(N(Tasks[[#This Row],[_Pred1UID]])=0,0,IFERROR(MATCH(Tasks[[#This Row],[_Pred1UID]],Tasks[UID],0),-1))</f>
        <v>0</v>
      </c>
      <c r="CJ14" s="43" t="n">
        <f aca="false">IF(N(Tasks[[#This Row],[_Pred2UID]])=0,0,IFERROR(MATCH(Tasks[[#This Row],[_Pred2UID]],Tasks[UID],0),-1))</f>
        <v>0</v>
      </c>
      <c r="CK14" s="43" t="n">
        <f aca="false">IF(N(Tasks[[#This Row],[_Pred3UID]])=0,0,IFERROR(MATCH(Tasks[[#This Row],[_Pred3UID]],Tasks[UID],0),-1))</f>
        <v>0</v>
      </c>
      <c r="CL14" s="43" t="n">
        <f aca="false">IF(N(Tasks[[#This Row],[_Pred4UID]])=0,0,IFERROR(MATCH(Tasks[[#This Row],[_Pred4UID]],Tasks[UID],0),-1))</f>
        <v>0</v>
      </c>
      <c r="CM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 s="91" t="n">
        <f aca="false">IF(OR(Tasks[[#This Row],[_ConstraintCode]]=2,Tasks[[#This Row],[_ConstraintCode]]=3,Tasks[[#This Row],[_ConstraintCode]]=4,Tasks[[#This Row],[_ConstraintCode]]=6),Tasks[[#This Row],[_ConstraintStart]],0)</f>
        <v>0</v>
      </c>
      <c r="CP14" s="91" t="n">
        <f aca="false">IF(OR(Tasks[[#This Row],[_ConstraintCode]]=2,Tasks[[#This Row],[_ConstraintCode]]=3,Tasks[[#This Row],[_ConstraintCode]]=5,Tasks[[#This Row],[_ConstraintCode]]=7),Tasks[[#This Row],[_ConstraintStart]],2958465)</f>
        <v>2958465</v>
      </c>
      <c r="CQ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91" t="str">
        <f aca="false">IF(NOT(Tasks[[#This Row],[_IsLeaf]]=1),"",IF(N(Tasks[[#This Row],[_Days]])&lt;=0,Tasks[[#This Row],[_LeafCalcStart]],WORKDAY.INTL(Tasks[[#This Row],[_LeafCalcStart]],Tasks[[#This Row],[_Days]]-1,WorkWeek,Holidays)))</f>
        <v/>
      </c>
      <c r="CS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3" t="str">
        <f aca="false">IF(Tasks[[#This Row],[_Predecessors]]="","",TRIM(MID(SUBSTITUTE(SUBSTITUTE(SUBSTITUTE(UPPER(Tasks[[#This Row],[_Predecessors]]),";",",")," ",""),",",REPT(" ",99)),1,99)))</f>
        <v/>
      </c>
      <c r="CV14" s="43" t="str">
        <f aca="false">IF(Tasks[[#This Row],[_Pred1Text]]="","",IFERROR(VALUE(LEFT(Tasks[[#This Row],[_Pred1Text]],MIN(FIND("F",Tasks[[#This Row],[_Pred1Text]]&amp;"F"),FIND("S",Tasks[[#This Row],[_Pred1Text]]&amp;"S"),FIND("+",Tasks[[#This Row],[_Pred1Text]]&amp;"+"),FIND("-",Tasks[[#This Row],[_Pred1Text]]&amp;"-"))-1)),""))</f>
        <v/>
      </c>
      <c r="CW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3" t="str">
        <f aca="false">IF(Tasks[[#This Row],[_Pred1Text]]="","",TRIM(MID(SUBSTITUTE(SUBSTITUTE(SUBSTITUTE(UPPER(Tasks[[#This Row],[_Predecessors]]),";",",")," ",""),",",REPT(" ",99)),100,99)))</f>
        <v/>
      </c>
      <c r="CZ14" s="43" t="str">
        <f aca="false">IF(Tasks[[#This Row],[_Pred2Text]]="","",IFERROR(VALUE(LEFT(Tasks[[#This Row],[_Pred2Text]],MIN(FIND("F",Tasks[[#This Row],[_Pred2Text]]&amp;"F"),FIND("S",Tasks[[#This Row],[_Pred2Text]]&amp;"S"),FIND("+",Tasks[[#This Row],[_Pred2Text]]&amp;"+"),FIND("-",Tasks[[#This Row],[_Pred2Text]]&amp;"-"))-1)),""))</f>
        <v/>
      </c>
      <c r="DA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3" t="str">
        <f aca="false">IF(Tasks[[#This Row],[_Pred2Text]]="","",TRIM(MID(SUBSTITUTE(SUBSTITUTE(SUBSTITUTE(UPPER(Tasks[[#This Row],[_Predecessors]]),";",",")," ",""),",",REPT(" ",99)),199,99)))</f>
        <v/>
      </c>
      <c r="DD14" s="43" t="str">
        <f aca="false">IF(Tasks[[#This Row],[_Pred3Text]]="","",IFERROR(VALUE(LEFT(Tasks[[#This Row],[_Pred3Text]],MIN(FIND("F",Tasks[[#This Row],[_Pred3Text]]&amp;"F"),FIND("S",Tasks[[#This Row],[_Pred3Text]]&amp;"S"),FIND("+",Tasks[[#This Row],[_Pred3Text]]&amp;"+"),FIND("-",Tasks[[#This Row],[_Pred3Text]]&amp;"-"))-1)),""))</f>
        <v/>
      </c>
      <c r="DE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3" t="str">
        <f aca="false">IF(Tasks[[#This Row],[_Pred3Text]]="","",TRIM(MID(SUBSTITUTE(SUBSTITUTE(SUBSTITUTE(UPPER(Tasks[[#This Row],[_Predecessors]]),";",",")," ",""),",",REPT(" ",99)),298,99)))</f>
        <v/>
      </c>
      <c r="DH14" s="43" t="str">
        <f aca="false">IF(Tasks[[#This Row],[_Pred4Text]]="","",IFERROR(VALUE(LEFT(Tasks[[#This Row],[_Pred4Text]],MIN(FIND("F",Tasks[[#This Row],[_Pred4Text]]&amp;"F"),FIND("S",Tasks[[#This Row],[_Pred4Text]]&amp;"S"),FIND("+",Tasks[[#This Row],[_Pred4Text]]&amp;"+"),FIND("-",Tasks[[#This Row],[_Pred4Text]]&amp;"-"))-1)),""))</f>
        <v/>
      </c>
      <c r="DI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3" t="str">
        <f aca="false">IF(OR(Tasks[[#This Row],[Task Name]]="",Tasks[[#This Row],[_Resources]]=""),"",TRIM(MID(SUBSTITUTE(Tasks[[#This Row],[_Resources]],",",REPT(" ",99)),1,99)))</f>
        <v/>
      </c>
      <c r="DL14" s="43" t="str">
        <f aca="false">IF(Tasks[[#This Row],[_Res1Text]]="","",TRIM(MID(SUBSTITUTE(Tasks[[#This Row],[_Resources]],",",REPT(" ",99)),100,99)))</f>
        <v/>
      </c>
      <c r="DM14" s="43" t="str">
        <f aca="false">IF(Tasks[[#This Row],[_Res2Text]]="","",TRIM(MID(SUBSTITUTE(Tasks[[#This Row],[_Resources]],",",REPT(" ",99)),199,99)))</f>
        <v/>
      </c>
      <c r="DN14" s="43" t="str">
        <f aca="false">IF(Tasks[[#This Row],[_Res3Text]]="","",TRIM(MID(SUBSTITUTE(Tasks[[#This Row],[_Resources]],",",REPT(" ",99)),298,99)))</f>
        <v/>
      </c>
      <c r="DO14" s="43" t="n">
        <f aca="false">IF(Tasks[[#This Row],[_Res1Text]]="",0,IFERROR(MATCH(TRIM(LEFT(Tasks[[#This Row],[_Res1Text]],FIND("[",Tasks[[#This Row],[_Res1Text]]&amp;"[")-1)),res_Name,0),IFERROR(MATCH(TRIM(LEFT(Tasks[[#This Row],[_Res1Text]],FIND("[",Tasks[[#This Row],[_Res1Text]]&amp;"[")-1)),res_Initials,0),0)))</f>
        <v>0</v>
      </c>
      <c r="DP14" s="43" t="n">
        <f aca="false">IF(Tasks[[#This Row],[_Res2Text]]="",0,IFERROR(MATCH(TRIM(LEFT(Tasks[[#This Row],[_Res2Text]],FIND("[",Tasks[[#This Row],[_Res2Text]]&amp;"[")-1)),res_Name,0),IFERROR(MATCH(TRIM(LEFT(Tasks[[#This Row],[_Res2Text]],FIND("[",Tasks[[#This Row],[_Res2Text]]&amp;"[")-1)),res_Initials,0),0)))</f>
        <v>0</v>
      </c>
      <c r="DQ14" s="43" t="n">
        <f aca="false">IF(Tasks[[#This Row],[_Res3Text]]="",0,IFERROR(MATCH(TRIM(LEFT(Tasks[[#This Row],[_Res3Text]],FIND("[",Tasks[[#This Row],[_Res3Text]]&amp;"[")-1)),res_Name,0),IFERROR(MATCH(TRIM(LEFT(Tasks[[#This Row],[_Res3Text]],FIND("[",Tasks[[#This Row],[_Res3Text]]&amp;"[")-1)),res_Initials,0),0)))</f>
        <v>0</v>
      </c>
      <c r="DR14" s="43" t="n">
        <f aca="false">IF(Tasks[[#This Row],[_Res4Text]]="",0,IFERROR(MATCH(TRIM(LEFT(Tasks[[#This Row],[_Res4Text]],FIND("[",Tasks[[#This Row],[_Res4Text]]&amp;"[")-1)),res_Name,0),IFERROR(MATCH(TRIM(LEFT(Tasks[[#This Row],[_Res4Text]],FIND("[",Tasks[[#This Row],[_Res4Text]]&amp;"[")-1)),res_Initials,0),0)))</f>
        <v>0</v>
      </c>
      <c r="DS14" s="43" t="str">
        <f aca="false">IF(Tasks[[#This Row],[_Res1Text]]="","",IF(Tasks[[#This Row],[_Res1Row]]&gt;0,INDEX(res_Name,Tasks[[#This Row],[_Res1Row]]),TRIM(LEFT(Tasks[[#This Row],[_Res1Text]],FIND("[",Tasks[[#This Row],[_Res1Text]]&amp;"[")-1))))</f>
        <v/>
      </c>
      <c r="DT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3" t="n">
        <f aca="false">IF(NOT(Tasks[[#This Row],[_IsLeaf]]=1),0,(Tasks[[#This Row],[_Resource1]]&lt;&gt;"")+(Tasks[[#This Row],[_Res2]]&lt;&gt;"")+(Tasks[[#This Row],[_Res3]]&lt;&gt;"")+(Tasks[[#This Row],[_Res4]]&lt;&gt;""))</f>
        <v>0</v>
      </c>
      <c r="DV14" s="43" t="str">
        <f aca="false">IF(Tasks[[#This Row],[_Res2Text]]="","",IF(Tasks[[#This Row],[_Res2Row]]&gt;0,INDEX(res_Name,Tasks[[#This Row],[_Res2Row]]),TRIM(LEFT(Tasks[[#This Row],[_Res2Text]],FIND("[",Tasks[[#This Row],[_Res2Text]]&amp;"[")-1))))</f>
        <v/>
      </c>
      <c r="DW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3" t="n">
        <f aca="false">IF(OR(NOT(Tasks[[#This Row],[_IsLeaf]]=1),Tasks[[#This Row],[_Res2Row]]=0),0,N(Tasks[[#This Row],[_Days]])*HoursPerDay*IF(Tasks[[#This Row],[_Res2Units]]="",DefaultUnits,Tasks[[#This Row],[_Res2Units]]))</f>
        <v>0</v>
      </c>
      <c r="DY14" s="43" t="n">
        <f aca="false">IF(AND(AND(Tasks[[#This Row],[_IsLeaf]]=1,Tasks[[#This Row],[_LeafTotalWork]]&gt;0),Tasks[[#This Row],[_Res2Work]]&gt;0),Tasks[[#This Row],[_Res2Work]]/(Tasks[[#This Row],[_FinishWorkday]]-Tasks[[#This Row],[_StartWorkday]]+1),0)</f>
        <v>0</v>
      </c>
      <c r="DZ14" s="43" t="n">
        <f aca="false">Tasks[[#This Row],[_Res2WorkPerWD]]*MAX(0,Tasks[[#This Row],[_StartWorkday]]-1)</f>
        <v>0</v>
      </c>
      <c r="EA14" s="43" t="n">
        <f aca="false">Tasks[[#This Row],[_Res2Work]]*Tasks[[#This Row],[_LeafProgress]]</f>
        <v>0</v>
      </c>
      <c r="EB14" s="43" t="str">
        <f aca="false">IF(Tasks[[#This Row],[_Res3Text]]="","",IF(Tasks[[#This Row],[_Res3Row]]&gt;0,INDEX(res_Name,Tasks[[#This Row],[_Res3Row]]),TRIM(LEFT(Tasks[[#This Row],[_Res3Text]],FIND("[",Tasks[[#This Row],[_Res3Text]]&amp;"[")-1))))</f>
        <v/>
      </c>
      <c r="EC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3" t="n">
        <f aca="false">IF(OR(NOT(Tasks[[#This Row],[_IsLeaf]]=1),Tasks[[#This Row],[_Res3Row]]=0),0,N(Tasks[[#This Row],[_Days]])*HoursPerDay*IF(Tasks[[#This Row],[_Res3Units]]="",DefaultUnits,Tasks[[#This Row],[_Res3Units]]))</f>
        <v>0</v>
      </c>
      <c r="EE14" s="43" t="n">
        <f aca="false">IF(AND(AND(Tasks[[#This Row],[_IsLeaf]]=1,Tasks[[#This Row],[_LeafTotalWork]]&gt;0),Tasks[[#This Row],[_Res3Work]]&gt;0),Tasks[[#This Row],[_Res3Work]]/(Tasks[[#This Row],[_FinishWorkday]]-Tasks[[#This Row],[_StartWorkday]]+1),0)</f>
        <v>0</v>
      </c>
      <c r="EF14" s="43" t="n">
        <f aca="false">Tasks[[#This Row],[_Res3WorkPerWD]]*MAX(0,Tasks[[#This Row],[_StartWorkday]]-1)</f>
        <v>0</v>
      </c>
      <c r="EG14" s="43" t="n">
        <f aca="false">Tasks[[#This Row],[_Res3Work]]*Tasks[[#This Row],[_LeafProgress]]</f>
        <v>0</v>
      </c>
      <c r="EH14" s="43" t="str">
        <f aca="false">IF(Tasks[[#This Row],[_Res4Text]]="","",IF(Tasks[[#This Row],[_Res4Row]]&gt;0,INDEX(res_Name,Tasks[[#This Row],[_Res4Row]]),TRIM(LEFT(Tasks[[#This Row],[_Res4Text]],FIND("[",Tasks[[#This Row],[_Res4Text]]&amp;"[")-1))))</f>
        <v/>
      </c>
      <c r="EI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3" t="n">
        <f aca="false">IF(OR(NOT(Tasks[[#This Row],[_IsLeaf]]=1),Tasks[[#This Row],[_Res4Row]]=0),0,N(Tasks[[#This Row],[_Days]])*HoursPerDay*IF(Tasks[[#This Row],[_Res4Units]]="",DefaultUnits,Tasks[[#This Row],[_Res4Units]]))</f>
        <v>0</v>
      </c>
      <c r="EK14" s="43" t="n">
        <f aca="false">IF(AND(AND(Tasks[[#This Row],[_IsLeaf]]=1,Tasks[[#This Row],[_LeafTotalWork]]&gt;0),Tasks[[#This Row],[_Res4Work]]&gt;0),Tasks[[#This Row],[_Res4Work]]/(Tasks[[#This Row],[_FinishWorkday]]-Tasks[[#This Row],[_StartWorkday]]+1),0)</f>
        <v>0</v>
      </c>
      <c r="EL14" s="43" t="n">
        <f aca="false">Tasks[[#This Row],[_Res4WorkPerWD]]*MAX(0,Tasks[[#This Row],[_StartWorkday]]-1)</f>
        <v>0</v>
      </c>
      <c r="EM14" s="43" t="n">
        <f aca="false">Tasks[[#This Row],[_Res4Work]]*Tasks[[#This Row],[_LeafProgress]]</f>
        <v>0</v>
      </c>
      <c r="EN14" s="43" t="n">
        <f aca="false">IF(ISNUMBER(Tasks[[#This Row],[% Complete]]),Tasks[[#This Row],[% Complete]],IF(Tasks[[#This Row],[Stage]]="",0,IFERROR(INDEX(stg_Pct,MATCH(Tasks[[#This Row],[Stage]],stg_Name,0)),0)))</f>
        <v>0</v>
      </c>
      <c r="EO14" s="43" t="n">
        <f aca="false">IF(NOT(Tasks[[#This Row],[_IsLeaf]]=1),0,IF(N(Tasks[[#This Row],[Actual Finish]])&gt;0,1,MIN(1,Tasks[[#This Row],[_Pct]])))</f>
        <v>0</v>
      </c>
      <c r="EP14" s="43" t="n">
        <f aca="false">IF(OR(NOT(Tasks[[#This Row],[_IsLeaf]]=1),Tasks[[#This Row],[_Res1Row]]=0),0,N(Tasks[[#This Row],[_Days]])*HoursPerDay*IF(Tasks[[#This Row],[_Units1]]="",DefaultUnits,Tasks[[#This Row],[_Units1]]))</f>
        <v>0</v>
      </c>
      <c r="EQ14" s="43" t="n">
        <f aca="false">Tasks[[#This Row],[_LeafWork]]+Tasks[[#This Row],[_Res2Work]]+Tasks[[#This Row],[_Res3Work]]+Tasks[[#This Row],[_Res4Work]]</f>
        <v>0</v>
      </c>
      <c r="ER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3" t="n">
        <f aca="false">IF(NOT(Tasks[[#This Row],[_IsLeaf]]=1),0,MAX(_xlfn.MAXIFS(Tasks[_Row],Tasks[_Pred1UID],Tasks[[#This Row],[UID]]),_xlfn.MAXIFS(Tasks[_Row],Tasks[_Pred2UID],Tasks[[#This Row],[UID]]),_xlfn.MAXIFS(Tasks[_Row],Tasks[_Pred3UID],Tasks[[#This Row],[UID]]),_xlfn.MAXIFS(Tasks[_Row],Tasks[_Pred4UID],Tasks[[#This Row],[UID]])))</f>
        <v>0</v>
      </c>
      <c r="FA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91" t="str">
        <f aca="false">IF(NOT(Tasks[[#This Row],[_IsLeaf]]=1),"",IF(N(Tasks[[#This Row],[_Days]])&lt;=0,Tasks[[#This Row],[_LeafLateFinish]],WORKDAY.INTL(Tasks[[#This Row],[_LeafLateFinish]],-(Tasks[[#This Row],[_Days]]-1),WorkWeek,Holidays)))</f>
        <v/>
      </c>
      <c r="FD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 s="90" t="b">
        <f aca="false">AND(Tasks[[#This Row],[_IsLeaf]]=1,Tasks[[#This Row],[_LeafProgress]]&lt;1,N(Tasks[[#This Row],[_LeafTotalSlack]])&lt;=CriticalSlackDays)</f>
        <v>0</v>
      </c>
      <c r="FF14" s="43" t="n">
        <f aca="false">IF(AND(Tasks[[#This Row],[_IsLeaf]]=1,Tasks[[#This Row],[_ConstraintCode]]=1,Tasks[[#This Row],[Mode]]&lt;&gt;"Manual",N(Tasks[[#This Row],[Actual Start]])=0),MAX(0,N(Tasks[[#This Row],[Free Slack]])),0)</f>
        <v>0</v>
      </c>
      <c r="FG14" s="91" t="str">
        <f aca="false">IF(NOT(Tasks[[#This Row],[_IsLeaf]]=1),"",IF(Tasks[[#This Row],[_AlapShift]]=0,Tasks[[#This Row],[_LeafCalcStart]],WORKDAY.INTL(Tasks[[#This Row],[_LeafCalcStart]],Tasks[[#This Row],[_AlapShift]],WorkWeek,Holidays)))</f>
        <v/>
      </c>
      <c r="FH14" s="91" t="str">
        <f aca="false">IF(NOT(Tasks[[#This Row],[_IsLeaf]]=1),"",IF(Tasks[[#This Row],[_AlapShift]]=0,Tasks[[#This Row],[_LeafCalcFinish]],WORKDAY.INTL(Tasks[[#This Row],[_LeafCalcFinish]],Tasks[[#This Row],[_AlapShift]],WorkWeek,Holidays)))</f>
        <v/>
      </c>
      <c r="FI14" s="91" t="str">
        <f aca="false">IF(NOT(Tasks[[#This Row],[_IsLeaf]]=1),"",IF(Tasks[[#This Row],[_AlapShift]]=0,Tasks[[#This Row],[_LeafFcstStart]],WORKDAY.INTL(Tasks[[#This Row],[_LeafFcstStart]],Tasks[[#This Row],[_AlapShift]],WorkWeek,Holidays)))</f>
        <v/>
      </c>
      <c r="FJ14" s="91" t="str">
        <f aca="false">IF(NOT(Tasks[[#This Row],[_IsLeaf]]=1),"",IF(Tasks[[#This Row],[_AlapShift]]=0,Tasks[[#This Row],[_LeafFcstFinish]],WORKDAY.INTL(Tasks[[#This Row],[_LeafFcstFinish]],Tasks[[#This Row],[_AlapShift]],WorkWeek,Holidays)))</f>
        <v/>
      </c>
      <c r="FK14" s="91" t="n">
        <f aca="false">IF(Tasks[[#This Row],[Task Name]]="","",IF(Tasks[[#This Row],[_IsSummary]],MIN(INDEX(Tasks[_ShownCalcStart],Tasks[[#This Row],[_Row]]+1):INDEX(Tasks[_ShownCalcStart],Tasks[[#This Row],[_Row]]+Tasks[[#This Row],[_Descendants]])),Tasks[[#This Row],[_ShownCalcStart]]))</f>
        <v>46297</v>
      </c>
      <c r="FL14" s="91" t="n">
        <f aca="false">IF(Tasks[[#This Row],[Task Name]]="","",IF(Tasks[[#This Row],[_IsSummary]],MAX(INDEX(Tasks[_ShownCalcFinish],Tasks[[#This Row],[_Row]]+1):INDEX(Tasks[_ShownCalcFinish],Tasks[[#This Row],[_Row]]+Tasks[[#This Row],[_Descendants]])),Tasks[[#This Row],[_ShownCalcFinish]]))</f>
        <v>46318</v>
      </c>
      <c r="FM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 s="43" t="n">
        <f aca="false">IF(AND(Tasks[[#This Row],[_IsLeaf]]=1,Tasks[[#This Row],[_LeafTotalWork]]&gt;0),NETWORKDAYS.INTL(ProjectStart,Tasks[[#This Row],[_ShownFcstStart]],WorkWeek,Holidays),0)</f>
        <v>0</v>
      </c>
      <c r="FZ14" s="43" t="n">
        <f aca="false">IF(AND(Tasks[[#This Row],[_IsLeaf]]=1,Tasks[[#This Row],[_LeafTotalWork]]&gt;0),MAX(Tasks[[#This Row],[_StartWorkday]],NETWORKDAYS.INTL(ProjectStart,Tasks[[#This Row],[_ShownFcstFinish]],WorkWeek,Holidays)),0)</f>
        <v>0</v>
      </c>
      <c r="GA14" s="43" t="n">
        <f aca="false">IF(AND(Tasks[[#This Row],[_IsLeaf]]=1,Tasks[[#This Row],[_LeafTotalWork]]&gt;0),Tasks[[#This Row],[_LeafWork]]/(Tasks[[#This Row],[_FinishWorkday]]-Tasks[[#This Row],[_StartWorkday]]+1),0)</f>
        <v>0</v>
      </c>
      <c r="GB14" s="43" t="n">
        <f aca="false">Tasks[[#This Row],[_WorkPerWorkday]]*(Tasks[[#This Row],[_StartWorkday]]-1)</f>
        <v>-0</v>
      </c>
      <c r="GC14" s="43" t="n">
        <f aca="false">IF(Tasks[[#This Row],[_IsLeaf]]=1,MAX(N(Tasks[[#This Row],[_Days]]),0.1),0)</f>
        <v>0</v>
      </c>
      <c r="GD14" s="43" t="n">
        <f aca="false">Tasks[[#This Row],[_WeightDur]]*Tasks[[#This Row],[_LeafProgress]]</f>
        <v>0</v>
      </c>
      <c r="GE14" s="43" t="n">
        <f aca="false">Tasks[[#This Row],[_WeightDur]]*Tasks[[#This Row],[_PlannedPct]]</f>
        <v>0</v>
      </c>
      <c r="GF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3" t="str">
        <f aca="false">IF(AND(Tasks[[#This Row],[_IsLeaf]]=1,N(Tasks[[#This Row],[_Days]])=0,Tasks[[#This Row],[_LeafProgress]]&lt;1),Tasks[[#This Row],[_ShownFcstFinish]]+Tasks[[#This Row],[_Row]]/100000,"")</f>
        <v/>
      </c>
      <c r="GH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 s="43" t="str">
        <f aca="false">IF(Tasks[[#This Row],[Task Name]]="","",LEFT(Tasks[[#This Row],[WBS]],FIND(".",Tasks[[#This Row],[WBS]]&amp;".")-1))</f>
        <v>3</v>
      </c>
      <c r="GJ14" s="43" t="n">
        <f aca="false">IF(AND(Tasks[[#This Row],[Task Name]]&lt;&gt;"",Tasks[[#This Row],[_Level]]=1),Tasks[[#This Row],[_Row]],"")</f>
        <v>9</v>
      </c>
      <c r="GK14" s="43" t="str">
        <f aca="false">IF(AND(Tasks[[#This Row],[_IsLeaf]]=1,N(Tasks[[#This Row],[_Days]])=0),Tasks[[#This Row],[Planned Finish]]+Tasks[[#This Row],[_Row]]/100000,"")</f>
        <v/>
      </c>
      <c r="GL14" s="43" t="str">
        <f aca="false">IF(AND(Tasks[[#This Row],[_IsLeaf]]=1,Tasks[[#This Row],[_LeafProgress]]&lt;1,OR(N(Tasks[[#This Row],[Finish Var]])&gt;0,Tasks[[#This Row],[Status]]="Late Start")),MAX(0,Tasks[[#This Row],[Finish Var]])+1-Tasks[[#This Row],[_Row]]/1000000,"")</f>
        <v/>
      </c>
      <c r="GM14" s="43" t="str">
        <f aca="false">IF(AND(Tasks[[#This Row],[_IsLeaf]]=1,N(Tasks[[#This Row],[Actual Start]])=0,Tasks[[#This Row],[_ShownFcstStart]]&gt;=StatusDate,Tasks[[#This Row],[_ShownFcstStart]]&lt;=LookaheadEnd),Tasks[[#This Row],[_ShownFcstStart]]+Tasks[[#This Row],[_Row]]/100000,"")</f>
        <v/>
      </c>
      <c r="GN14" s="43" t="str">
        <f aca="false">IF(AND(Tasks[[#This Row],[_IsLeaf]]=1,Tasks[[#This Row],[_LeafProgress]]&lt;1,Tasks[[#This Row],[_ShownFcstFinish]]&gt;=StatusDate,Tasks[[#This Row],[_ShownFcstFinish]]&lt;=LookaheadEnd),Tasks[[#This Row],[_ShownFcstFinish]]+Tasks[[#This Row],[_Row]]/100000,"")</f>
        <v/>
      </c>
      <c r="GO14" s="43" t="str">
        <f aca="false">IF(Tasks[[#This Row],[_LeafCritical]],Tasks[[#This Row],[_ShownFcstStart]]+Tasks[[#This Row],[_Row]]/100000,"")</f>
        <v/>
      </c>
      <c r="GP14" s="43" t="n">
        <f aca="false">Tasks[[#This Row],[_LeafWork]]*Tasks[[#This Row],[_LeafProgress]]</f>
        <v>0</v>
      </c>
      <c r="GQ14" s="91" t="str">
        <f aca="false">IF(AND(Tasks[[#This Row],[_IsLeaf]]=1,Tasks[[#This Row],[_LeafProgress]]&gt;=1),IF(N(Tasks[[#This Row],[Actual Finish]])&gt;0,Tasks[[#This Row],[Actual Finish]],Tasks[[#This Row],[_ShownFcstFinish]]),"")</f>
        <v/>
      </c>
      <c r="GR14" s="43" t="n">
        <f aca="false">IF(Tasks[[#This Row],[_IsLeaf]]=1,N(Tasks[[#This Row],[Story Points]]),0)</f>
        <v>0</v>
      </c>
      <c r="GS14" s="43" t="str">
        <f aca="false">""</f>
        <v/>
      </c>
      <c r="GT14" s="90" t="b">
        <f aca="false">IF(Tasks[[#This Row],[Task Name]]="",FALSE(),AND(Tasks[[#This Row],[_IsLeaf]]=1,N(Tasks[[#This Row],[_Days]])=0))</f>
        <v>0</v>
      </c>
      <c r="GU14" s="91" t="n">
        <f aca="false">IF(Tasks[[#This Row],[Task Name]]="",0,IF(AND(Tasks[[#This Row],[_IsLeaf]]=1,NOT(Tasks[[#This Row],[_IsMilestone]]),N(Tasks[[#This Row],[Progress]])&gt;0),Tasks[[#This Row],[Start]],0))</f>
        <v>0</v>
      </c>
      <c r="GV14" s="91" t="n">
        <f aca="false">IF(Tasks[[#This Row],[_DoneFrom]]=0,0,IF(Tasks[[#This Row],[Progress]]&gt;=1,Tasks[[#This Row],[Finish]],MAX(Tasks[[#This Row],[_DoneFrom]],Tasks[[#This Row],[Start]]+ROUND((Tasks[[#This Row],[Finish]]-Tasks[[#This Row],[Start]]+1)*Tasks[[#This Row],[Progress]],0)-1)))</f>
        <v>0</v>
      </c>
      <c r="GW14" s="91" t="n">
        <f aca="false">IF(Tasks[[#This Row],[Task Name]]="",0,IF(OR(NOT(Tasks[[#This Row],[_IsLeaf]]=1),Tasks[[#This Row],[_IsMilestone]],N(Tasks[[#This Row],[Progress]])&gt;=1),0,IF(Tasks[[#This Row],[_DoneTo]]&gt;0,Tasks[[#This Row],[_DoneTo]]+1,Tasks[[#This Row],[Start]])))</f>
        <v>0</v>
      </c>
      <c r="GX14" s="91" t="n">
        <f aca="false">IF(Tasks[[#This Row],[_RemFrom]]=0,0,Tasks[[#This Row],[Finish]])</f>
        <v>0</v>
      </c>
      <c r="GY14" s="90" t="b">
        <f aca="false">IF(Tasks[[#This Row],[Task Name]]="",FALSE(),OR(NOT(BaselineSet),N(Tasks[[#This Row],[Baseline Start]])&gt;0))</f>
        <v>1</v>
      </c>
      <c r="GZ1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92" t="str">
        <f aca="false">IF(Tasks[[#This Row],[_IsLeaf]]=1,Tasks[[#This Row],[_Row]],"")</f>
        <v/>
      </c>
      <c r="HD14" s="92" t="str">
        <f aca="false">IFERROR(INDEX(Tasks[UID],SMALL(Tasks[_PickKey],Tasks[[#This Row],[_Row]]))&amp;" "&amp;INDEX(Tasks[Task Name],SMALL(Tasks[_PickKey],Tasks[[#This Row],[_Row]])),"")</f>
        <v>25 Go-live</v>
      </c>
      <c r="HE14" s="43" t="n">
        <f aca="false">IF(Tasks[[#This Row],[Task Name]]="","",IF(Tasks[[#This Row],[_IsSummary]],NETWORKDAYS.INTL(Tasks[[#This Row],[Start]],Tasks[[#This Row],[Finish]],WorkWeek,Holidays),N(Tasks[[#This Row],[_Days]])))</f>
        <v>17</v>
      </c>
      <c r="HF14" s="43" t="n">
        <f aca="false">IF(Tasks[[#This Row],[Expected]]="",0,((Tasks[[#This Row],[Pessimistic]]-Tasks[[#This Row],[Optimistic]])/6)^2)</f>
        <v>0</v>
      </c>
      <c r="HG14" s="43" t="n">
        <f aca="false">IF(Tasks[[#This Row],[Expected]]="",0,Tasks[[#This Row],[Expected]]-N(Tasks[[#This Row],[_Days]]))</f>
        <v>0</v>
      </c>
    </row>
    <row r="15" customFormat="false" ht="15" hidden="false" customHeight="false" outlineLevel="1" collapsed="false">
      <c r="A15" s="21" t="n">
        <f aca="false">IF(Tasks[[#This Row],[Task Name]]="","",COUNTA(Tasks[[#Headers],[Task Name]]:Tasks[[#This Row],[Task Name]])-1)</f>
        <v>10</v>
      </c>
      <c r="B15" s="22" t="n">
        <v>21</v>
      </c>
      <c r="C15" s="22" t="n">
        <v>2</v>
      </c>
      <c r="D15" s="93" t="s">
        <v>656</v>
      </c>
      <c r="E15" s="22" t="n">
        <v>15</v>
      </c>
      <c r="F15" s="23" t="n">
        <v>9</v>
      </c>
      <c r="G15" s="22"/>
      <c r="H15" s="22"/>
      <c r="I15" s="23"/>
      <c r="J15" s="22"/>
      <c r="K15" s="22"/>
      <c r="L15" s="23"/>
      <c r="M15" s="22"/>
      <c r="N15" s="22"/>
      <c r="O15" s="23"/>
      <c r="P15" s="22"/>
      <c r="Q15" s="22"/>
      <c r="R15" s="23"/>
      <c r="S15" s="23" t="s">
        <v>655</v>
      </c>
      <c r="T15" s="84"/>
      <c r="U15" s="23" t="s">
        <v>657</v>
      </c>
      <c r="V15" s="84" t="n">
        <v>0.5</v>
      </c>
      <c r="W15" s="23"/>
      <c r="X15" s="84"/>
      <c r="Y15" s="23"/>
      <c r="Z15" s="84"/>
      <c r="AA15" s="23"/>
      <c r="AB15" s="23" t="s">
        <v>260</v>
      </c>
      <c r="AC15" s="7" t="n">
        <v>46302</v>
      </c>
      <c r="AD15" s="7"/>
      <c r="AE15" s="63" t="n">
        <f aca="false">IF(Tasks[[#This Row],[Task Name]]="","",IF(Tasks[[#This Row],[_IsSummary]],MIN(INDEX(Tasks[_ShownFcstStart],Tasks[[#This Row],[_Row]]+1):INDEX(Tasks[_ShownFcstStart],Tasks[[#This Row],[_Row]]+Tasks[[#This Row],[_Descendants]])),Tasks[[#This Row],[_ShownFcstStart]]))</f>
        <v>46302</v>
      </c>
      <c r="AF15" s="63" t="n">
        <f aca="false">IF(Tasks[[#This Row],[Task Name]]="","",IF(Tasks[[#This Row],[_IsSummary]],MAX(INDEX(Tasks[_ShownFcstFinish],Tasks[[#This Row],[_Row]]+1):INDEX(Tasks[_ShownFcstFinish],Tasks[[#This Row],[_Row]]+Tasks[[#This Row],[_Descendants]])),Tasks[[#This Row],[_ShownFcstFinish]]))</f>
        <v>46323</v>
      </c>
      <c r="AG15" s="21" t="str">
        <f aca="false">""</f>
        <v/>
      </c>
      <c r="AH15" s="23" t="s">
        <v>658</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Optimistic should be at most the Duration and Pessimistic at least it.</v>
      </c>
      <c r="AJ15" s="7"/>
      <c r="AK15" s="22" t="s">
        <v>248</v>
      </c>
      <c r="AL15" s="23"/>
      <c r="AM15" s="7"/>
      <c r="AN15" s="47"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3" t="n">
        <f aca="false">IF(Tasks[[#This Row],[Task Name]]="","",IF(N(Tasks[[#This Row],[Baseline Start]])&gt;0,Tasks[[#This Row],[Baseline Start]],Tasks[[#This Row],[_CalcStart]]))</f>
        <v>46297</v>
      </c>
      <c r="AR15" s="63" t="n">
        <f aca="false">IF(Tasks[[#This Row],[Task Name]]="","",IF(N(Tasks[[#This Row],[Baseline Finish]])&gt;0,Tasks[[#This Row],[Baseline Finish]],Tasks[[#This Row],[_CalcFinish]]))</f>
        <v>46317</v>
      </c>
      <c r="AS15" s="47" t="n">
        <f aca="false">IF(Tasks[[#This Row],[Task Name]]="","",IF(Tasks[[#This Row],[Start]]&gt;=Tasks[[#This Row],[Planned Start]],NETWORKDAYS.INTL(Tasks[[#This Row],[Planned Start]],Tasks[[#This Row],[Start]],WorkWeek,Holidays)-1,1-NETWORKDAYS.INTL(Tasks[[#This Row],[Start]],Tasks[[#This Row],[Planned Start]],WorkWeek,Holidays)))</f>
        <v>3</v>
      </c>
      <c r="AT15" s="63" t="n">
        <f aca="false">IF(Tasks[[#This Row],[Task Name]]="","",IF(Tasks[[#This Row],[_IsSummary]],MIN(INDEX(Tasks[_LeafLateStart],Tasks[[#This Row],[_Row]]+1):INDEX(Tasks[_LeafLateStart],Tasks[[#This Row],[_Row]]+Tasks[[#This Row],[_Descendants]])),Tasks[[#This Row],[_LeafLateStart]]))</f>
        <v>46303</v>
      </c>
      <c r="AU15" s="63" t="n">
        <f aca="false">IF(Tasks[[#This Row],[Task Name]]="","",IF(Tasks[[#This Row],[_IsSummary]],MAX(INDEX(Tasks[_LeafLateFinish],Tasks[[#This Row],[_Row]]+1):INDEX(Tasks[_LeafLateFinish],Tasks[[#This Row],[_Row]]+Tasks[[#This Row],[_Descendants]])),Tasks[[#This Row],[_LeafLateFinish]]))</f>
        <v>46323</v>
      </c>
      <c r="AV15" s="47"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5"/>
      <c r="BA15"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6"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7"/>
      <c r="BJ15" s="22"/>
      <c r="BK15" s="47" t="n">
        <f aca="false">IF(OR(Tasks[[#This Row],[Task Name]]="",Tasks[[#This Row],[Baseline Duration]]=""),"",Tasks[[#This Row],[_SpanDays]]-N(Tasks[[#This Row],[Baseline Duration]]))</f>
        <v>0</v>
      </c>
      <c r="BL15" s="86" t="n">
        <f aca="false">IF(OR(Tasks[[#This Row],[Task Name]]="",Tasks[[#This Row],[Baseline Work]]=""),"",Tasks[[#This Row],[Work]]-N(Tasks[[#This Row],[Baseline Work]]))</f>
        <v>60</v>
      </c>
      <c r="BM15" s="63" t="n">
        <f aca="false">IF(Tasks[[#This Row],[Task Name]]="","",IF(OR(TakeBaseline="Yes",N(Tasks[[#This Row],[Baseline Start]])=0),Tasks[[#This Row],[Start]],Tasks[[#This Row],[Baseline Start]]))</f>
        <v>46297</v>
      </c>
      <c r="BN15" s="63" t="n">
        <f aca="false">IF(Tasks[[#This Row],[Task Name]]="","",IF(OR(TakeBaseline="Yes",N(Tasks[[#This Row],[Baseline Finish]])=0),Tasks[[#This Row],[Finish]],Tasks[[#This Row],[Baseline Finish]]))</f>
        <v>46317</v>
      </c>
      <c r="BO15" s="21" t="n">
        <f aca="false">IF(Tasks[[#This Row],[Task Name]]="","",IF(OR(TakeBaseline="Yes",N(Tasks[[#This Row],[Baseline Duration]])=0),Tasks[[#This Row],[_SpanDays]],Tasks[[#This Row],[Baseline Duration]]))</f>
        <v>15</v>
      </c>
      <c r="BP15" s="86" t="n">
        <f aca="false">IF(Tasks[[#This Row],[Task Name]]="","",IF(OR(TakeBaseline="Yes",N(Tasks[[#This Row],[Baseline Work]])=0),Tasks[[#This Row],[Work]],Tasks[[#This Row],[Baseline Work]]))</f>
        <v>120</v>
      </c>
      <c r="BQ15" s="7" t="n">
        <v>46297</v>
      </c>
      <c r="BR15" s="7" t="n">
        <v>46317</v>
      </c>
      <c r="BS15" s="22" t="n">
        <v>15</v>
      </c>
      <c r="BT15" s="88" t="n">
        <v>120</v>
      </c>
      <c r="BU15" s="23" t="s">
        <v>655</v>
      </c>
      <c r="BV15" s="23" t="s">
        <v>659</v>
      </c>
      <c r="BW15" s="23" t="s">
        <v>643</v>
      </c>
      <c r="BX15" s="89" t="n">
        <f aca="false">IF(AND(Tasks[[#This Row],[_IsLeaf]]=1,ISNUMBER(Tasks[[#This Row],[Optimistic]]),ISNUMBER(Tasks[[#This Row],[Pessimistic]])),ROUND((Tasks[[#This Row],[Optimistic]]+4*N(Tasks[[#This Row],[_Days]])+Tasks[[#This Row],[Pessimistic]])/6,1),"")</f>
        <v>13.2</v>
      </c>
      <c r="BY15" s="87" t="n">
        <v>6</v>
      </c>
      <c r="BZ15" s="87" t="n">
        <v>13</v>
      </c>
      <c r="CA15" s="22"/>
      <c r="CB15" s="43" t="n">
        <f aca="false">IF(Tasks[[#This Row],[Task Name]]="","",MAX(1,N(Tasks[[#This Row],[Level]])))</f>
        <v>2</v>
      </c>
      <c r="CC15" s="43" t="n">
        <f aca="false">ROW()-ROW(Tasks[[#Headers],[ID]])</f>
        <v>10</v>
      </c>
      <c r="CD15" s="43" t="n">
        <f aca="false">IF(OR(Tasks[[#This Row],[Task Name]]="",Tasks[[#This Row],[_Level]]&lt;=1),0,IFERROR(LOOKUP(2,1/(Tasks[[#Headers],[_Level]]:Tasks[[#This Row],[_Level]]=Tasks[[#This Row],[_Level]]-1),ROW(Tasks[[#Headers],[_Level]]:Tasks[[#This Row],[_Level]])),0))</f>
        <v>14</v>
      </c>
      <c r="CE15" s="43" t="n">
        <f aca="false">IFERROR(N(INDEX(Tasks[_Level],Tasks[[#This Row],[_Row]]+1)),0)</f>
        <v>2</v>
      </c>
      <c r="CF15" s="90" t="b">
        <f aca="false">AND(Tasks[[#This Row],[Task Name]]&lt;&gt;"",Tasks[[#This Row],[_NextLevel]]&gt;Tasks[[#This Row],[_Level]])</f>
        <v>0</v>
      </c>
      <c r="CG15" s="43" t="n">
        <f aca="false">IF(Tasks[[#This Row],[_IsSummary]],COUNTIF(Tasks[WBS],Tasks[[#This Row],[WBS]]&amp;".*"),0)</f>
        <v>0</v>
      </c>
      <c r="CH15" s="43" t="n">
        <f aca="false">IF(AND(Tasks[[#This Row],[Task Name]]&lt;&gt;"",NOT(Tasks[[#This Row],[_IsSummary]])),1,0)</f>
        <v>1</v>
      </c>
      <c r="CI15" s="43" t="n">
        <f aca="false">IF(N(Tasks[[#This Row],[_Pred1UID]])=0,0,IFERROR(MATCH(Tasks[[#This Row],[_Pred1UID]],Tasks[UID],0),-1))</f>
        <v>8</v>
      </c>
      <c r="CJ15" s="43" t="n">
        <f aca="false">IF(N(Tasks[[#This Row],[_Pred2UID]])=0,0,IFERROR(MATCH(Tasks[[#This Row],[_Pred2UID]],Tasks[UID],0),-1))</f>
        <v>0</v>
      </c>
      <c r="CK15" s="43" t="n">
        <f aca="false">IF(N(Tasks[[#This Row],[_Pred3UID]])=0,0,IFERROR(MATCH(Tasks[[#This Row],[_Pred3UID]],Tasks[UID],0),-1))</f>
        <v>0</v>
      </c>
      <c r="CL15" s="43" t="n">
        <f aca="false">IF(N(Tasks[[#This Row],[_Pred4UID]])=0,0,IFERROR(MATCH(Tasks[[#This Row],[_Pred4UID]],Tasks[UID],0),-1))</f>
        <v>0</v>
      </c>
      <c r="CM15"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 s="91" t="n">
        <f aca="false">IF(OR(Tasks[[#This Row],[_ConstraintCode]]=2,Tasks[[#This Row],[_ConstraintCode]]=3,Tasks[[#This Row],[_ConstraintCode]]=4,Tasks[[#This Row],[_ConstraintCode]]=6),Tasks[[#This Row],[_ConstraintStart]],0)</f>
        <v>0</v>
      </c>
      <c r="CP15" s="91" t="n">
        <f aca="false">IF(OR(Tasks[[#This Row],[_ConstraintCode]]=2,Tasks[[#This Row],[_ConstraintCode]]=3,Tasks[[#This Row],[_ConstraintCode]]=5,Tasks[[#This Row],[_ConstraintCode]]=7),Tasks[[#This Row],[_ConstraintStart]],2958465)</f>
        <v>2958465</v>
      </c>
      <c r="CQ15"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R15" s="91" t="n">
        <f aca="false">IF(NOT(Tasks[[#This Row],[_IsLeaf]]=1),"",IF(N(Tasks[[#This Row],[_Days]])&lt;=0,Tasks[[#This Row],[_LeafCalcStart]],WORKDAY.INTL(Tasks[[#This Row],[_LeafCalcStart]],Tasks[[#This Row],[_Days]]-1,WorkWeek,Holidays)))</f>
        <v>46317</v>
      </c>
      <c r="CS15"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T15"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U15" s="43" t="str">
        <f aca="false">IF(Tasks[[#This Row],[_Predecessors]]="","",TRIM(MID(SUBSTITUTE(SUBSTITUTE(SUBSTITUTE(UPPER(Tasks[[#This Row],[_Predecessors]]),";",",")," ",""),",",REPT(" ",99)),1,99)))</f>
        <v>9</v>
      </c>
      <c r="CV15" s="43" t="n">
        <f aca="false">IF(Tasks[[#This Row],[_Pred1Text]]="","",IFERROR(VALUE(LEFT(Tasks[[#This Row],[_Pred1Text]],MIN(FIND("F",Tasks[[#This Row],[_Pred1Text]]&amp;"F"),FIND("S",Tasks[[#This Row],[_Pred1Text]]&amp;"S"),FIND("+",Tasks[[#This Row],[_Pred1Text]]&amp;"+"),FIND("-",Tasks[[#This Row],[_Pred1Text]]&amp;"-"))-1)),""))</f>
        <v>9</v>
      </c>
      <c r="CW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5"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5" s="43" t="str">
        <f aca="false">IF(Tasks[[#This Row],[_Pred1Text]]="","",TRIM(MID(SUBSTITUTE(SUBSTITUTE(SUBSTITUTE(UPPER(Tasks[[#This Row],[_Predecessors]]),";",",")," ",""),",",REPT(" ",99)),100,99)))</f>
        <v/>
      </c>
      <c r="CZ15" s="43" t="str">
        <f aca="false">IF(Tasks[[#This Row],[_Pred2Text]]="","",IFERROR(VALUE(LEFT(Tasks[[#This Row],[_Pred2Text]],MIN(FIND("F",Tasks[[#This Row],[_Pred2Text]]&amp;"F"),FIND("S",Tasks[[#This Row],[_Pred2Text]]&amp;"S"),FIND("+",Tasks[[#This Row],[_Pred2Text]]&amp;"+"),FIND("-",Tasks[[#This Row],[_Pred2Text]]&amp;"-"))-1)),""))</f>
        <v/>
      </c>
      <c r="DA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3" t="str">
        <f aca="false">IF(Tasks[[#This Row],[_Pred2Text]]="","",TRIM(MID(SUBSTITUTE(SUBSTITUTE(SUBSTITUTE(UPPER(Tasks[[#This Row],[_Predecessors]]),";",",")," ",""),",",REPT(" ",99)),199,99)))</f>
        <v/>
      </c>
      <c r="DD15" s="43" t="str">
        <f aca="false">IF(Tasks[[#This Row],[_Pred3Text]]="","",IFERROR(VALUE(LEFT(Tasks[[#This Row],[_Pred3Text]],MIN(FIND("F",Tasks[[#This Row],[_Pred3Text]]&amp;"F"),FIND("S",Tasks[[#This Row],[_Pred3Text]]&amp;"S"),FIND("+",Tasks[[#This Row],[_Pred3Text]]&amp;"+"),FIND("-",Tasks[[#This Row],[_Pred3Text]]&amp;"-"))-1)),""))</f>
        <v/>
      </c>
      <c r="DE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3" t="str">
        <f aca="false">IF(Tasks[[#This Row],[_Pred3Text]]="","",TRIM(MID(SUBSTITUTE(SUBSTITUTE(SUBSTITUTE(UPPER(Tasks[[#This Row],[_Predecessors]]),";",",")," ",""),",",REPT(" ",99)),298,99)))</f>
        <v/>
      </c>
      <c r="DH15" s="43" t="str">
        <f aca="false">IF(Tasks[[#This Row],[_Pred4Text]]="","",IFERROR(VALUE(LEFT(Tasks[[#This Row],[_Pred4Text]],MIN(FIND("F",Tasks[[#This Row],[_Pred4Text]]&amp;"F"),FIND("S",Tasks[[#This Row],[_Pred4Text]]&amp;"S"),FIND("+",Tasks[[#This Row],[_Pred4Text]]&amp;"+"),FIND("-",Tasks[[#This Row],[_Pred4Text]]&amp;"-"))-1)),""))</f>
        <v/>
      </c>
      <c r="DI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3" t="str">
        <f aca="false">IF(OR(Tasks[[#This Row],[Task Name]]="",Tasks[[#This Row],[_Resources]]=""),"",TRIM(MID(SUBSTITUTE(Tasks[[#This Row],[_Resources]],",",REPT(" ",99)),1,99)))</f>
        <v>Taylor Morgan</v>
      </c>
      <c r="DL15" s="43" t="str">
        <f aca="false">IF(Tasks[[#This Row],[_Res1Text]]="","",TRIM(MID(SUBSTITUTE(Tasks[[#This Row],[_Resources]],",",REPT(" ",99)),100,99)))</f>
        <v>Sam Rivera[50%]</v>
      </c>
      <c r="DM15" s="43" t="str">
        <f aca="false">IF(Tasks[[#This Row],[_Res2Text]]="","",TRIM(MID(SUBSTITUTE(Tasks[[#This Row],[_Resources]],",",REPT(" ",99)),199,99)))</f>
        <v/>
      </c>
      <c r="DN15" s="43" t="str">
        <f aca="false">IF(Tasks[[#This Row],[_Res3Text]]="","",TRIM(MID(SUBSTITUTE(Tasks[[#This Row],[_Resources]],",",REPT(" ",99)),298,99)))</f>
        <v/>
      </c>
      <c r="DO15" s="43" t="n">
        <f aca="false">IF(Tasks[[#This Row],[_Res1Text]]="",0,IFERROR(MATCH(TRIM(LEFT(Tasks[[#This Row],[_Res1Text]],FIND("[",Tasks[[#This Row],[_Res1Text]]&amp;"[")-1)),res_Name,0),IFERROR(MATCH(TRIM(LEFT(Tasks[[#This Row],[_Res1Text]],FIND("[",Tasks[[#This Row],[_Res1Text]]&amp;"[")-1)),res_Initials,0),0)))</f>
        <v>7</v>
      </c>
      <c r="DP15" s="43" t="n">
        <f aca="false">IF(Tasks[[#This Row],[_Res2Text]]="",0,IFERROR(MATCH(TRIM(LEFT(Tasks[[#This Row],[_Res2Text]],FIND("[",Tasks[[#This Row],[_Res2Text]]&amp;"[")-1)),res_Name,0),IFERROR(MATCH(TRIM(LEFT(Tasks[[#This Row],[_Res2Text]],FIND("[",Tasks[[#This Row],[_Res2Text]]&amp;"[")-1)),res_Initials,0),0)))</f>
        <v>6</v>
      </c>
      <c r="DQ15" s="43" t="n">
        <f aca="false">IF(Tasks[[#This Row],[_Res3Text]]="",0,IFERROR(MATCH(TRIM(LEFT(Tasks[[#This Row],[_Res3Text]],FIND("[",Tasks[[#This Row],[_Res3Text]]&amp;"[")-1)),res_Name,0),IFERROR(MATCH(TRIM(LEFT(Tasks[[#This Row],[_Res3Text]],FIND("[",Tasks[[#This Row],[_Res3Text]]&amp;"[")-1)),res_Initials,0),0)))</f>
        <v>0</v>
      </c>
      <c r="DR15" s="43" t="n">
        <f aca="false">IF(Tasks[[#This Row],[_Res4Text]]="",0,IFERROR(MATCH(TRIM(LEFT(Tasks[[#This Row],[_Res4Text]],FIND("[",Tasks[[#This Row],[_Res4Text]]&amp;"[")-1)),res_Name,0),IFERROR(MATCH(TRIM(LEFT(Tasks[[#This Row],[_Res4Text]],FIND("[",Tasks[[#This Row],[_Res4Text]]&amp;"[")-1)),res_Initials,0),0)))</f>
        <v>0</v>
      </c>
      <c r="DS15" s="43" t="str">
        <f aca="false">IF(Tasks[[#This Row],[_Res1Text]]="","",IF(Tasks[[#This Row],[_Res1Row]]&gt;0,INDEX(res_Name,Tasks[[#This Row],[_Res1Row]]),TRIM(LEFT(Tasks[[#This Row],[_Res1Text]],FIND("[",Tasks[[#This Row],[_Res1Text]]&amp;"[")-1))))</f>
        <v>Taylor Morgan</v>
      </c>
      <c r="DT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3" t="n">
        <f aca="false">IF(NOT(Tasks[[#This Row],[_IsLeaf]]=1),0,(Tasks[[#This Row],[_Resource1]]&lt;&gt;"")+(Tasks[[#This Row],[_Res2]]&lt;&gt;"")+(Tasks[[#This Row],[_Res3]]&lt;&gt;"")+(Tasks[[#This Row],[_Res4]]&lt;&gt;""))</f>
        <v>2</v>
      </c>
      <c r="DV15" s="43" t="str">
        <f aca="false">IF(Tasks[[#This Row],[_Res2Text]]="","",IF(Tasks[[#This Row],[_Res2Row]]&gt;0,INDEX(res_Name,Tasks[[#This Row],[_Res2Row]]),TRIM(LEFT(Tasks[[#This Row],[_Res2Text]],FIND("[",Tasks[[#This Row],[_Res2Text]]&amp;"[")-1))))</f>
        <v>Sam Rivera</v>
      </c>
      <c r="DW15"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X15" s="43" t="n">
        <f aca="false">IF(OR(NOT(Tasks[[#This Row],[_IsLeaf]]=1),Tasks[[#This Row],[_Res2Row]]=0),0,N(Tasks[[#This Row],[_Days]])*HoursPerDay*IF(Tasks[[#This Row],[_Res2Units]]="",DefaultUnits,Tasks[[#This Row],[_Res2Units]]))</f>
        <v>60</v>
      </c>
      <c r="DY15" s="43" t="n">
        <f aca="false">IF(AND(AND(Tasks[[#This Row],[_IsLeaf]]=1,Tasks[[#This Row],[_LeafTotalWork]]&gt;0),Tasks[[#This Row],[_Res2Work]]&gt;0),Tasks[[#This Row],[_Res2Work]]/(Tasks[[#This Row],[_FinishWorkday]]-Tasks[[#This Row],[_StartWorkday]]+1),0)</f>
        <v>3.75</v>
      </c>
      <c r="DZ15" s="43" t="n">
        <f aca="false">Tasks[[#This Row],[_Res2WorkPerWD]]*MAX(0,Tasks[[#This Row],[_StartWorkday]]-1)</f>
        <v>82.5</v>
      </c>
      <c r="EA15" s="43" t="n">
        <f aca="false">Tasks[[#This Row],[_Res2Work]]*Tasks[[#This Row],[_LeafProgress]]</f>
        <v>51</v>
      </c>
      <c r="EB15" s="43" t="str">
        <f aca="false">IF(Tasks[[#This Row],[_Res3Text]]="","",IF(Tasks[[#This Row],[_Res3Row]]&gt;0,INDEX(res_Name,Tasks[[#This Row],[_Res3Row]]),TRIM(LEFT(Tasks[[#This Row],[_Res3Text]],FIND("[",Tasks[[#This Row],[_Res3Text]]&amp;"[")-1))))</f>
        <v/>
      </c>
      <c r="EC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3" t="n">
        <f aca="false">IF(OR(NOT(Tasks[[#This Row],[_IsLeaf]]=1),Tasks[[#This Row],[_Res3Row]]=0),0,N(Tasks[[#This Row],[_Days]])*HoursPerDay*IF(Tasks[[#This Row],[_Res3Units]]="",DefaultUnits,Tasks[[#This Row],[_Res3Units]]))</f>
        <v>0</v>
      </c>
      <c r="EE15" s="43" t="n">
        <f aca="false">IF(AND(AND(Tasks[[#This Row],[_IsLeaf]]=1,Tasks[[#This Row],[_LeafTotalWork]]&gt;0),Tasks[[#This Row],[_Res3Work]]&gt;0),Tasks[[#This Row],[_Res3Work]]/(Tasks[[#This Row],[_FinishWorkday]]-Tasks[[#This Row],[_StartWorkday]]+1),0)</f>
        <v>0</v>
      </c>
      <c r="EF15" s="43" t="n">
        <f aca="false">Tasks[[#This Row],[_Res3WorkPerWD]]*MAX(0,Tasks[[#This Row],[_StartWorkday]]-1)</f>
        <v>0</v>
      </c>
      <c r="EG15" s="43" t="n">
        <f aca="false">Tasks[[#This Row],[_Res3Work]]*Tasks[[#This Row],[_LeafProgress]]</f>
        <v>0</v>
      </c>
      <c r="EH15" s="43" t="str">
        <f aca="false">IF(Tasks[[#This Row],[_Res4Text]]="","",IF(Tasks[[#This Row],[_Res4Row]]&gt;0,INDEX(res_Name,Tasks[[#This Row],[_Res4Row]]),TRIM(LEFT(Tasks[[#This Row],[_Res4Text]],FIND("[",Tasks[[#This Row],[_Res4Text]]&amp;"[")-1))))</f>
        <v/>
      </c>
      <c r="EI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3" t="n">
        <f aca="false">IF(OR(NOT(Tasks[[#This Row],[_IsLeaf]]=1),Tasks[[#This Row],[_Res4Row]]=0),0,N(Tasks[[#This Row],[_Days]])*HoursPerDay*IF(Tasks[[#This Row],[_Res4Units]]="",DefaultUnits,Tasks[[#This Row],[_Res4Units]]))</f>
        <v>0</v>
      </c>
      <c r="EK15" s="43" t="n">
        <f aca="false">IF(AND(AND(Tasks[[#This Row],[_IsLeaf]]=1,Tasks[[#This Row],[_LeafTotalWork]]&gt;0),Tasks[[#This Row],[_Res4Work]]&gt;0),Tasks[[#This Row],[_Res4Work]]/(Tasks[[#This Row],[_FinishWorkday]]-Tasks[[#This Row],[_StartWorkday]]+1),0)</f>
        <v>0</v>
      </c>
      <c r="EL15" s="43" t="n">
        <f aca="false">Tasks[[#This Row],[_Res4WorkPerWD]]*MAX(0,Tasks[[#This Row],[_StartWorkday]]-1)</f>
        <v>0</v>
      </c>
      <c r="EM15" s="43" t="n">
        <f aca="false">Tasks[[#This Row],[_Res4Work]]*Tasks[[#This Row],[_LeafProgress]]</f>
        <v>0</v>
      </c>
      <c r="EN15" s="94" t="n">
        <f aca="false">IF(ISNUMBER(Tasks[[#This Row],[% Complete]]),Tasks[[#This Row],[% Complete]],IF(Tasks[[#This Row],[Stage]]="",0,IFERROR(INDEX(stg_Pct,MATCH(Tasks[[#This Row],[Stage]],stg_Name,0)),0)))</f>
        <v>0.85</v>
      </c>
      <c r="EO15" s="43" t="n">
        <f aca="false">IF(NOT(Tasks[[#This Row],[_IsLeaf]]=1),0,IF(N(Tasks[[#This Row],[Actual Finish]])&gt;0,1,MIN(1,Tasks[[#This Row],[_Pct]])))</f>
        <v>0.85</v>
      </c>
      <c r="EP15" s="43" t="n">
        <f aca="false">IF(OR(NOT(Tasks[[#This Row],[_IsLeaf]]=1),Tasks[[#This Row],[_Res1Row]]=0),0,N(Tasks[[#This Row],[_Days]])*HoursPerDay*IF(Tasks[[#This Row],[_Units1]]="",DefaultUnits,Tasks[[#This Row],[_Units1]]))</f>
        <v>120</v>
      </c>
      <c r="EQ15" s="43" t="n">
        <f aca="false">Tasks[[#This Row],[_LeafWork]]+Tasks[[#This Row],[_Res2Work]]+Tasks[[#This Row],[_Res3Work]]+Tasks[[#This Row],[_Res4Work]]</f>
        <v>180</v>
      </c>
      <c r="ER15"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3" t="n">
        <f aca="false">IF(NOT(Tasks[[#This Row],[_IsLeaf]]=1),0,MAX(_xlfn.MAXIFS(Tasks[_Row],Tasks[_Pred1UID],Tasks[[#This Row],[UID]]),_xlfn.MAXIFS(Tasks[_Row],Tasks[_Pred2UID],Tasks[[#This Row],[UID]]),_xlfn.MAXIFS(Tasks[_Row],Tasks[_Pred3UID],Tasks[[#This Row],[UID]]),_xlfn.MAXIFS(Tasks[_Row],Tasks[_Pred4UID],Tasks[[#This Row],[UID]])))</f>
        <v>11</v>
      </c>
      <c r="FA15"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FB15"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FC15" s="91" t="n">
        <f aca="false">IF(NOT(Tasks[[#This Row],[_IsLeaf]]=1),"",IF(N(Tasks[[#This Row],[_Days]])&lt;=0,Tasks[[#This Row],[_LeafLateFinish]],WORKDAY.INTL(Tasks[[#This Row],[_LeafLateFinish]],-(Tasks[[#This Row],[_Days]]-1),WorkWeek,Holidays)))</f>
        <v>46303</v>
      </c>
      <c r="FD15"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5" s="90" t="b">
        <f aca="false">AND(Tasks[[#This Row],[_IsLeaf]]=1,Tasks[[#This Row],[_LeafProgress]]&lt;1,N(Tasks[[#This Row],[_LeafTotalSlack]])&lt;=CriticalSlackDays)</f>
        <v>1</v>
      </c>
      <c r="FF15" s="43" t="n">
        <f aca="false">IF(AND(Tasks[[#This Row],[_IsLeaf]]=1,Tasks[[#This Row],[_ConstraintCode]]=1,Tasks[[#This Row],[Mode]]&lt;&gt;"Manual",N(Tasks[[#This Row],[Actual Start]])=0),MAX(0,N(Tasks[[#This Row],[Free Slack]])),0)</f>
        <v>0</v>
      </c>
      <c r="FG15" s="91" t="n">
        <f aca="false">IF(NOT(Tasks[[#This Row],[_IsLeaf]]=1),"",IF(Tasks[[#This Row],[_AlapShift]]=0,Tasks[[#This Row],[_LeafCalcStart]],WORKDAY.INTL(Tasks[[#This Row],[_LeafCalcStart]],Tasks[[#This Row],[_AlapShift]],WorkWeek,Holidays)))</f>
        <v>46297</v>
      </c>
      <c r="FH15" s="91" t="n">
        <f aca="false">IF(NOT(Tasks[[#This Row],[_IsLeaf]]=1),"",IF(Tasks[[#This Row],[_AlapShift]]=0,Tasks[[#This Row],[_LeafCalcFinish]],WORKDAY.INTL(Tasks[[#This Row],[_LeafCalcFinish]],Tasks[[#This Row],[_AlapShift]],WorkWeek,Holidays)))</f>
        <v>46317</v>
      </c>
      <c r="FI15" s="91" t="n">
        <f aca="false">IF(NOT(Tasks[[#This Row],[_IsLeaf]]=1),"",IF(Tasks[[#This Row],[_AlapShift]]=0,Tasks[[#This Row],[_LeafFcstStart]],WORKDAY.INTL(Tasks[[#This Row],[_LeafFcstStart]],Tasks[[#This Row],[_AlapShift]],WorkWeek,Holidays)))</f>
        <v>46302</v>
      </c>
      <c r="FJ15" s="91" t="n">
        <f aca="false">IF(NOT(Tasks[[#This Row],[_IsLeaf]]=1),"",IF(Tasks[[#This Row],[_AlapShift]]=0,Tasks[[#This Row],[_LeafFcstFinish]],WORKDAY.INTL(Tasks[[#This Row],[_LeafFcstFinish]],Tasks[[#This Row],[_AlapShift]],WorkWeek,Holidays)))</f>
        <v>46323</v>
      </c>
      <c r="FK15" s="91" t="n">
        <f aca="false">IF(Tasks[[#This Row],[Task Name]]="","",IF(Tasks[[#This Row],[_IsSummary]],MIN(INDEX(Tasks[_ShownCalcStart],Tasks[[#This Row],[_Row]]+1):INDEX(Tasks[_ShownCalcStart],Tasks[[#This Row],[_Row]]+Tasks[[#This Row],[_Descendants]])),Tasks[[#This Row],[_ShownCalcStart]]))</f>
        <v>46297</v>
      </c>
      <c r="FL15" s="91" t="n">
        <f aca="false">IF(Tasks[[#This Row],[Task Name]]="","",IF(Tasks[[#This Row],[_IsSummary]],MAX(INDEX(Tasks[_ShownCalcFinish],Tasks[[#This Row],[_Row]]+1):INDEX(Tasks[_ShownCalcFinish],Tasks[[#This Row],[_Row]]+Tasks[[#This Row],[_Descendants]])),Tasks[[#This Row],[_ShownCalcFinish]]))</f>
        <v>46317</v>
      </c>
      <c r="FM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R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V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 s="43" t="n">
        <f aca="false">IF(AND(Tasks[[#This Row],[_IsLeaf]]=1,Tasks[[#This Row],[_LeafTotalWork]]&gt;0),NETWORKDAYS.INTL(ProjectStart,Tasks[[#This Row],[_ShownFcstStart]],WorkWeek,Holidays),0)</f>
        <v>23</v>
      </c>
      <c r="FZ15" s="43" t="n">
        <f aca="false">IF(AND(Tasks[[#This Row],[_IsLeaf]]=1,Tasks[[#This Row],[_LeafTotalWork]]&gt;0),MAX(Tasks[[#This Row],[_StartWorkday]],NETWORKDAYS.INTL(ProjectStart,Tasks[[#This Row],[_ShownFcstFinish]],WorkWeek,Holidays)),0)</f>
        <v>38</v>
      </c>
      <c r="GA15" s="43" t="n">
        <f aca="false">IF(AND(Tasks[[#This Row],[_IsLeaf]]=1,Tasks[[#This Row],[_LeafTotalWork]]&gt;0),Tasks[[#This Row],[_LeafWork]]/(Tasks[[#This Row],[_FinishWorkday]]-Tasks[[#This Row],[_StartWorkday]]+1),0)</f>
        <v>7.5</v>
      </c>
      <c r="GB15" s="43" t="n">
        <f aca="false">Tasks[[#This Row],[_WorkPerWorkday]]*(Tasks[[#This Row],[_StartWorkday]]-1)</f>
        <v>165</v>
      </c>
      <c r="GC15" s="43" t="n">
        <f aca="false">IF(Tasks[[#This Row],[_IsLeaf]]=1,MAX(N(Tasks[[#This Row],[_Days]]),0.1),0)</f>
        <v>15</v>
      </c>
      <c r="GD15" s="43" t="n">
        <f aca="false">Tasks[[#This Row],[_WeightDur]]*Tasks[[#This Row],[_LeafProgress]]</f>
        <v>12.75</v>
      </c>
      <c r="GE15" s="43" t="n">
        <f aca="false">Tasks[[#This Row],[_WeightDur]]*Tasks[[#This Row],[_PlannedPct]]</f>
        <v>15</v>
      </c>
      <c r="GF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GG15" s="43" t="str">
        <f aca="false">IF(AND(Tasks[[#This Row],[_IsLeaf]]=1,N(Tasks[[#This Row],[_Days]])=0,Tasks[[#This Row],[_LeafProgress]]&lt;1),Tasks[[#This Row],[_ShownFcstFinish]]+Tasks[[#This Row],[_Row]]/100000,"")</f>
        <v/>
      </c>
      <c r="GH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5" s="43" t="str">
        <f aca="false">IF(Tasks[[#This Row],[Task Name]]="","",LEFT(Tasks[[#This Row],[WBS]],FIND(".",Tasks[[#This Row],[WBS]]&amp;".")-1))</f>
        <v>3</v>
      </c>
      <c r="GJ15" s="43" t="str">
        <f aca="false">IF(AND(Tasks[[#This Row],[Task Name]]&lt;&gt;"",Tasks[[#This Row],[_Level]]=1),Tasks[[#This Row],[_Row]],"")</f>
        <v/>
      </c>
      <c r="GK15" s="43" t="str">
        <f aca="false">IF(AND(Tasks[[#This Row],[_IsLeaf]]=1,N(Tasks[[#This Row],[_Days]])=0),Tasks[[#This Row],[Planned Finish]]+Tasks[[#This Row],[_Row]]/100000,"")</f>
        <v/>
      </c>
      <c r="GL15" s="43" t="n">
        <f aca="false">IF(AND(Tasks[[#This Row],[_IsLeaf]]=1,Tasks[[#This Row],[_LeafProgress]]&lt;1,OR(N(Tasks[[#This Row],[Finish Var]])&gt;0,Tasks[[#This Row],[Status]]="Late Start")),MAX(0,Tasks[[#This Row],[Finish Var]])+1-Tasks[[#This Row],[_Row]]/1000000,"")</f>
        <v>4.99999</v>
      </c>
      <c r="GM15" s="43" t="str">
        <f aca="false">IF(AND(Tasks[[#This Row],[_IsLeaf]]=1,N(Tasks[[#This Row],[Actual Start]])=0,Tasks[[#This Row],[_ShownFcstStart]]&gt;=StatusDate,Tasks[[#This Row],[_ShownFcstStart]]&lt;=LookaheadEnd),Tasks[[#This Row],[_ShownFcstStart]]+Tasks[[#This Row],[_Row]]/100000,"")</f>
        <v/>
      </c>
      <c r="GN15" s="95" t="n">
        <f aca="false">IF(AND(Tasks[[#This Row],[_IsLeaf]]=1,Tasks[[#This Row],[_LeafProgress]]&lt;1,Tasks[[#This Row],[_ShownFcstFinish]]&gt;=StatusDate,Tasks[[#This Row],[_ShownFcstFinish]]&lt;=LookaheadEnd),Tasks[[#This Row],[_ShownFcstFinish]]+Tasks[[#This Row],[_Row]]/100000,"")</f>
        <v>46323.0001</v>
      </c>
      <c r="GO15" s="95" t="n">
        <f aca="false">IF(Tasks[[#This Row],[_LeafCritical]],Tasks[[#This Row],[_ShownFcstStart]]+Tasks[[#This Row],[_Row]]/100000,"")</f>
        <v>46302.0001</v>
      </c>
      <c r="GP15" s="43" t="n">
        <f aca="false">Tasks[[#This Row],[_LeafWork]]*Tasks[[#This Row],[_LeafProgress]]</f>
        <v>102</v>
      </c>
      <c r="GQ15" s="91" t="str">
        <f aca="false">IF(AND(Tasks[[#This Row],[_IsLeaf]]=1,Tasks[[#This Row],[_LeafProgress]]&gt;=1),IF(N(Tasks[[#This Row],[Actual Finish]])&gt;0,Tasks[[#This Row],[Actual Finish]],Tasks[[#This Row],[_ShownFcstFinish]]),"")</f>
        <v/>
      </c>
      <c r="GR15" s="43" t="n">
        <f aca="false">IF(Tasks[[#This Row],[_IsLeaf]]=1,N(Tasks[[#This Row],[Story Points]]),0)</f>
        <v>0</v>
      </c>
      <c r="GS15" s="43" t="str">
        <f aca="false">""</f>
        <v/>
      </c>
      <c r="GT15" s="90" t="b">
        <f aca="false">IF(Tasks[[#This Row],[Task Name]]="",FALSE(),AND(Tasks[[#This Row],[_IsLeaf]]=1,N(Tasks[[#This Row],[_Days]])=0))</f>
        <v>0</v>
      </c>
      <c r="GU15" s="91" t="n">
        <f aca="false">IF(Tasks[[#This Row],[Task Name]]="",0,IF(AND(Tasks[[#This Row],[_IsLeaf]]=1,NOT(Tasks[[#This Row],[_IsMilestone]]),N(Tasks[[#This Row],[Progress]])&gt;0),Tasks[[#This Row],[Start]],0))</f>
        <v>46302</v>
      </c>
      <c r="GV15" s="91" t="n">
        <f aca="false">IF(Tasks[[#This Row],[_DoneFrom]]=0,0,IF(Tasks[[#This Row],[Progress]]&gt;=1,Tasks[[#This Row],[Finish]],MAX(Tasks[[#This Row],[_DoneFrom]],Tasks[[#This Row],[Start]]+ROUND((Tasks[[#This Row],[Finish]]-Tasks[[#This Row],[Start]]+1)*Tasks[[#This Row],[Progress]],0)-1)))</f>
        <v>46320</v>
      </c>
      <c r="GW15" s="91" t="n">
        <f aca="false">IF(Tasks[[#This Row],[Task Name]]="",0,IF(OR(NOT(Tasks[[#This Row],[_IsLeaf]]=1),Tasks[[#This Row],[_IsMilestone]],N(Tasks[[#This Row],[Progress]])&gt;=1),0,IF(Tasks[[#This Row],[_DoneTo]]&gt;0,Tasks[[#This Row],[_DoneTo]]+1,Tasks[[#This Row],[Start]])))</f>
        <v>46321</v>
      </c>
      <c r="GX15" s="91" t="n">
        <f aca="false">IF(Tasks[[#This Row],[_RemFrom]]=0,0,Tasks[[#This Row],[Finish]])</f>
        <v>46323</v>
      </c>
      <c r="GY15" s="90" t="b">
        <f aca="false">IF(Tasks[[#This Row],[Task Name]]="",FALSE(),OR(NOT(BaselineSet),N(Tasks[[#This Row],[Baseline Start]])&gt;0))</f>
        <v>1</v>
      </c>
      <c r="GZ15"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HA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HB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HC15" s="92" t="n">
        <f aca="false">IF(Tasks[[#This Row],[_IsLeaf]]=1,Tasks[[#This Row],[_Row]],"")</f>
        <v>10</v>
      </c>
      <c r="HD15" s="92" t="str">
        <f aca="false">IFERROR(INDEX(Tasks[UID],SMALL(Tasks[_PickKey],Tasks[[#This Row],[_Row]]))&amp;" "&amp;INDEX(Tasks[Task Name],SMALL(Tasks[_PickKey],Tasks[[#This Row],[_Row]])),"")</f>
        <v/>
      </c>
      <c r="HE15" s="43" t="n">
        <f aca="false">IF(Tasks[[#This Row],[Task Name]]="","",IF(Tasks[[#This Row],[_IsSummary]],NETWORKDAYS.INTL(Tasks[[#This Row],[Start]],Tasks[[#This Row],[Finish]],WorkWeek,Holidays),N(Tasks[[#This Row],[_Days]])))</f>
        <v>15</v>
      </c>
      <c r="HF15" s="43" t="n">
        <f aca="false">IF(Tasks[[#This Row],[Expected]]="",0,((Tasks[[#This Row],[Pessimistic]]-Tasks[[#This Row],[Optimistic]])/6)^2)</f>
        <v>1.36111111111111</v>
      </c>
      <c r="HG15" s="43" t="n">
        <f aca="false">IF(Tasks[[#This Row],[Expected]]="",0,Tasks[[#This Row],[Expected]]-N(Tasks[[#This Row],[_Days]]))</f>
        <v>-1.8</v>
      </c>
    </row>
    <row r="16" customFormat="false" ht="15" hidden="false" customHeight="false" outlineLevel="1" collapsed="false">
      <c r="A16" s="21" t="n">
        <f aca="false">IF(Tasks[[#This Row],[Task Name]]="","",COUNTA(Tasks[[#Headers],[Task Name]]:Tasks[[#This Row],[Task Name]])-1)</f>
        <v>11</v>
      </c>
      <c r="B16" s="22" t="n">
        <v>24</v>
      </c>
      <c r="C16" s="22" t="n">
        <v>2</v>
      </c>
      <c r="D16" s="93" t="s">
        <v>660</v>
      </c>
      <c r="E16" s="22" t="n">
        <v>1</v>
      </c>
      <c r="F16" s="23" t="n">
        <v>21</v>
      </c>
      <c r="G16" s="22"/>
      <c r="H16" s="22"/>
      <c r="I16" s="23"/>
      <c r="J16" s="22"/>
      <c r="K16" s="22"/>
      <c r="L16" s="23"/>
      <c r="M16" s="22"/>
      <c r="N16" s="22"/>
      <c r="O16" s="23"/>
      <c r="P16" s="22"/>
      <c r="Q16" s="22"/>
      <c r="R16" s="23"/>
      <c r="S16" s="23" t="s">
        <v>6</v>
      </c>
      <c r="T16" s="84"/>
      <c r="U16" s="23"/>
      <c r="V16" s="84"/>
      <c r="W16" s="23"/>
      <c r="X16" s="84"/>
      <c r="Y16" s="23"/>
      <c r="Z16" s="84"/>
      <c r="AA16" s="23"/>
      <c r="AB16" s="23"/>
      <c r="AC16" s="7"/>
      <c r="AD16" s="7"/>
      <c r="AE16" s="63" t="n">
        <f aca="false">IF(Tasks[[#This Row],[Task Name]]="","",IF(Tasks[[#This Row],[_IsSummary]],MIN(INDEX(Tasks[_ShownFcstStart],Tasks[[#This Row],[_Row]]+1):INDEX(Tasks[_ShownFcstStart],Tasks[[#This Row],[_Row]]+Tasks[[#This Row],[_Descendants]])),Tasks[[#This Row],[_ShownFcstStart]]))</f>
        <v>46324</v>
      </c>
      <c r="AF16" s="63" t="n">
        <f aca="false">IF(Tasks[[#This Row],[Task Name]]="","",IF(Tasks[[#This Row],[_IsSummary]],MAX(INDEX(Tasks[_ShownFcstFinish],Tasks[[#This Row],[_Row]]+1):INDEX(Tasks[_ShownFcstFinish],Tasks[[#This Row],[_Row]]+Tasks[[#This Row],[_Descendants]])),Tasks[[#This Row],[_ShownFcstFinish]]))</f>
        <v>46324</v>
      </c>
      <c r="AG16" s="21" t="str">
        <f aca="false">""</f>
        <v/>
      </c>
      <c r="AH16" s="23" t="s">
        <v>661</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 s="7"/>
      <c r="AK16" s="22" t="s">
        <v>248</v>
      </c>
      <c r="AL16" s="23"/>
      <c r="AM16" s="7"/>
      <c r="AN16" s="47"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3" t="n">
        <f aca="false">IF(Tasks[[#This Row],[Task Name]]="","",IF(N(Tasks[[#This Row],[Baseline Start]])&gt;0,Tasks[[#This Row],[Baseline Start]],Tasks[[#This Row],[_CalcStart]]))</f>
        <v>46318</v>
      </c>
      <c r="AR16" s="63" t="n">
        <f aca="false">IF(Tasks[[#This Row],[Task Name]]="","",IF(N(Tasks[[#This Row],[Baseline Finish]])&gt;0,Tasks[[#This Row],[Baseline Finish]],Tasks[[#This Row],[_CalcFinish]]))</f>
        <v>46318</v>
      </c>
      <c r="AS16" s="47" t="n">
        <f aca="false">IF(Tasks[[#This Row],[Task Name]]="","",IF(Tasks[[#This Row],[Start]]&gt;=Tasks[[#This Row],[Planned Start]],NETWORKDAYS.INTL(Tasks[[#This Row],[Planned Start]],Tasks[[#This Row],[Start]],WorkWeek,Holidays)-1,1-NETWORKDAYS.INTL(Tasks[[#This Row],[Start]],Tasks[[#This Row],[Planned Start]],WorkWeek,Holidays)))</f>
        <v>4</v>
      </c>
      <c r="AT16" s="63" t="n">
        <f aca="false">IF(Tasks[[#This Row],[Task Name]]="","",IF(Tasks[[#This Row],[_IsSummary]],MIN(INDEX(Tasks[_LeafLateStart],Tasks[[#This Row],[_Row]]+1):INDEX(Tasks[_LeafLateStart],Tasks[[#This Row],[_Row]]+Tasks[[#This Row],[_Descendants]])),Tasks[[#This Row],[_LeafLateStart]]))</f>
        <v>46324</v>
      </c>
      <c r="AU16" s="63" t="n">
        <f aca="false">IF(Tasks[[#This Row],[Task Name]]="","",IF(Tasks[[#This Row],[_IsSummary]],MAX(INDEX(Tasks[_LeafLateFinish],Tasks[[#This Row],[_Row]]+1):INDEX(Tasks[_LeafLateFinish],Tasks[[#This Row],[_Row]]+Tasks[[#This Row],[_Descendants]])),Tasks[[#This Row],[_LeafLateFinish]]))</f>
        <v>46324</v>
      </c>
      <c r="AV16" s="47"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5"/>
      <c r="BA1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6"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7"/>
      <c r="BJ16" s="22"/>
      <c r="BK16" s="47" t="n">
        <f aca="false">IF(OR(Tasks[[#This Row],[Task Name]]="",Tasks[[#This Row],[Baseline Duration]]=""),"",Tasks[[#This Row],[_SpanDays]]-N(Tasks[[#This Row],[Baseline Duration]]))</f>
        <v>0</v>
      </c>
      <c r="BL16" s="86" t="n">
        <f aca="false">IF(OR(Tasks[[#This Row],[Task Name]]="",Tasks[[#This Row],[Baseline Work]]=""),"",Tasks[[#This Row],[Work]]-N(Tasks[[#This Row],[Baseline Work]]))</f>
        <v>0</v>
      </c>
      <c r="BM16" s="63" t="n">
        <f aca="false">IF(Tasks[[#This Row],[Task Name]]="","",IF(OR(TakeBaseline="Yes",N(Tasks[[#This Row],[Baseline Start]])=0),Tasks[[#This Row],[Start]],Tasks[[#This Row],[Baseline Start]]))</f>
        <v>46318</v>
      </c>
      <c r="BN16" s="63" t="n">
        <f aca="false">IF(Tasks[[#This Row],[Task Name]]="","",IF(OR(TakeBaseline="Yes",N(Tasks[[#This Row],[Baseline Finish]])=0),Tasks[[#This Row],[Finish]],Tasks[[#This Row],[Baseline Finish]]))</f>
        <v>46318</v>
      </c>
      <c r="BO16" s="21" t="n">
        <f aca="false">IF(Tasks[[#This Row],[Task Name]]="","",IF(OR(TakeBaseline="Yes",N(Tasks[[#This Row],[Baseline Duration]])=0),Tasks[[#This Row],[_SpanDays]],Tasks[[#This Row],[Baseline Duration]]))</f>
        <v>1</v>
      </c>
      <c r="BP16" s="86" t="n">
        <f aca="false">IF(Tasks[[#This Row],[Task Name]]="","",IF(OR(TakeBaseline="Yes",N(Tasks[[#This Row],[Baseline Work]])=0),Tasks[[#This Row],[Work]],Tasks[[#This Row],[Baseline Work]]))</f>
        <v>8</v>
      </c>
      <c r="BQ16" s="7" t="n">
        <v>46318</v>
      </c>
      <c r="BR16" s="7" t="n">
        <v>46318</v>
      </c>
      <c r="BS16" s="22" t="n">
        <v>1</v>
      </c>
      <c r="BT16" s="88" t="n">
        <v>8</v>
      </c>
      <c r="BU16" s="23"/>
      <c r="BV16" s="23"/>
      <c r="BW16" s="23"/>
      <c r="BX16" s="89" t="str">
        <f aca="false">IF(AND(Tasks[[#This Row],[_IsLeaf]]=1,ISNUMBER(Tasks[[#This Row],[Optimistic]]),ISNUMBER(Tasks[[#This Row],[Pessimistic]])),ROUND((Tasks[[#This Row],[Optimistic]]+4*N(Tasks[[#This Row],[_Days]])+Tasks[[#This Row],[Pessimistic]])/6,1),"")</f>
        <v/>
      </c>
      <c r="BY16" s="87"/>
      <c r="BZ16" s="87"/>
      <c r="CA16" s="22"/>
      <c r="CB16" s="43" t="n">
        <f aca="false">IF(Tasks[[#This Row],[Task Name]]="","",MAX(1,N(Tasks[[#This Row],[Level]])))</f>
        <v>2</v>
      </c>
      <c r="CC16" s="43" t="n">
        <f aca="false">ROW()-ROW(Tasks[[#Headers],[ID]])</f>
        <v>11</v>
      </c>
      <c r="CD16" s="43" t="n">
        <f aca="false">IF(OR(Tasks[[#This Row],[Task Name]]="",Tasks[[#This Row],[_Level]]&lt;=1),0,IFERROR(LOOKUP(2,1/(Tasks[[#Headers],[_Level]]:Tasks[[#This Row],[_Level]]=Tasks[[#This Row],[_Level]]-1),ROW(Tasks[[#Headers],[_Level]]:Tasks[[#This Row],[_Level]])),0))</f>
        <v>14</v>
      </c>
      <c r="CE16" s="43" t="n">
        <f aca="false">IFERROR(N(INDEX(Tasks[_Level],Tasks[[#This Row],[_Row]]+1)),0)</f>
        <v>2</v>
      </c>
      <c r="CF16" s="90" t="b">
        <f aca="false">AND(Tasks[[#This Row],[Task Name]]&lt;&gt;"",Tasks[[#This Row],[_NextLevel]]&gt;Tasks[[#This Row],[_Level]])</f>
        <v>0</v>
      </c>
      <c r="CG16" s="43" t="n">
        <f aca="false">IF(Tasks[[#This Row],[_IsSummary]],COUNTIF(Tasks[WBS],Tasks[[#This Row],[WBS]]&amp;".*"),0)</f>
        <v>0</v>
      </c>
      <c r="CH16" s="43" t="n">
        <f aca="false">IF(AND(Tasks[[#This Row],[Task Name]]&lt;&gt;"",NOT(Tasks[[#This Row],[_IsSummary]])),1,0)</f>
        <v>1</v>
      </c>
      <c r="CI16" s="43" t="n">
        <f aca="false">IF(N(Tasks[[#This Row],[_Pred1UID]])=0,0,IFERROR(MATCH(Tasks[[#This Row],[_Pred1UID]],Tasks[UID],0),-1))</f>
        <v>10</v>
      </c>
      <c r="CJ16" s="43" t="n">
        <f aca="false">IF(N(Tasks[[#This Row],[_Pred2UID]])=0,0,IFERROR(MATCH(Tasks[[#This Row],[_Pred2UID]],Tasks[UID],0),-1))</f>
        <v>0</v>
      </c>
      <c r="CK16" s="43" t="n">
        <f aca="false">IF(N(Tasks[[#This Row],[_Pred3UID]])=0,0,IFERROR(MATCH(Tasks[[#This Row],[_Pred3UID]],Tasks[UID],0),-1))</f>
        <v>0</v>
      </c>
      <c r="CL16" s="43" t="n">
        <f aca="false">IF(N(Tasks[[#This Row],[_Pred4UID]])=0,0,IFERROR(MATCH(Tasks[[#This Row],[_Pred4UID]],Tasks[UID],0),-1))</f>
        <v>0</v>
      </c>
      <c r="CM16"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 s="91" t="n">
        <f aca="false">IF(OR(Tasks[[#This Row],[_ConstraintCode]]=2,Tasks[[#This Row],[_ConstraintCode]]=3,Tasks[[#This Row],[_ConstraintCode]]=4,Tasks[[#This Row],[_ConstraintCode]]=6),Tasks[[#This Row],[_ConstraintStart]],0)</f>
        <v>0</v>
      </c>
      <c r="CP16" s="91" t="n">
        <f aca="false">IF(OR(Tasks[[#This Row],[_ConstraintCode]]=2,Tasks[[#This Row],[_ConstraintCode]]=3,Tasks[[#This Row],[_ConstraintCode]]=5,Tasks[[#This Row],[_ConstraintCode]]=7),Tasks[[#This Row],[_ConstraintStart]],2958465)</f>
        <v>2958465</v>
      </c>
      <c r="CQ16"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6" s="91" t="n">
        <f aca="false">IF(NOT(Tasks[[#This Row],[_IsLeaf]]=1),"",IF(N(Tasks[[#This Row],[_Days]])&lt;=0,Tasks[[#This Row],[_LeafCalcStart]],WORKDAY.INTL(Tasks[[#This Row],[_LeafCalcStart]],Tasks[[#This Row],[_Days]]-1,WorkWeek,Holidays)))</f>
        <v>46318</v>
      </c>
      <c r="CS16"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6"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6" s="43" t="str">
        <f aca="false">IF(Tasks[[#This Row],[_Predecessors]]="","",TRIM(MID(SUBSTITUTE(SUBSTITUTE(SUBSTITUTE(UPPER(Tasks[[#This Row],[_Predecessors]]),";",",")," ",""),",",REPT(" ",99)),1,99)))</f>
        <v>21</v>
      </c>
      <c r="CV16" s="43" t="n">
        <f aca="false">IF(Tasks[[#This Row],[_Pred1Text]]="","",IFERROR(VALUE(LEFT(Tasks[[#This Row],[_Pred1Text]],MIN(FIND("F",Tasks[[#This Row],[_Pred1Text]]&amp;"F"),FIND("S",Tasks[[#This Row],[_Pred1Text]]&amp;"S"),FIND("+",Tasks[[#This Row],[_Pred1Text]]&amp;"+"),FIND("-",Tasks[[#This Row],[_Pred1Text]]&amp;"-"))-1)),""))</f>
        <v>21</v>
      </c>
      <c r="CW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6"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6" s="43" t="str">
        <f aca="false">IF(Tasks[[#This Row],[_Pred1Text]]="","",TRIM(MID(SUBSTITUTE(SUBSTITUTE(SUBSTITUTE(UPPER(Tasks[[#This Row],[_Predecessors]]),";",",")," ",""),",",REPT(" ",99)),100,99)))</f>
        <v/>
      </c>
      <c r="CZ16" s="43" t="str">
        <f aca="false">IF(Tasks[[#This Row],[_Pred2Text]]="","",IFERROR(VALUE(LEFT(Tasks[[#This Row],[_Pred2Text]],MIN(FIND("F",Tasks[[#This Row],[_Pred2Text]]&amp;"F"),FIND("S",Tasks[[#This Row],[_Pred2Text]]&amp;"S"),FIND("+",Tasks[[#This Row],[_Pred2Text]]&amp;"+"),FIND("-",Tasks[[#This Row],[_Pred2Text]]&amp;"-"))-1)),""))</f>
        <v/>
      </c>
      <c r="DA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3" t="str">
        <f aca="false">IF(Tasks[[#This Row],[_Pred2Text]]="","",TRIM(MID(SUBSTITUTE(SUBSTITUTE(SUBSTITUTE(UPPER(Tasks[[#This Row],[_Predecessors]]),";",",")," ",""),",",REPT(" ",99)),199,99)))</f>
        <v/>
      </c>
      <c r="DD16" s="43" t="str">
        <f aca="false">IF(Tasks[[#This Row],[_Pred3Text]]="","",IFERROR(VALUE(LEFT(Tasks[[#This Row],[_Pred3Text]],MIN(FIND("F",Tasks[[#This Row],[_Pred3Text]]&amp;"F"),FIND("S",Tasks[[#This Row],[_Pred3Text]]&amp;"S"),FIND("+",Tasks[[#This Row],[_Pred3Text]]&amp;"+"),FIND("-",Tasks[[#This Row],[_Pred3Text]]&amp;"-"))-1)),""))</f>
        <v/>
      </c>
      <c r="DE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3" t="str">
        <f aca="false">IF(Tasks[[#This Row],[_Pred3Text]]="","",TRIM(MID(SUBSTITUTE(SUBSTITUTE(SUBSTITUTE(UPPER(Tasks[[#This Row],[_Predecessors]]),";",",")," ",""),",",REPT(" ",99)),298,99)))</f>
        <v/>
      </c>
      <c r="DH16" s="43" t="str">
        <f aca="false">IF(Tasks[[#This Row],[_Pred4Text]]="","",IFERROR(VALUE(LEFT(Tasks[[#This Row],[_Pred4Text]],MIN(FIND("F",Tasks[[#This Row],[_Pred4Text]]&amp;"F"),FIND("S",Tasks[[#This Row],[_Pred4Text]]&amp;"S"),FIND("+",Tasks[[#This Row],[_Pred4Text]]&amp;"+"),FIND("-",Tasks[[#This Row],[_Pred4Text]]&amp;"-"))-1)),""))</f>
        <v/>
      </c>
      <c r="DI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3" t="str">
        <f aca="false">IF(OR(Tasks[[#This Row],[Task Name]]="",Tasks[[#This Row],[_Resources]]=""),"",TRIM(MID(SUBSTITUTE(Tasks[[#This Row],[_Resources]],",",REPT(" ",99)),1,99)))</f>
        <v>Priya Sharma</v>
      </c>
      <c r="DL16" s="43" t="str">
        <f aca="false">IF(Tasks[[#This Row],[_Res1Text]]="","",TRIM(MID(SUBSTITUTE(Tasks[[#This Row],[_Resources]],",",REPT(" ",99)),100,99)))</f>
        <v/>
      </c>
      <c r="DM16" s="43" t="str">
        <f aca="false">IF(Tasks[[#This Row],[_Res2Text]]="","",TRIM(MID(SUBSTITUTE(Tasks[[#This Row],[_Resources]],",",REPT(" ",99)),199,99)))</f>
        <v/>
      </c>
      <c r="DN16" s="43" t="str">
        <f aca="false">IF(Tasks[[#This Row],[_Res3Text]]="","",TRIM(MID(SUBSTITUTE(Tasks[[#This Row],[_Resources]],",",REPT(" ",99)),298,99)))</f>
        <v/>
      </c>
      <c r="DO16" s="43" t="n">
        <f aca="false">IF(Tasks[[#This Row],[_Res1Text]]="",0,IFERROR(MATCH(TRIM(LEFT(Tasks[[#This Row],[_Res1Text]],FIND("[",Tasks[[#This Row],[_Res1Text]]&amp;"[")-1)),res_Name,0),IFERROR(MATCH(TRIM(LEFT(Tasks[[#This Row],[_Res1Text]],FIND("[",Tasks[[#This Row],[_Res1Text]]&amp;"[")-1)),res_Initials,0),0)))</f>
        <v>1</v>
      </c>
      <c r="DP16" s="43" t="n">
        <f aca="false">IF(Tasks[[#This Row],[_Res2Text]]="",0,IFERROR(MATCH(TRIM(LEFT(Tasks[[#This Row],[_Res2Text]],FIND("[",Tasks[[#This Row],[_Res2Text]]&amp;"[")-1)),res_Name,0),IFERROR(MATCH(TRIM(LEFT(Tasks[[#This Row],[_Res2Text]],FIND("[",Tasks[[#This Row],[_Res2Text]]&amp;"[")-1)),res_Initials,0),0)))</f>
        <v>0</v>
      </c>
      <c r="DQ16" s="43" t="n">
        <f aca="false">IF(Tasks[[#This Row],[_Res3Text]]="",0,IFERROR(MATCH(TRIM(LEFT(Tasks[[#This Row],[_Res3Text]],FIND("[",Tasks[[#This Row],[_Res3Text]]&amp;"[")-1)),res_Name,0),IFERROR(MATCH(TRIM(LEFT(Tasks[[#This Row],[_Res3Text]],FIND("[",Tasks[[#This Row],[_Res3Text]]&amp;"[")-1)),res_Initials,0),0)))</f>
        <v>0</v>
      </c>
      <c r="DR16" s="43" t="n">
        <f aca="false">IF(Tasks[[#This Row],[_Res4Text]]="",0,IFERROR(MATCH(TRIM(LEFT(Tasks[[#This Row],[_Res4Text]],FIND("[",Tasks[[#This Row],[_Res4Text]]&amp;"[")-1)),res_Name,0),IFERROR(MATCH(TRIM(LEFT(Tasks[[#This Row],[_Res4Text]],FIND("[",Tasks[[#This Row],[_Res4Text]]&amp;"[")-1)),res_Initials,0),0)))</f>
        <v>0</v>
      </c>
      <c r="DS16" s="43" t="str">
        <f aca="false">IF(Tasks[[#This Row],[_Res1Text]]="","",IF(Tasks[[#This Row],[_Res1Row]]&gt;0,INDEX(res_Name,Tasks[[#This Row],[_Res1Row]]),TRIM(LEFT(Tasks[[#This Row],[_Res1Text]],FIND("[",Tasks[[#This Row],[_Res1Text]]&amp;"[")-1))))</f>
        <v>Priya Sharma</v>
      </c>
      <c r="DT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3" t="n">
        <f aca="false">IF(NOT(Tasks[[#This Row],[_IsLeaf]]=1),0,(Tasks[[#This Row],[_Resource1]]&lt;&gt;"")+(Tasks[[#This Row],[_Res2]]&lt;&gt;"")+(Tasks[[#This Row],[_Res3]]&lt;&gt;"")+(Tasks[[#This Row],[_Res4]]&lt;&gt;""))</f>
        <v>1</v>
      </c>
      <c r="DV16" s="43" t="str">
        <f aca="false">IF(Tasks[[#This Row],[_Res2Text]]="","",IF(Tasks[[#This Row],[_Res2Row]]&gt;0,INDEX(res_Name,Tasks[[#This Row],[_Res2Row]]),TRIM(LEFT(Tasks[[#This Row],[_Res2Text]],FIND("[",Tasks[[#This Row],[_Res2Text]]&amp;"[")-1))))</f>
        <v/>
      </c>
      <c r="DW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3" t="n">
        <f aca="false">IF(OR(NOT(Tasks[[#This Row],[_IsLeaf]]=1),Tasks[[#This Row],[_Res2Row]]=0),0,N(Tasks[[#This Row],[_Days]])*HoursPerDay*IF(Tasks[[#This Row],[_Res2Units]]="",DefaultUnits,Tasks[[#This Row],[_Res2Units]]))</f>
        <v>0</v>
      </c>
      <c r="DY16" s="43" t="n">
        <f aca="false">IF(AND(AND(Tasks[[#This Row],[_IsLeaf]]=1,Tasks[[#This Row],[_LeafTotalWork]]&gt;0),Tasks[[#This Row],[_Res2Work]]&gt;0),Tasks[[#This Row],[_Res2Work]]/(Tasks[[#This Row],[_FinishWorkday]]-Tasks[[#This Row],[_StartWorkday]]+1),0)</f>
        <v>0</v>
      </c>
      <c r="DZ16" s="43" t="n">
        <f aca="false">Tasks[[#This Row],[_Res2WorkPerWD]]*MAX(0,Tasks[[#This Row],[_StartWorkday]]-1)</f>
        <v>0</v>
      </c>
      <c r="EA16" s="43" t="n">
        <f aca="false">Tasks[[#This Row],[_Res2Work]]*Tasks[[#This Row],[_LeafProgress]]</f>
        <v>0</v>
      </c>
      <c r="EB16" s="43" t="str">
        <f aca="false">IF(Tasks[[#This Row],[_Res3Text]]="","",IF(Tasks[[#This Row],[_Res3Row]]&gt;0,INDEX(res_Name,Tasks[[#This Row],[_Res3Row]]),TRIM(LEFT(Tasks[[#This Row],[_Res3Text]],FIND("[",Tasks[[#This Row],[_Res3Text]]&amp;"[")-1))))</f>
        <v/>
      </c>
      <c r="EC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3" t="n">
        <f aca="false">IF(OR(NOT(Tasks[[#This Row],[_IsLeaf]]=1),Tasks[[#This Row],[_Res3Row]]=0),0,N(Tasks[[#This Row],[_Days]])*HoursPerDay*IF(Tasks[[#This Row],[_Res3Units]]="",DefaultUnits,Tasks[[#This Row],[_Res3Units]]))</f>
        <v>0</v>
      </c>
      <c r="EE16" s="43" t="n">
        <f aca="false">IF(AND(AND(Tasks[[#This Row],[_IsLeaf]]=1,Tasks[[#This Row],[_LeafTotalWork]]&gt;0),Tasks[[#This Row],[_Res3Work]]&gt;0),Tasks[[#This Row],[_Res3Work]]/(Tasks[[#This Row],[_FinishWorkday]]-Tasks[[#This Row],[_StartWorkday]]+1),0)</f>
        <v>0</v>
      </c>
      <c r="EF16" s="43" t="n">
        <f aca="false">Tasks[[#This Row],[_Res3WorkPerWD]]*MAX(0,Tasks[[#This Row],[_StartWorkday]]-1)</f>
        <v>0</v>
      </c>
      <c r="EG16" s="43" t="n">
        <f aca="false">Tasks[[#This Row],[_Res3Work]]*Tasks[[#This Row],[_LeafProgress]]</f>
        <v>0</v>
      </c>
      <c r="EH16" s="43" t="str">
        <f aca="false">IF(Tasks[[#This Row],[_Res4Text]]="","",IF(Tasks[[#This Row],[_Res4Row]]&gt;0,INDEX(res_Name,Tasks[[#This Row],[_Res4Row]]),TRIM(LEFT(Tasks[[#This Row],[_Res4Text]],FIND("[",Tasks[[#This Row],[_Res4Text]]&amp;"[")-1))))</f>
        <v/>
      </c>
      <c r="EI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3" t="n">
        <f aca="false">IF(OR(NOT(Tasks[[#This Row],[_IsLeaf]]=1),Tasks[[#This Row],[_Res4Row]]=0),0,N(Tasks[[#This Row],[_Days]])*HoursPerDay*IF(Tasks[[#This Row],[_Res4Units]]="",DefaultUnits,Tasks[[#This Row],[_Res4Units]]))</f>
        <v>0</v>
      </c>
      <c r="EK16" s="43" t="n">
        <f aca="false">IF(AND(AND(Tasks[[#This Row],[_IsLeaf]]=1,Tasks[[#This Row],[_LeafTotalWork]]&gt;0),Tasks[[#This Row],[_Res4Work]]&gt;0),Tasks[[#This Row],[_Res4Work]]/(Tasks[[#This Row],[_FinishWorkday]]-Tasks[[#This Row],[_StartWorkday]]+1),0)</f>
        <v>0</v>
      </c>
      <c r="EL16" s="43" t="n">
        <f aca="false">Tasks[[#This Row],[_Res4WorkPerWD]]*MAX(0,Tasks[[#This Row],[_StartWorkday]]-1)</f>
        <v>0</v>
      </c>
      <c r="EM16" s="43" t="n">
        <f aca="false">Tasks[[#This Row],[_Res4Work]]*Tasks[[#This Row],[_LeafProgress]]</f>
        <v>0</v>
      </c>
      <c r="EN16" s="43" t="n">
        <f aca="false">IF(ISNUMBER(Tasks[[#This Row],[% Complete]]),Tasks[[#This Row],[% Complete]],IF(Tasks[[#This Row],[Stage]]="",0,IFERROR(INDEX(stg_Pct,MATCH(Tasks[[#This Row],[Stage]],stg_Name,0)),0)))</f>
        <v>0</v>
      </c>
      <c r="EO16" s="43" t="n">
        <f aca="false">IF(NOT(Tasks[[#This Row],[_IsLeaf]]=1),0,IF(N(Tasks[[#This Row],[Actual Finish]])&gt;0,1,MIN(1,Tasks[[#This Row],[_Pct]])))</f>
        <v>0</v>
      </c>
      <c r="EP16" s="43" t="n">
        <f aca="false">IF(OR(NOT(Tasks[[#This Row],[_IsLeaf]]=1),Tasks[[#This Row],[_Res1Row]]=0),0,N(Tasks[[#This Row],[_Days]])*HoursPerDay*IF(Tasks[[#This Row],[_Units1]]="",DefaultUnits,Tasks[[#This Row],[_Units1]]))</f>
        <v>8</v>
      </c>
      <c r="EQ16" s="43" t="n">
        <f aca="false">Tasks[[#This Row],[_LeafWork]]+Tasks[[#This Row],[_Res2Work]]+Tasks[[#This Row],[_Res3Work]]+Tasks[[#This Row],[_Res4Work]]</f>
        <v>8</v>
      </c>
      <c r="ER16"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S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3" t="n">
        <f aca="false">IF(NOT(Tasks[[#This Row],[_IsLeaf]]=1),0,MAX(_xlfn.MAXIFS(Tasks[_Row],Tasks[_Pred1UID],Tasks[[#This Row],[UID]]),_xlfn.MAXIFS(Tasks[_Row],Tasks[_Pred2UID],Tasks[[#This Row],[UID]]),_xlfn.MAXIFS(Tasks[_Row],Tasks[_Pred3UID],Tasks[[#This Row],[UID]]),_xlfn.MAXIFS(Tasks[_Row],Tasks[_Pred4UID],Tasks[[#This Row],[UID]])))</f>
        <v>12</v>
      </c>
      <c r="FA16"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FB16"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6" s="91" t="n">
        <f aca="false">IF(NOT(Tasks[[#This Row],[_IsLeaf]]=1),"",IF(N(Tasks[[#This Row],[_Days]])&lt;=0,Tasks[[#This Row],[_LeafLateFinish]],WORKDAY.INTL(Tasks[[#This Row],[_LeafLateFinish]],-(Tasks[[#This Row],[_Days]]-1),WorkWeek,Holidays)))</f>
        <v>46324</v>
      </c>
      <c r="FD16"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6" s="90" t="b">
        <f aca="false">AND(Tasks[[#This Row],[_IsLeaf]]=1,Tasks[[#This Row],[_LeafProgress]]&lt;1,N(Tasks[[#This Row],[_LeafTotalSlack]])&lt;=CriticalSlackDays)</f>
        <v>1</v>
      </c>
      <c r="FF16" s="43" t="n">
        <f aca="false">IF(AND(Tasks[[#This Row],[_IsLeaf]]=1,Tasks[[#This Row],[_ConstraintCode]]=1,Tasks[[#This Row],[Mode]]&lt;&gt;"Manual",N(Tasks[[#This Row],[Actual Start]])=0),MAX(0,N(Tasks[[#This Row],[Free Slack]])),0)</f>
        <v>0</v>
      </c>
      <c r="FG16" s="91" t="n">
        <f aca="false">IF(NOT(Tasks[[#This Row],[_IsLeaf]]=1),"",IF(Tasks[[#This Row],[_AlapShift]]=0,Tasks[[#This Row],[_LeafCalcStart]],WORKDAY.INTL(Tasks[[#This Row],[_LeafCalcStart]],Tasks[[#This Row],[_AlapShift]],WorkWeek,Holidays)))</f>
        <v>46318</v>
      </c>
      <c r="FH16" s="91" t="n">
        <f aca="false">IF(NOT(Tasks[[#This Row],[_IsLeaf]]=1),"",IF(Tasks[[#This Row],[_AlapShift]]=0,Tasks[[#This Row],[_LeafCalcFinish]],WORKDAY.INTL(Tasks[[#This Row],[_LeafCalcFinish]],Tasks[[#This Row],[_AlapShift]],WorkWeek,Holidays)))</f>
        <v>46318</v>
      </c>
      <c r="FI16" s="91" t="n">
        <f aca="false">IF(NOT(Tasks[[#This Row],[_IsLeaf]]=1),"",IF(Tasks[[#This Row],[_AlapShift]]=0,Tasks[[#This Row],[_LeafFcstStart]],WORKDAY.INTL(Tasks[[#This Row],[_LeafFcstStart]],Tasks[[#This Row],[_AlapShift]],WorkWeek,Holidays)))</f>
        <v>46324</v>
      </c>
      <c r="FJ16" s="91" t="n">
        <f aca="false">IF(NOT(Tasks[[#This Row],[_IsLeaf]]=1),"",IF(Tasks[[#This Row],[_AlapShift]]=0,Tasks[[#This Row],[_LeafFcstFinish]],WORKDAY.INTL(Tasks[[#This Row],[_LeafFcstFinish]],Tasks[[#This Row],[_AlapShift]],WorkWeek,Holidays)))</f>
        <v>46324</v>
      </c>
      <c r="FK16" s="91" t="n">
        <f aca="false">IF(Tasks[[#This Row],[Task Name]]="","",IF(Tasks[[#This Row],[_IsSummary]],MIN(INDEX(Tasks[_ShownCalcStart],Tasks[[#This Row],[_Row]]+1):INDEX(Tasks[_ShownCalcStart],Tasks[[#This Row],[_Row]]+Tasks[[#This Row],[_Descendants]])),Tasks[[#This Row],[_ShownCalcStart]]))</f>
        <v>46318</v>
      </c>
      <c r="FL16" s="91" t="n">
        <f aca="false">IF(Tasks[[#This Row],[Task Name]]="","",IF(Tasks[[#This Row],[_IsSummary]],MAX(INDEX(Tasks[_ShownCalcFinish],Tasks[[#This Row],[_Row]]+1):INDEX(Tasks[_ShownCalcFinish],Tasks[[#This Row],[_Row]]+Tasks[[#This Row],[_Descendants]])),Tasks[[#This Row],[_ShownCalcFinish]]))</f>
        <v>46318</v>
      </c>
      <c r="FM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 s="43" t="n">
        <f aca="false">IF(AND(Tasks[[#This Row],[_IsLeaf]]=1,Tasks[[#This Row],[_LeafTotalWork]]&gt;0),NETWORKDAYS.INTL(ProjectStart,Tasks[[#This Row],[_ShownFcstStart]],WorkWeek,Holidays),0)</f>
        <v>39</v>
      </c>
      <c r="FZ16" s="43" t="n">
        <f aca="false">IF(AND(Tasks[[#This Row],[_IsLeaf]]=1,Tasks[[#This Row],[_LeafTotalWork]]&gt;0),MAX(Tasks[[#This Row],[_StartWorkday]],NETWORKDAYS.INTL(ProjectStart,Tasks[[#This Row],[_ShownFcstFinish]],WorkWeek,Holidays)),0)</f>
        <v>39</v>
      </c>
      <c r="GA16" s="43" t="n">
        <f aca="false">IF(AND(Tasks[[#This Row],[_IsLeaf]]=1,Tasks[[#This Row],[_LeafTotalWork]]&gt;0),Tasks[[#This Row],[_LeafWork]]/(Tasks[[#This Row],[_FinishWorkday]]-Tasks[[#This Row],[_StartWorkday]]+1),0)</f>
        <v>8</v>
      </c>
      <c r="GB16" s="43" t="n">
        <f aca="false">Tasks[[#This Row],[_WorkPerWorkday]]*(Tasks[[#This Row],[_StartWorkday]]-1)</f>
        <v>304</v>
      </c>
      <c r="GC16" s="43" t="n">
        <f aca="false">IF(Tasks[[#This Row],[_IsLeaf]]=1,MAX(N(Tasks[[#This Row],[_Days]]),0.1),0)</f>
        <v>1</v>
      </c>
      <c r="GD16" s="43" t="n">
        <f aca="false">Tasks[[#This Row],[_WeightDur]]*Tasks[[#This Row],[_LeafProgress]]</f>
        <v>0</v>
      </c>
      <c r="GE16" s="43" t="n">
        <f aca="false">Tasks[[#This Row],[_WeightDur]]*Tasks[[#This Row],[_PlannedPct]]</f>
        <v>1</v>
      </c>
      <c r="GF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GG16" s="43" t="str">
        <f aca="false">IF(AND(Tasks[[#This Row],[_IsLeaf]]=1,N(Tasks[[#This Row],[_Days]])=0,Tasks[[#This Row],[_LeafProgress]]&lt;1),Tasks[[#This Row],[_ShownFcstFinish]]+Tasks[[#This Row],[_Row]]/100000,"")</f>
        <v/>
      </c>
      <c r="GH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6" s="43" t="str">
        <f aca="false">IF(Tasks[[#This Row],[Task Name]]="","",LEFT(Tasks[[#This Row],[WBS]],FIND(".",Tasks[[#This Row],[WBS]]&amp;".")-1))</f>
        <v>3</v>
      </c>
      <c r="GJ16" s="43" t="str">
        <f aca="false">IF(AND(Tasks[[#This Row],[Task Name]]&lt;&gt;"",Tasks[[#This Row],[_Level]]=1),Tasks[[#This Row],[_Row]],"")</f>
        <v/>
      </c>
      <c r="GK16" s="43" t="str">
        <f aca="false">IF(AND(Tasks[[#This Row],[_IsLeaf]]=1,N(Tasks[[#This Row],[_Days]])=0),Tasks[[#This Row],[Planned Finish]]+Tasks[[#This Row],[_Row]]/100000,"")</f>
        <v/>
      </c>
      <c r="GL16" s="43" t="n">
        <f aca="false">IF(AND(Tasks[[#This Row],[_IsLeaf]]=1,Tasks[[#This Row],[_LeafProgress]]&lt;1,OR(N(Tasks[[#This Row],[Finish Var]])&gt;0,Tasks[[#This Row],[Status]]="Late Start")),MAX(0,Tasks[[#This Row],[Finish Var]])+1-Tasks[[#This Row],[_Row]]/1000000,"")</f>
        <v>4.999989</v>
      </c>
      <c r="GM16" s="95" t="n">
        <f aca="false">IF(AND(Tasks[[#This Row],[_IsLeaf]]=1,N(Tasks[[#This Row],[Actual Start]])=0,Tasks[[#This Row],[_ShownFcstStart]]&gt;=StatusDate,Tasks[[#This Row],[_ShownFcstStart]]&lt;=LookaheadEnd),Tasks[[#This Row],[_ShownFcstStart]]+Tasks[[#This Row],[_Row]]/100000,"")</f>
        <v>46324.00011</v>
      </c>
      <c r="GN16" s="95" t="n">
        <f aca="false">IF(AND(Tasks[[#This Row],[_IsLeaf]]=1,Tasks[[#This Row],[_LeafProgress]]&lt;1,Tasks[[#This Row],[_ShownFcstFinish]]&gt;=StatusDate,Tasks[[#This Row],[_ShownFcstFinish]]&lt;=LookaheadEnd),Tasks[[#This Row],[_ShownFcstFinish]]+Tasks[[#This Row],[_Row]]/100000,"")</f>
        <v>46324.00011</v>
      </c>
      <c r="GO16" s="95" t="n">
        <f aca="false">IF(Tasks[[#This Row],[_LeafCritical]],Tasks[[#This Row],[_ShownFcstStart]]+Tasks[[#This Row],[_Row]]/100000,"")</f>
        <v>46324.00011</v>
      </c>
      <c r="GP16" s="43" t="n">
        <f aca="false">Tasks[[#This Row],[_LeafWork]]*Tasks[[#This Row],[_LeafProgress]]</f>
        <v>0</v>
      </c>
      <c r="GQ16" s="91" t="str">
        <f aca="false">IF(AND(Tasks[[#This Row],[_IsLeaf]]=1,Tasks[[#This Row],[_LeafProgress]]&gt;=1),IF(N(Tasks[[#This Row],[Actual Finish]])&gt;0,Tasks[[#This Row],[Actual Finish]],Tasks[[#This Row],[_ShownFcstFinish]]),"")</f>
        <v/>
      </c>
      <c r="GR16" s="43" t="n">
        <f aca="false">IF(Tasks[[#This Row],[_IsLeaf]]=1,N(Tasks[[#This Row],[Story Points]]),0)</f>
        <v>0</v>
      </c>
      <c r="GS16" s="43" t="str">
        <f aca="false">""</f>
        <v/>
      </c>
      <c r="GT16" s="90" t="b">
        <f aca="false">IF(Tasks[[#This Row],[Task Name]]="",FALSE(),AND(Tasks[[#This Row],[_IsLeaf]]=1,N(Tasks[[#This Row],[_Days]])=0))</f>
        <v>0</v>
      </c>
      <c r="GU16" s="91" t="n">
        <f aca="false">IF(Tasks[[#This Row],[Task Name]]="",0,IF(AND(Tasks[[#This Row],[_IsLeaf]]=1,NOT(Tasks[[#This Row],[_IsMilestone]]),N(Tasks[[#This Row],[Progress]])&gt;0),Tasks[[#This Row],[Start]],0))</f>
        <v>0</v>
      </c>
      <c r="GV16" s="91" t="n">
        <f aca="false">IF(Tasks[[#This Row],[_DoneFrom]]=0,0,IF(Tasks[[#This Row],[Progress]]&gt;=1,Tasks[[#This Row],[Finish]],MAX(Tasks[[#This Row],[_DoneFrom]],Tasks[[#This Row],[Start]]+ROUND((Tasks[[#This Row],[Finish]]-Tasks[[#This Row],[Start]]+1)*Tasks[[#This Row],[Progress]],0)-1)))</f>
        <v>0</v>
      </c>
      <c r="GW16" s="91" t="n">
        <f aca="false">IF(Tasks[[#This Row],[Task Name]]="",0,IF(OR(NOT(Tasks[[#This Row],[_IsLeaf]]=1),Tasks[[#This Row],[_IsMilestone]],N(Tasks[[#This Row],[Progress]])&gt;=1),0,IF(Tasks[[#This Row],[_DoneTo]]&gt;0,Tasks[[#This Row],[_DoneTo]]+1,Tasks[[#This Row],[Start]])))</f>
        <v>46324</v>
      </c>
      <c r="GX16" s="91" t="n">
        <f aca="false">IF(Tasks[[#This Row],[_RemFrom]]=0,0,Tasks[[#This Row],[Finish]])</f>
        <v>46324</v>
      </c>
      <c r="GY16" s="90" t="b">
        <f aca="false">IF(Tasks[[#This Row],[Task Name]]="",FALSE(),OR(NOT(BaselineSet),N(Tasks[[#This Row],[Baseline Start]])&gt;0))</f>
        <v>1</v>
      </c>
      <c r="GZ16"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HA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HB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16" s="92" t="n">
        <f aca="false">IF(Tasks[[#This Row],[_IsLeaf]]=1,Tasks[[#This Row],[_Row]],"")</f>
        <v>11</v>
      </c>
      <c r="HD16" s="92" t="str">
        <f aca="false">IFERROR(INDEX(Tasks[UID],SMALL(Tasks[_PickKey],Tasks[[#This Row],[_Row]]))&amp;" "&amp;INDEX(Tasks[Task Name],SMALL(Tasks[_PickKey],Tasks[[#This Row],[_Row]])),"")</f>
        <v/>
      </c>
      <c r="HE16" s="43" t="n">
        <f aca="false">IF(Tasks[[#This Row],[Task Name]]="","",IF(Tasks[[#This Row],[_IsSummary]],NETWORKDAYS.INTL(Tasks[[#This Row],[Start]],Tasks[[#This Row],[Finish]],WorkWeek,Holidays),N(Tasks[[#This Row],[_Days]])))</f>
        <v>1</v>
      </c>
      <c r="HF16" s="43" t="n">
        <f aca="false">IF(Tasks[[#This Row],[Expected]]="",0,((Tasks[[#This Row],[Pessimistic]]-Tasks[[#This Row],[Optimistic]])/6)^2)</f>
        <v>0</v>
      </c>
      <c r="HG16" s="43" t="n">
        <f aca="false">IF(Tasks[[#This Row],[Expected]]="",0,Tasks[[#This Row],[Expected]]-N(Tasks[[#This Row],[_Days]]))</f>
        <v>0</v>
      </c>
    </row>
    <row r="17" customFormat="false" ht="15" hidden="false" customHeight="false" outlineLevel="1" collapsed="false">
      <c r="A17" s="21" t="n">
        <f aca="false">IF(Tasks[[#This Row],[Task Name]]="","",COUNTA(Tasks[[#Headers],[Task Name]]:Tasks[[#This Row],[Task Name]])-1)</f>
        <v>12</v>
      </c>
      <c r="B17" s="22" t="n">
        <v>25</v>
      </c>
      <c r="C17" s="22" t="n">
        <v>2</v>
      </c>
      <c r="D17" s="93" t="s">
        <v>662</v>
      </c>
      <c r="E17" s="22" t="n">
        <v>0</v>
      </c>
      <c r="F17" s="23" t="n">
        <v>24</v>
      </c>
      <c r="G17" s="22"/>
      <c r="H17" s="22"/>
      <c r="I17" s="23"/>
      <c r="J17" s="22"/>
      <c r="K17" s="22"/>
      <c r="L17" s="23"/>
      <c r="M17" s="22"/>
      <c r="N17" s="22"/>
      <c r="O17" s="23"/>
      <c r="P17" s="22"/>
      <c r="Q17" s="22"/>
      <c r="R17" s="23"/>
      <c r="S17" s="23"/>
      <c r="T17" s="84"/>
      <c r="U17" s="23"/>
      <c r="V17" s="84"/>
      <c r="W17" s="23"/>
      <c r="X17" s="84"/>
      <c r="Y17" s="23"/>
      <c r="Z17" s="84"/>
      <c r="AA17" s="23"/>
      <c r="AB17" s="23"/>
      <c r="AC17" s="7"/>
      <c r="AD17" s="7"/>
      <c r="AE17" s="63" t="n">
        <f aca="false">IF(Tasks[[#This Row],[Task Name]]="","",IF(Tasks[[#This Row],[_IsSummary]],MIN(INDEX(Tasks[_ShownFcstStart],Tasks[[#This Row],[_Row]]+1):INDEX(Tasks[_ShownFcstStart],Tasks[[#This Row],[_Row]]+Tasks[[#This Row],[_Descendants]])),Tasks[[#This Row],[_ShownFcstStart]]))</f>
        <v>46324</v>
      </c>
      <c r="AF17" s="63" t="n">
        <f aca="false">IF(Tasks[[#This Row],[Task Name]]="","",IF(Tasks[[#This Row],[_IsSummary]],MAX(INDEX(Tasks[_ShownFcstFinish],Tasks[[#This Row],[_Row]]+1):INDEX(Tasks[_ShownFcstFinish],Tasks[[#This Row],[_Row]]+Tasks[[#This Row],[_Descendants]])),Tasks[[#This Row],[_ShownFcstFinish]]))</f>
        <v>46324</v>
      </c>
      <c r="AG17" s="21" t="str">
        <f aca="false">""</f>
        <v/>
      </c>
      <c r="AH17" s="23" t="s">
        <v>663</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 s="7" t="n">
        <v>46374</v>
      </c>
      <c r="AK17" s="22" t="s">
        <v>248</v>
      </c>
      <c r="AL17" s="23"/>
      <c r="AM17" s="7"/>
      <c r="AN17" s="47"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3" t="n">
        <f aca="false">IF(Tasks[[#This Row],[Task Name]]="","",IF(N(Tasks[[#This Row],[Baseline Start]])&gt;0,Tasks[[#This Row],[Baseline Start]],Tasks[[#This Row],[_CalcStart]]))</f>
        <v>46318</v>
      </c>
      <c r="AR17" s="63" t="n">
        <f aca="false">IF(Tasks[[#This Row],[Task Name]]="","",IF(N(Tasks[[#This Row],[Baseline Finish]])&gt;0,Tasks[[#This Row],[Baseline Finish]],Tasks[[#This Row],[_CalcFinish]]))</f>
        <v>46318</v>
      </c>
      <c r="AS17" s="47" t="n">
        <f aca="false">IF(Tasks[[#This Row],[Task Name]]="","",IF(Tasks[[#This Row],[Start]]&gt;=Tasks[[#This Row],[Planned Start]],NETWORKDAYS.INTL(Tasks[[#This Row],[Planned Start]],Tasks[[#This Row],[Start]],WorkWeek,Holidays)-1,1-NETWORKDAYS.INTL(Tasks[[#This Row],[Start]],Tasks[[#This Row],[Planned Start]],WorkWeek,Holidays)))</f>
        <v>4</v>
      </c>
      <c r="AT17" s="63" t="n">
        <f aca="false">IF(Tasks[[#This Row],[Task Name]]="","",IF(Tasks[[#This Row],[_IsSummary]],MIN(INDEX(Tasks[_LeafLateStart],Tasks[[#This Row],[_Row]]+1):INDEX(Tasks[_LeafLateStart],Tasks[[#This Row],[_Row]]+Tasks[[#This Row],[_Descendants]])),Tasks[[#This Row],[_LeafLateStart]]))</f>
        <v>46324</v>
      </c>
      <c r="AU17" s="63" t="n">
        <f aca="false">IF(Tasks[[#This Row],[Task Name]]="","",IF(Tasks[[#This Row],[_IsSummary]],MAX(INDEX(Tasks[_LeafLateFinish],Tasks[[#This Row],[_Row]]+1):INDEX(Tasks[_LeafLateFinish],Tasks[[#This Row],[_Row]]+Tasks[[#This Row],[_Descendants]])),Tasks[[#This Row],[_LeafLateFinish]]))</f>
        <v>46324</v>
      </c>
      <c r="AV17" s="47"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5"/>
      <c r="BA1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6"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7"/>
      <c r="BJ17" s="22"/>
      <c r="BK17" s="47" t="n">
        <f aca="false">IF(OR(Tasks[[#This Row],[Task Name]]="",Tasks[[#This Row],[Baseline Duration]]=""),"",Tasks[[#This Row],[_SpanDays]]-N(Tasks[[#This Row],[Baseline Duration]]))</f>
        <v>0</v>
      </c>
      <c r="BL17" s="86" t="n">
        <f aca="false">IF(OR(Tasks[[#This Row],[Task Name]]="",Tasks[[#This Row],[Baseline Work]]=""),"",Tasks[[#This Row],[Work]]-N(Tasks[[#This Row],[Baseline Work]]))</f>
        <v>0</v>
      </c>
      <c r="BM17" s="63" t="n">
        <f aca="false">IF(Tasks[[#This Row],[Task Name]]="","",IF(OR(TakeBaseline="Yes",N(Tasks[[#This Row],[Baseline Start]])=0),Tasks[[#This Row],[Start]],Tasks[[#This Row],[Baseline Start]]))</f>
        <v>46318</v>
      </c>
      <c r="BN17" s="63" t="n">
        <f aca="false">IF(Tasks[[#This Row],[Task Name]]="","",IF(OR(TakeBaseline="Yes",N(Tasks[[#This Row],[Baseline Finish]])=0),Tasks[[#This Row],[Finish]],Tasks[[#This Row],[Baseline Finish]]))</f>
        <v>46318</v>
      </c>
      <c r="BO17" s="21" t="n">
        <f aca="false">IF(Tasks[[#This Row],[Task Name]]="","",IF(OR(TakeBaseline="Yes",N(Tasks[[#This Row],[Baseline Duration]])=0),Tasks[[#This Row],[_SpanDays]],Tasks[[#This Row],[Baseline Duration]]))</f>
        <v>0</v>
      </c>
      <c r="BP17" s="86" t="n">
        <f aca="false">IF(Tasks[[#This Row],[Task Name]]="","",IF(OR(TakeBaseline="Yes",N(Tasks[[#This Row],[Baseline Work]])=0),Tasks[[#This Row],[Work]],Tasks[[#This Row],[Baseline Work]]))</f>
        <v>0</v>
      </c>
      <c r="BQ17" s="7" t="n">
        <v>46318</v>
      </c>
      <c r="BR17" s="7" t="n">
        <v>46318</v>
      </c>
      <c r="BS17" s="22" t="n">
        <v>0</v>
      </c>
      <c r="BT17" s="88" t="n">
        <v>0</v>
      </c>
      <c r="BU17" s="23" t="s">
        <v>6</v>
      </c>
      <c r="BV17" s="23" t="s">
        <v>644</v>
      </c>
      <c r="BW17" s="23" t="s">
        <v>664</v>
      </c>
      <c r="BX17" s="89" t="str">
        <f aca="false">IF(AND(Tasks[[#This Row],[_IsLeaf]]=1,ISNUMBER(Tasks[[#This Row],[Optimistic]]),ISNUMBER(Tasks[[#This Row],[Pessimistic]])),ROUND((Tasks[[#This Row],[Optimistic]]+4*N(Tasks[[#This Row],[_Days]])+Tasks[[#This Row],[Pessimistic]])/6,1),"")</f>
        <v/>
      </c>
      <c r="BY17" s="87"/>
      <c r="BZ17" s="87"/>
      <c r="CA17" s="22"/>
      <c r="CB17" s="43" t="n">
        <f aca="false">IF(Tasks[[#This Row],[Task Name]]="","",MAX(1,N(Tasks[[#This Row],[Level]])))</f>
        <v>2</v>
      </c>
      <c r="CC17" s="43" t="n">
        <f aca="false">ROW()-ROW(Tasks[[#Headers],[ID]])</f>
        <v>12</v>
      </c>
      <c r="CD17" s="43" t="n">
        <f aca="false">IF(OR(Tasks[[#This Row],[Task Name]]="",Tasks[[#This Row],[_Level]]&lt;=1),0,IFERROR(LOOKUP(2,1/(Tasks[[#Headers],[_Level]]:Tasks[[#This Row],[_Level]]=Tasks[[#This Row],[_Level]]-1),ROW(Tasks[[#Headers],[_Level]]:Tasks[[#This Row],[_Level]])),0))</f>
        <v>14</v>
      </c>
      <c r="CE17" s="43" t="n">
        <f aca="false">IFERROR(N(INDEX(Tasks[_Level],Tasks[[#This Row],[_Row]]+1)),0)</f>
        <v>0</v>
      </c>
      <c r="CF17" s="90" t="b">
        <f aca="false">AND(Tasks[[#This Row],[Task Name]]&lt;&gt;"",Tasks[[#This Row],[_NextLevel]]&gt;Tasks[[#This Row],[_Level]])</f>
        <v>0</v>
      </c>
      <c r="CG17" s="43" t="n">
        <f aca="false">IF(Tasks[[#This Row],[_IsSummary]],COUNTIF(Tasks[WBS],Tasks[[#This Row],[WBS]]&amp;".*"),0)</f>
        <v>0</v>
      </c>
      <c r="CH17" s="43" t="n">
        <f aca="false">IF(AND(Tasks[[#This Row],[Task Name]]&lt;&gt;"",NOT(Tasks[[#This Row],[_IsSummary]])),1,0)</f>
        <v>1</v>
      </c>
      <c r="CI17" s="43" t="n">
        <f aca="false">IF(N(Tasks[[#This Row],[_Pred1UID]])=0,0,IFERROR(MATCH(Tasks[[#This Row],[_Pred1UID]],Tasks[UID],0),-1))</f>
        <v>11</v>
      </c>
      <c r="CJ17" s="43" t="n">
        <f aca="false">IF(N(Tasks[[#This Row],[_Pred2UID]])=0,0,IFERROR(MATCH(Tasks[[#This Row],[_Pred2UID]],Tasks[UID],0),-1))</f>
        <v>0</v>
      </c>
      <c r="CK17" s="43" t="n">
        <f aca="false">IF(N(Tasks[[#This Row],[_Pred3UID]])=0,0,IFERROR(MATCH(Tasks[[#This Row],[_Pred3UID]],Tasks[UID],0),-1))</f>
        <v>0</v>
      </c>
      <c r="CL17" s="43" t="n">
        <f aca="false">IF(N(Tasks[[#This Row],[_Pred4UID]])=0,0,IFERROR(MATCH(Tasks[[#This Row],[_Pred4UID]],Tasks[UID],0),-1))</f>
        <v>0</v>
      </c>
      <c r="CM1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 s="91" t="n">
        <f aca="false">IF(OR(Tasks[[#This Row],[_ConstraintCode]]=2,Tasks[[#This Row],[_ConstraintCode]]=3,Tasks[[#This Row],[_ConstraintCode]]=4,Tasks[[#This Row],[_ConstraintCode]]=6),Tasks[[#This Row],[_ConstraintStart]],0)</f>
        <v>0</v>
      </c>
      <c r="CP17" s="91" t="n">
        <f aca="false">IF(OR(Tasks[[#This Row],[_ConstraintCode]]=2,Tasks[[#This Row],[_ConstraintCode]]=3,Tasks[[#This Row],[_ConstraintCode]]=5,Tasks[[#This Row],[_ConstraintCode]]=7),Tasks[[#This Row],[_ConstraintStart]],2958465)</f>
        <v>2958465</v>
      </c>
      <c r="CQ1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7" s="91" t="n">
        <f aca="false">IF(NOT(Tasks[[#This Row],[_IsLeaf]]=1),"",IF(N(Tasks[[#This Row],[_Days]])&lt;=0,Tasks[[#This Row],[_LeafCalcStart]],WORKDAY.INTL(Tasks[[#This Row],[_LeafCalcStart]],Tasks[[#This Row],[_Days]]-1,WorkWeek,Holidays)))</f>
        <v>46318</v>
      </c>
      <c r="CS1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7" s="43" t="str">
        <f aca="false">IF(Tasks[[#This Row],[_Predecessors]]="","",TRIM(MID(SUBSTITUTE(SUBSTITUTE(SUBSTITUTE(UPPER(Tasks[[#This Row],[_Predecessors]]),";",",")," ",""),",",REPT(" ",99)),1,99)))</f>
        <v>24</v>
      </c>
      <c r="CV17" s="43" t="n">
        <f aca="false">IF(Tasks[[#This Row],[_Pred1Text]]="","",IFERROR(VALUE(LEFT(Tasks[[#This Row],[_Pred1Text]],MIN(FIND("F",Tasks[[#This Row],[_Pred1Text]]&amp;"F"),FIND("S",Tasks[[#This Row],[_Pred1Text]]&amp;"S"),FIND("+",Tasks[[#This Row],[_Pred1Text]]&amp;"+"),FIND("-",Tasks[[#This Row],[_Pred1Text]]&amp;"-"))-1)),""))</f>
        <v>24</v>
      </c>
      <c r="CW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7"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7" s="43" t="str">
        <f aca="false">IF(Tasks[[#This Row],[_Pred1Text]]="","",TRIM(MID(SUBSTITUTE(SUBSTITUTE(SUBSTITUTE(UPPER(Tasks[[#This Row],[_Predecessors]]),";",",")," ",""),",",REPT(" ",99)),100,99)))</f>
        <v/>
      </c>
      <c r="CZ17" s="43" t="str">
        <f aca="false">IF(Tasks[[#This Row],[_Pred2Text]]="","",IFERROR(VALUE(LEFT(Tasks[[#This Row],[_Pred2Text]],MIN(FIND("F",Tasks[[#This Row],[_Pred2Text]]&amp;"F"),FIND("S",Tasks[[#This Row],[_Pred2Text]]&amp;"S"),FIND("+",Tasks[[#This Row],[_Pred2Text]]&amp;"+"),FIND("-",Tasks[[#This Row],[_Pred2Text]]&amp;"-"))-1)),""))</f>
        <v/>
      </c>
      <c r="DA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3" t="str">
        <f aca="false">IF(Tasks[[#This Row],[_Pred2Text]]="","",TRIM(MID(SUBSTITUTE(SUBSTITUTE(SUBSTITUTE(UPPER(Tasks[[#This Row],[_Predecessors]]),";",",")," ",""),",",REPT(" ",99)),199,99)))</f>
        <v/>
      </c>
      <c r="DD17" s="43" t="str">
        <f aca="false">IF(Tasks[[#This Row],[_Pred3Text]]="","",IFERROR(VALUE(LEFT(Tasks[[#This Row],[_Pred3Text]],MIN(FIND("F",Tasks[[#This Row],[_Pred3Text]]&amp;"F"),FIND("S",Tasks[[#This Row],[_Pred3Text]]&amp;"S"),FIND("+",Tasks[[#This Row],[_Pred3Text]]&amp;"+"),FIND("-",Tasks[[#This Row],[_Pred3Text]]&amp;"-"))-1)),""))</f>
        <v/>
      </c>
      <c r="DE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3" t="str">
        <f aca="false">IF(Tasks[[#This Row],[_Pred3Text]]="","",TRIM(MID(SUBSTITUTE(SUBSTITUTE(SUBSTITUTE(UPPER(Tasks[[#This Row],[_Predecessors]]),";",",")," ",""),",",REPT(" ",99)),298,99)))</f>
        <v/>
      </c>
      <c r="DH17" s="43" t="str">
        <f aca="false">IF(Tasks[[#This Row],[_Pred4Text]]="","",IFERROR(VALUE(LEFT(Tasks[[#This Row],[_Pred4Text]],MIN(FIND("F",Tasks[[#This Row],[_Pred4Text]]&amp;"F"),FIND("S",Tasks[[#This Row],[_Pred4Text]]&amp;"S"),FIND("+",Tasks[[#This Row],[_Pred4Text]]&amp;"+"),FIND("-",Tasks[[#This Row],[_Pred4Text]]&amp;"-"))-1)),""))</f>
        <v/>
      </c>
      <c r="DI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3" t="str">
        <f aca="false">IF(OR(Tasks[[#This Row],[Task Name]]="",Tasks[[#This Row],[_Resources]]=""),"",TRIM(MID(SUBSTITUTE(Tasks[[#This Row],[_Resources]],",",REPT(" ",99)),1,99)))</f>
        <v/>
      </c>
      <c r="DL17" s="43" t="str">
        <f aca="false">IF(Tasks[[#This Row],[_Res1Text]]="","",TRIM(MID(SUBSTITUTE(Tasks[[#This Row],[_Resources]],",",REPT(" ",99)),100,99)))</f>
        <v/>
      </c>
      <c r="DM17" s="43" t="str">
        <f aca="false">IF(Tasks[[#This Row],[_Res2Text]]="","",TRIM(MID(SUBSTITUTE(Tasks[[#This Row],[_Resources]],",",REPT(" ",99)),199,99)))</f>
        <v/>
      </c>
      <c r="DN17" s="43" t="str">
        <f aca="false">IF(Tasks[[#This Row],[_Res3Text]]="","",TRIM(MID(SUBSTITUTE(Tasks[[#This Row],[_Resources]],",",REPT(" ",99)),298,99)))</f>
        <v/>
      </c>
      <c r="DO17" s="43" t="n">
        <f aca="false">IF(Tasks[[#This Row],[_Res1Text]]="",0,IFERROR(MATCH(TRIM(LEFT(Tasks[[#This Row],[_Res1Text]],FIND("[",Tasks[[#This Row],[_Res1Text]]&amp;"[")-1)),res_Name,0),IFERROR(MATCH(TRIM(LEFT(Tasks[[#This Row],[_Res1Text]],FIND("[",Tasks[[#This Row],[_Res1Text]]&amp;"[")-1)),res_Initials,0),0)))</f>
        <v>0</v>
      </c>
      <c r="DP17" s="43" t="n">
        <f aca="false">IF(Tasks[[#This Row],[_Res2Text]]="",0,IFERROR(MATCH(TRIM(LEFT(Tasks[[#This Row],[_Res2Text]],FIND("[",Tasks[[#This Row],[_Res2Text]]&amp;"[")-1)),res_Name,0),IFERROR(MATCH(TRIM(LEFT(Tasks[[#This Row],[_Res2Text]],FIND("[",Tasks[[#This Row],[_Res2Text]]&amp;"[")-1)),res_Initials,0),0)))</f>
        <v>0</v>
      </c>
      <c r="DQ17" s="43" t="n">
        <f aca="false">IF(Tasks[[#This Row],[_Res3Text]]="",0,IFERROR(MATCH(TRIM(LEFT(Tasks[[#This Row],[_Res3Text]],FIND("[",Tasks[[#This Row],[_Res3Text]]&amp;"[")-1)),res_Name,0),IFERROR(MATCH(TRIM(LEFT(Tasks[[#This Row],[_Res3Text]],FIND("[",Tasks[[#This Row],[_Res3Text]]&amp;"[")-1)),res_Initials,0),0)))</f>
        <v>0</v>
      </c>
      <c r="DR17" s="43" t="n">
        <f aca="false">IF(Tasks[[#This Row],[_Res4Text]]="",0,IFERROR(MATCH(TRIM(LEFT(Tasks[[#This Row],[_Res4Text]],FIND("[",Tasks[[#This Row],[_Res4Text]]&amp;"[")-1)),res_Name,0),IFERROR(MATCH(TRIM(LEFT(Tasks[[#This Row],[_Res4Text]],FIND("[",Tasks[[#This Row],[_Res4Text]]&amp;"[")-1)),res_Initials,0),0)))</f>
        <v>0</v>
      </c>
      <c r="DS17" s="43" t="str">
        <f aca="false">IF(Tasks[[#This Row],[_Res1Text]]="","",IF(Tasks[[#This Row],[_Res1Row]]&gt;0,INDEX(res_Name,Tasks[[#This Row],[_Res1Row]]),TRIM(LEFT(Tasks[[#This Row],[_Res1Text]],FIND("[",Tasks[[#This Row],[_Res1Text]]&amp;"[")-1))))</f>
        <v/>
      </c>
      <c r="DT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3" t="n">
        <f aca="false">IF(NOT(Tasks[[#This Row],[_IsLeaf]]=1),0,(Tasks[[#This Row],[_Resource1]]&lt;&gt;"")+(Tasks[[#This Row],[_Res2]]&lt;&gt;"")+(Tasks[[#This Row],[_Res3]]&lt;&gt;"")+(Tasks[[#This Row],[_Res4]]&lt;&gt;""))</f>
        <v>0</v>
      </c>
      <c r="DV17" s="43" t="str">
        <f aca="false">IF(Tasks[[#This Row],[_Res2Text]]="","",IF(Tasks[[#This Row],[_Res2Row]]&gt;0,INDEX(res_Name,Tasks[[#This Row],[_Res2Row]]),TRIM(LEFT(Tasks[[#This Row],[_Res2Text]],FIND("[",Tasks[[#This Row],[_Res2Text]]&amp;"[")-1))))</f>
        <v/>
      </c>
      <c r="DW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3" t="n">
        <f aca="false">IF(OR(NOT(Tasks[[#This Row],[_IsLeaf]]=1),Tasks[[#This Row],[_Res2Row]]=0),0,N(Tasks[[#This Row],[_Days]])*HoursPerDay*IF(Tasks[[#This Row],[_Res2Units]]="",DefaultUnits,Tasks[[#This Row],[_Res2Units]]))</f>
        <v>0</v>
      </c>
      <c r="DY17" s="43" t="n">
        <f aca="false">IF(AND(AND(Tasks[[#This Row],[_IsLeaf]]=1,Tasks[[#This Row],[_LeafTotalWork]]&gt;0),Tasks[[#This Row],[_Res2Work]]&gt;0),Tasks[[#This Row],[_Res2Work]]/(Tasks[[#This Row],[_FinishWorkday]]-Tasks[[#This Row],[_StartWorkday]]+1),0)</f>
        <v>0</v>
      </c>
      <c r="DZ17" s="43" t="n">
        <f aca="false">Tasks[[#This Row],[_Res2WorkPerWD]]*MAX(0,Tasks[[#This Row],[_StartWorkday]]-1)</f>
        <v>0</v>
      </c>
      <c r="EA17" s="43" t="n">
        <f aca="false">Tasks[[#This Row],[_Res2Work]]*Tasks[[#This Row],[_LeafProgress]]</f>
        <v>0</v>
      </c>
      <c r="EB17" s="43" t="str">
        <f aca="false">IF(Tasks[[#This Row],[_Res3Text]]="","",IF(Tasks[[#This Row],[_Res3Row]]&gt;0,INDEX(res_Name,Tasks[[#This Row],[_Res3Row]]),TRIM(LEFT(Tasks[[#This Row],[_Res3Text]],FIND("[",Tasks[[#This Row],[_Res3Text]]&amp;"[")-1))))</f>
        <v/>
      </c>
      <c r="EC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3" t="n">
        <f aca="false">IF(OR(NOT(Tasks[[#This Row],[_IsLeaf]]=1),Tasks[[#This Row],[_Res3Row]]=0),0,N(Tasks[[#This Row],[_Days]])*HoursPerDay*IF(Tasks[[#This Row],[_Res3Units]]="",DefaultUnits,Tasks[[#This Row],[_Res3Units]]))</f>
        <v>0</v>
      </c>
      <c r="EE17" s="43" t="n">
        <f aca="false">IF(AND(AND(Tasks[[#This Row],[_IsLeaf]]=1,Tasks[[#This Row],[_LeafTotalWork]]&gt;0),Tasks[[#This Row],[_Res3Work]]&gt;0),Tasks[[#This Row],[_Res3Work]]/(Tasks[[#This Row],[_FinishWorkday]]-Tasks[[#This Row],[_StartWorkday]]+1),0)</f>
        <v>0</v>
      </c>
      <c r="EF17" s="43" t="n">
        <f aca="false">Tasks[[#This Row],[_Res3WorkPerWD]]*MAX(0,Tasks[[#This Row],[_StartWorkday]]-1)</f>
        <v>0</v>
      </c>
      <c r="EG17" s="43" t="n">
        <f aca="false">Tasks[[#This Row],[_Res3Work]]*Tasks[[#This Row],[_LeafProgress]]</f>
        <v>0</v>
      </c>
      <c r="EH17" s="43" t="str">
        <f aca="false">IF(Tasks[[#This Row],[_Res4Text]]="","",IF(Tasks[[#This Row],[_Res4Row]]&gt;0,INDEX(res_Name,Tasks[[#This Row],[_Res4Row]]),TRIM(LEFT(Tasks[[#This Row],[_Res4Text]],FIND("[",Tasks[[#This Row],[_Res4Text]]&amp;"[")-1))))</f>
        <v/>
      </c>
      <c r="EI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3" t="n">
        <f aca="false">IF(OR(NOT(Tasks[[#This Row],[_IsLeaf]]=1),Tasks[[#This Row],[_Res4Row]]=0),0,N(Tasks[[#This Row],[_Days]])*HoursPerDay*IF(Tasks[[#This Row],[_Res4Units]]="",DefaultUnits,Tasks[[#This Row],[_Res4Units]]))</f>
        <v>0</v>
      </c>
      <c r="EK17" s="43" t="n">
        <f aca="false">IF(AND(AND(Tasks[[#This Row],[_IsLeaf]]=1,Tasks[[#This Row],[_LeafTotalWork]]&gt;0),Tasks[[#This Row],[_Res4Work]]&gt;0),Tasks[[#This Row],[_Res4Work]]/(Tasks[[#This Row],[_FinishWorkday]]-Tasks[[#This Row],[_StartWorkday]]+1),0)</f>
        <v>0</v>
      </c>
      <c r="EL17" s="43" t="n">
        <f aca="false">Tasks[[#This Row],[_Res4WorkPerWD]]*MAX(0,Tasks[[#This Row],[_StartWorkday]]-1)</f>
        <v>0</v>
      </c>
      <c r="EM17" s="43" t="n">
        <f aca="false">Tasks[[#This Row],[_Res4Work]]*Tasks[[#This Row],[_LeafProgress]]</f>
        <v>0</v>
      </c>
      <c r="EN17" s="43" t="n">
        <f aca="false">IF(ISNUMBER(Tasks[[#This Row],[% Complete]]),Tasks[[#This Row],[% Complete]],IF(Tasks[[#This Row],[Stage]]="",0,IFERROR(INDEX(stg_Pct,MATCH(Tasks[[#This Row],[Stage]],stg_Name,0)),0)))</f>
        <v>0</v>
      </c>
      <c r="EO17" s="43" t="n">
        <f aca="false">IF(NOT(Tasks[[#This Row],[_IsLeaf]]=1),0,IF(N(Tasks[[#This Row],[Actual Finish]])&gt;0,1,MIN(1,Tasks[[#This Row],[_Pct]])))</f>
        <v>0</v>
      </c>
      <c r="EP17" s="43" t="n">
        <f aca="false">IF(OR(NOT(Tasks[[#This Row],[_IsLeaf]]=1),Tasks[[#This Row],[_Res1Row]]=0),0,N(Tasks[[#This Row],[_Days]])*HoursPerDay*IF(Tasks[[#This Row],[_Units1]]="",DefaultUnits,Tasks[[#This Row],[_Units1]]))</f>
        <v>0</v>
      </c>
      <c r="EQ17" s="43" t="n">
        <f aca="false">Tasks[[#This Row],[_LeafWork]]+Tasks[[#This Row],[_Res2Work]]+Tasks[[#This Row],[_Res3Work]]+Tasks[[#This Row],[_Res4Work]]</f>
        <v>0</v>
      </c>
      <c r="ER17"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S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3" t="n">
        <f aca="false">IF(NOT(Tasks[[#This Row],[_IsLeaf]]=1),0,MAX(_xlfn.MAXIFS(Tasks[_Row],Tasks[_Pred1UID],Tasks[[#This Row],[UID]]),_xlfn.MAXIFS(Tasks[_Row],Tasks[_Pred2UID],Tasks[[#This Row],[UID]]),_xlfn.MAXIFS(Tasks[_Row],Tasks[_Pred3UID],Tasks[[#This Row],[UID]]),_xlfn.MAXIFS(Tasks[_Row],Tasks[_Pred4UID],Tasks[[#This Row],[UID]])))</f>
        <v>0</v>
      </c>
      <c r="FA1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FB1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7" s="91" t="n">
        <f aca="false">IF(NOT(Tasks[[#This Row],[_IsLeaf]]=1),"",IF(N(Tasks[[#This Row],[_Days]])&lt;=0,Tasks[[#This Row],[_LeafLateFinish]],WORKDAY.INTL(Tasks[[#This Row],[_LeafLateFinish]],-(Tasks[[#This Row],[_Days]]-1),WorkWeek,Holidays)))</f>
        <v>46324</v>
      </c>
      <c r="FD1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7" s="90" t="b">
        <f aca="false">AND(Tasks[[#This Row],[_IsLeaf]]=1,Tasks[[#This Row],[_LeafProgress]]&lt;1,N(Tasks[[#This Row],[_LeafTotalSlack]])&lt;=CriticalSlackDays)</f>
        <v>1</v>
      </c>
      <c r="FF17" s="43" t="n">
        <f aca="false">IF(AND(Tasks[[#This Row],[_IsLeaf]]=1,Tasks[[#This Row],[_ConstraintCode]]=1,Tasks[[#This Row],[Mode]]&lt;&gt;"Manual",N(Tasks[[#This Row],[Actual Start]])=0),MAX(0,N(Tasks[[#This Row],[Free Slack]])),0)</f>
        <v>0</v>
      </c>
      <c r="FG17" s="91" t="n">
        <f aca="false">IF(NOT(Tasks[[#This Row],[_IsLeaf]]=1),"",IF(Tasks[[#This Row],[_AlapShift]]=0,Tasks[[#This Row],[_LeafCalcStart]],WORKDAY.INTL(Tasks[[#This Row],[_LeafCalcStart]],Tasks[[#This Row],[_AlapShift]],WorkWeek,Holidays)))</f>
        <v>46318</v>
      </c>
      <c r="FH17" s="91" t="n">
        <f aca="false">IF(NOT(Tasks[[#This Row],[_IsLeaf]]=1),"",IF(Tasks[[#This Row],[_AlapShift]]=0,Tasks[[#This Row],[_LeafCalcFinish]],WORKDAY.INTL(Tasks[[#This Row],[_LeafCalcFinish]],Tasks[[#This Row],[_AlapShift]],WorkWeek,Holidays)))</f>
        <v>46318</v>
      </c>
      <c r="FI17" s="91" t="n">
        <f aca="false">IF(NOT(Tasks[[#This Row],[_IsLeaf]]=1),"",IF(Tasks[[#This Row],[_AlapShift]]=0,Tasks[[#This Row],[_LeafFcstStart]],WORKDAY.INTL(Tasks[[#This Row],[_LeafFcstStart]],Tasks[[#This Row],[_AlapShift]],WorkWeek,Holidays)))</f>
        <v>46324</v>
      </c>
      <c r="FJ17" s="91" t="n">
        <f aca="false">IF(NOT(Tasks[[#This Row],[_IsLeaf]]=1),"",IF(Tasks[[#This Row],[_AlapShift]]=0,Tasks[[#This Row],[_LeafFcstFinish]],WORKDAY.INTL(Tasks[[#This Row],[_LeafFcstFinish]],Tasks[[#This Row],[_AlapShift]],WorkWeek,Holidays)))</f>
        <v>46324</v>
      </c>
      <c r="FK17" s="91" t="n">
        <f aca="false">IF(Tasks[[#This Row],[Task Name]]="","",IF(Tasks[[#This Row],[_IsSummary]],MIN(INDEX(Tasks[_ShownCalcStart],Tasks[[#This Row],[_Row]]+1):INDEX(Tasks[_ShownCalcStart],Tasks[[#This Row],[_Row]]+Tasks[[#This Row],[_Descendants]])),Tasks[[#This Row],[_ShownCalcStart]]))</f>
        <v>46318</v>
      </c>
      <c r="FL17" s="91" t="n">
        <f aca="false">IF(Tasks[[#This Row],[Task Name]]="","",IF(Tasks[[#This Row],[_IsSummary]],MAX(INDEX(Tasks[_ShownCalcFinish],Tasks[[#This Row],[_Row]]+1):INDEX(Tasks[_ShownCalcFinish],Tasks[[#This Row],[_Row]]+Tasks[[#This Row],[_Descendants]])),Tasks[[#This Row],[_ShownCalcFinish]]))</f>
        <v>46318</v>
      </c>
      <c r="FM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 s="43" t="n">
        <f aca="false">IF(AND(Tasks[[#This Row],[_IsLeaf]]=1,Tasks[[#This Row],[_LeafTotalWork]]&gt;0),NETWORKDAYS.INTL(ProjectStart,Tasks[[#This Row],[_ShownFcstStart]],WorkWeek,Holidays),0)</f>
        <v>0</v>
      </c>
      <c r="FZ17" s="43" t="n">
        <f aca="false">IF(AND(Tasks[[#This Row],[_IsLeaf]]=1,Tasks[[#This Row],[_LeafTotalWork]]&gt;0),MAX(Tasks[[#This Row],[_StartWorkday]],NETWORKDAYS.INTL(ProjectStart,Tasks[[#This Row],[_ShownFcstFinish]],WorkWeek,Holidays)),0)</f>
        <v>0</v>
      </c>
      <c r="GA17" s="43" t="n">
        <f aca="false">IF(AND(Tasks[[#This Row],[_IsLeaf]]=1,Tasks[[#This Row],[_LeafTotalWork]]&gt;0),Tasks[[#This Row],[_LeafWork]]/(Tasks[[#This Row],[_FinishWorkday]]-Tasks[[#This Row],[_StartWorkday]]+1),0)</f>
        <v>0</v>
      </c>
      <c r="GB17" s="43" t="n">
        <f aca="false">Tasks[[#This Row],[_WorkPerWorkday]]*(Tasks[[#This Row],[_StartWorkday]]-1)</f>
        <v>-0</v>
      </c>
      <c r="GC17" s="43" t="n">
        <f aca="false">IF(Tasks[[#This Row],[_IsLeaf]]=1,MAX(N(Tasks[[#This Row],[_Days]]),0.1),0)</f>
        <v>0.1</v>
      </c>
      <c r="GD17" s="43" t="n">
        <f aca="false">Tasks[[#This Row],[_WeightDur]]*Tasks[[#This Row],[_LeafProgress]]</f>
        <v>0</v>
      </c>
      <c r="GE17" s="43" t="n">
        <f aca="false">Tasks[[#This Row],[_WeightDur]]*Tasks[[#This Row],[_PlannedPct]]</f>
        <v>0.1</v>
      </c>
      <c r="GF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GG17" s="95" t="n">
        <f aca="false">IF(AND(Tasks[[#This Row],[_IsLeaf]]=1,N(Tasks[[#This Row],[_Days]])=0,Tasks[[#This Row],[_LeafProgress]]&lt;1),Tasks[[#This Row],[_ShownFcstFinish]]+Tasks[[#This Row],[_Row]]/100000,"")</f>
        <v>46324.00012</v>
      </c>
      <c r="GH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7" s="43" t="str">
        <f aca="false">IF(Tasks[[#This Row],[Task Name]]="","",LEFT(Tasks[[#This Row],[WBS]],FIND(".",Tasks[[#This Row],[WBS]]&amp;".")-1))</f>
        <v>3</v>
      </c>
      <c r="GJ17" s="43" t="str">
        <f aca="false">IF(AND(Tasks[[#This Row],[Task Name]]&lt;&gt;"",Tasks[[#This Row],[_Level]]=1),Tasks[[#This Row],[_Row]],"")</f>
        <v/>
      </c>
      <c r="GK17" s="95" t="n">
        <f aca="false">IF(AND(Tasks[[#This Row],[_IsLeaf]]=1,N(Tasks[[#This Row],[_Days]])=0),Tasks[[#This Row],[Planned Finish]]+Tasks[[#This Row],[_Row]]/100000,"")</f>
        <v>46318.00012</v>
      </c>
      <c r="GL17" s="43" t="n">
        <f aca="false">IF(AND(Tasks[[#This Row],[_IsLeaf]]=1,Tasks[[#This Row],[_LeafProgress]]&lt;1,OR(N(Tasks[[#This Row],[Finish Var]])&gt;0,Tasks[[#This Row],[Status]]="Late Start")),MAX(0,Tasks[[#This Row],[Finish Var]])+1-Tasks[[#This Row],[_Row]]/1000000,"")</f>
        <v>4.999988</v>
      </c>
      <c r="GM17" s="95" t="n">
        <f aca="false">IF(AND(Tasks[[#This Row],[_IsLeaf]]=1,N(Tasks[[#This Row],[Actual Start]])=0,Tasks[[#This Row],[_ShownFcstStart]]&gt;=StatusDate,Tasks[[#This Row],[_ShownFcstStart]]&lt;=LookaheadEnd),Tasks[[#This Row],[_ShownFcstStart]]+Tasks[[#This Row],[_Row]]/100000,"")</f>
        <v>46324.00012</v>
      </c>
      <c r="GN17" s="95" t="n">
        <f aca="false">IF(AND(Tasks[[#This Row],[_IsLeaf]]=1,Tasks[[#This Row],[_LeafProgress]]&lt;1,Tasks[[#This Row],[_ShownFcstFinish]]&gt;=StatusDate,Tasks[[#This Row],[_ShownFcstFinish]]&lt;=LookaheadEnd),Tasks[[#This Row],[_ShownFcstFinish]]+Tasks[[#This Row],[_Row]]/100000,"")</f>
        <v>46324.00012</v>
      </c>
      <c r="GO17" s="95" t="n">
        <f aca="false">IF(Tasks[[#This Row],[_LeafCritical]],Tasks[[#This Row],[_ShownFcstStart]]+Tasks[[#This Row],[_Row]]/100000,"")</f>
        <v>46324.00012</v>
      </c>
      <c r="GP17" s="43" t="n">
        <f aca="false">Tasks[[#This Row],[_LeafWork]]*Tasks[[#This Row],[_LeafProgress]]</f>
        <v>0</v>
      </c>
      <c r="GQ17" s="91" t="str">
        <f aca="false">IF(AND(Tasks[[#This Row],[_IsLeaf]]=1,Tasks[[#This Row],[_LeafProgress]]&gt;=1),IF(N(Tasks[[#This Row],[Actual Finish]])&gt;0,Tasks[[#This Row],[Actual Finish]],Tasks[[#This Row],[_ShownFcstFinish]]),"")</f>
        <v/>
      </c>
      <c r="GR17" s="43" t="n">
        <f aca="false">IF(Tasks[[#This Row],[_IsLeaf]]=1,N(Tasks[[#This Row],[Story Points]]),0)</f>
        <v>0</v>
      </c>
      <c r="GS17" s="43" t="str">
        <f aca="false">""</f>
        <v/>
      </c>
      <c r="GT17" s="90" t="b">
        <f aca="false">IF(Tasks[[#This Row],[Task Name]]="",FALSE(),AND(Tasks[[#This Row],[_IsLeaf]]=1,N(Tasks[[#This Row],[_Days]])=0))</f>
        <v>1</v>
      </c>
      <c r="GU17" s="91" t="n">
        <f aca="false">IF(Tasks[[#This Row],[Task Name]]="",0,IF(AND(Tasks[[#This Row],[_IsLeaf]]=1,NOT(Tasks[[#This Row],[_IsMilestone]]),N(Tasks[[#This Row],[Progress]])&gt;0),Tasks[[#This Row],[Start]],0))</f>
        <v>0</v>
      </c>
      <c r="GV17" s="91" t="n">
        <f aca="false">IF(Tasks[[#This Row],[_DoneFrom]]=0,0,IF(Tasks[[#This Row],[Progress]]&gt;=1,Tasks[[#This Row],[Finish]],MAX(Tasks[[#This Row],[_DoneFrom]],Tasks[[#This Row],[Start]]+ROUND((Tasks[[#This Row],[Finish]]-Tasks[[#This Row],[Start]]+1)*Tasks[[#This Row],[Progress]],0)-1)))</f>
        <v>0</v>
      </c>
      <c r="GW17" s="91" t="n">
        <f aca="false">IF(Tasks[[#This Row],[Task Name]]="",0,IF(OR(NOT(Tasks[[#This Row],[_IsLeaf]]=1),Tasks[[#This Row],[_IsMilestone]],N(Tasks[[#This Row],[Progress]])&gt;=1),0,IF(Tasks[[#This Row],[_DoneTo]]&gt;0,Tasks[[#This Row],[_DoneTo]]+1,Tasks[[#This Row],[Start]])))</f>
        <v>0</v>
      </c>
      <c r="GX17" s="91" t="n">
        <f aca="false">IF(Tasks[[#This Row],[_RemFrom]]=0,0,Tasks[[#This Row],[Finish]])</f>
        <v>0</v>
      </c>
      <c r="GY17" s="90" t="b">
        <f aca="false">IF(Tasks[[#This Row],[Task Name]]="",FALSE(),OR(NOT(BaselineSet),N(Tasks[[#This Row],[Baseline Start]])&gt;0))</f>
        <v>1</v>
      </c>
      <c r="GZ17"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HB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92" t="n">
        <f aca="false">IF(Tasks[[#This Row],[_IsLeaf]]=1,Tasks[[#This Row],[_Row]],"")</f>
        <v>12</v>
      </c>
      <c r="HD17" s="92" t="str">
        <f aca="false">IFERROR(INDEX(Tasks[UID],SMALL(Tasks[_PickKey],Tasks[[#This Row],[_Row]]))&amp;" "&amp;INDEX(Tasks[Task Name],SMALL(Tasks[_PickKey],Tasks[[#This Row],[_Row]])),"")</f>
        <v/>
      </c>
      <c r="HE17" s="43" t="n">
        <f aca="false">IF(Tasks[[#This Row],[Task Name]]="","",IF(Tasks[[#This Row],[_IsSummary]],NETWORKDAYS.INTL(Tasks[[#This Row],[Start]],Tasks[[#This Row],[Finish]],WorkWeek,Holidays),N(Tasks[[#This Row],[_Days]])))</f>
        <v>0</v>
      </c>
      <c r="HF17" s="43" t="n">
        <f aca="false">IF(Tasks[[#This Row],[Expected]]="",0,((Tasks[[#This Row],[Pessimistic]]-Tasks[[#This Row],[Optimistic]])/6)^2)</f>
        <v>0</v>
      </c>
      <c r="HG17" s="43" t="n">
        <f aca="false">IF(Tasks[[#This Row],[Expected]]="",0,Tasks[[#This Row],[Expected]]-N(Tasks[[#This Row],[_Days]]))</f>
        <v>0</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4"/>
      <c r="U18" s="23"/>
      <c r="V18" s="84"/>
      <c r="W18" s="23"/>
      <c r="X18" s="84"/>
      <c r="Y18" s="23"/>
      <c r="Z18" s="84"/>
      <c r="AA18" s="23"/>
      <c r="AB18" s="23"/>
      <c r="AC18" s="7"/>
      <c r="AD18" s="7"/>
      <c r="AE18" s="63" t="str">
        <f aca="false">IF(Tasks[[#This Row],[Task Name]]="","",IF(Tasks[[#This Row],[_IsSummary]],MIN(INDEX(Tasks[_ShownFcstStart],Tasks[[#This Row],[_Row]]+1):INDEX(Tasks[_ShownFcstStart],Tasks[[#This Row],[_Row]]+Tasks[[#This Row],[_Descendants]])),Tasks[[#This Row],[_ShownFcstStart]]))</f>
        <v/>
      </c>
      <c r="AF18" s="63"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 s="7"/>
      <c r="AK18" s="22"/>
      <c r="AL18" s="23"/>
      <c r="AM18" s="7"/>
      <c r="AN18" s="47"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3" t="str">
        <f aca="false">IF(Tasks[[#This Row],[Task Name]]="","",IF(N(Tasks[[#This Row],[Baseline Start]])&gt;0,Tasks[[#This Row],[Baseline Start]],Tasks[[#This Row],[_CalcStart]]))</f>
        <v/>
      </c>
      <c r="AR18" s="63" t="str">
        <f aca="false">IF(Tasks[[#This Row],[Task Name]]="","",IF(N(Tasks[[#This Row],[Baseline Finish]])&gt;0,Tasks[[#This Row],[Baseline Finish]],Tasks[[#This Row],[_CalcFinish]]))</f>
        <v/>
      </c>
      <c r="AS18" s="47" t="str">
        <f aca="false">IF(Tasks[[#This Row],[Task Name]]="","",IF(Tasks[[#This Row],[Start]]&gt;=Tasks[[#This Row],[Planned Start]],NETWORKDAYS.INTL(Tasks[[#This Row],[Planned Start]],Tasks[[#This Row],[Start]],WorkWeek,Holidays)-1,1-NETWORKDAYS.INTL(Tasks[[#This Row],[Start]],Tasks[[#This Row],[Planned Start]],WorkWeek,Holidays)))</f>
        <v/>
      </c>
      <c r="AT18" s="63" t="str">
        <f aca="false">IF(Tasks[[#This Row],[Task Name]]="","",IF(Tasks[[#This Row],[_IsSummary]],MIN(INDEX(Tasks[_LeafLateStart],Tasks[[#This Row],[_Row]]+1):INDEX(Tasks[_LeafLateStart],Tasks[[#This Row],[_Row]]+Tasks[[#This Row],[_Descendants]])),Tasks[[#This Row],[_LeafLateStart]]))</f>
        <v/>
      </c>
      <c r="AU18" s="63" t="str">
        <f aca="false">IF(Tasks[[#This Row],[Task Name]]="","",IF(Tasks[[#This Row],[_IsSummary]],MAX(INDEX(Tasks[_LeafLateFinish],Tasks[[#This Row],[_Row]]+1):INDEX(Tasks[_LeafLateFinish],Tasks[[#This Row],[_Row]]+Tasks[[#This Row],[_Descendants]])),Tasks[[#This Row],[_LeafLateFinish]]))</f>
        <v/>
      </c>
      <c r="AV18" s="47"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5"/>
      <c r="BA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6"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7"/>
      <c r="BJ18" s="22"/>
      <c r="BK18" s="47" t="str">
        <f aca="false">IF(OR(Tasks[[#This Row],[Task Name]]="",Tasks[[#This Row],[Baseline Duration]]=""),"",Tasks[[#This Row],[_SpanDays]]-N(Tasks[[#This Row],[Baseline Duration]]))</f>
        <v/>
      </c>
      <c r="BL18" s="86" t="str">
        <f aca="false">IF(OR(Tasks[[#This Row],[Task Name]]="",Tasks[[#This Row],[Baseline Work]]=""),"",Tasks[[#This Row],[Work]]-N(Tasks[[#This Row],[Baseline Work]]))</f>
        <v/>
      </c>
      <c r="BM18" s="63" t="str">
        <f aca="false">IF(Tasks[[#This Row],[Task Name]]="","",IF(OR(TakeBaseline="Yes",N(Tasks[[#This Row],[Baseline Start]])=0),Tasks[[#This Row],[Start]],Tasks[[#This Row],[Baseline Start]]))</f>
        <v/>
      </c>
      <c r="BN18" s="63" t="str">
        <f aca="false">IF(Tasks[[#This Row],[Task Name]]="","",IF(OR(TakeBaseline="Yes",N(Tasks[[#This Row],[Baseline Finish]])=0),Tasks[[#This Row],[Finish]],Tasks[[#This Row],[Baseline Finish]]))</f>
        <v/>
      </c>
      <c r="BO18" s="21" t="str">
        <f aca="false">IF(Tasks[[#This Row],[Task Name]]="","",IF(OR(TakeBaseline="Yes",N(Tasks[[#This Row],[Baseline Duration]])=0),Tasks[[#This Row],[_SpanDays]],Tasks[[#This Row],[Baseline Duration]]))</f>
        <v/>
      </c>
      <c r="BP18" s="86" t="str">
        <f aca="false">IF(Tasks[[#This Row],[Task Name]]="","",IF(OR(TakeBaseline="Yes",N(Tasks[[#This Row],[Baseline Work]])=0),Tasks[[#This Row],[Work]],Tasks[[#This Row],[Baseline Work]]))</f>
        <v/>
      </c>
      <c r="BQ18" s="7"/>
      <c r="BR18" s="7"/>
      <c r="BS18" s="22"/>
      <c r="BT18" s="88"/>
      <c r="BU18" s="23"/>
      <c r="BV18" s="23"/>
      <c r="BW18" s="23"/>
      <c r="BX18" s="89" t="str">
        <f aca="false">IF(AND(Tasks[[#This Row],[_IsLeaf]]=1,ISNUMBER(Tasks[[#This Row],[Optimistic]]),ISNUMBER(Tasks[[#This Row],[Pessimistic]])),ROUND((Tasks[[#This Row],[Optimistic]]+4*N(Tasks[[#This Row],[_Days]])+Tasks[[#This Row],[Pessimistic]])/6,1),"")</f>
        <v/>
      </c>
      <c r="BY18" s="87"/>
      <c r="BZ18" s="87"/>
      <c r="CA18" s="22"/>
      <c r="CB18" s="43" t="str">
        <f aca="false">IF(Tasks[[#This Row],[Task Name]]="","",MAX(1,N(Tasks[[#This Row],[Level]])))</f>
        <v/>
      </c>
      <c r="CC18" s="43" t="n">
        <f aca="false">ROW()-ROW(Tasks[[#Headers],[ID]])</f>
        <v>13</v>
      </c>
      <c r="CD18" s="43" t="n">
        <f aca="false">IF(OR(Tasks[[#This Row],[Task Name]]="",Tasks[[#This Row],[_Level]]&lt;=1),0,IFERROR(LOOKUP(2,1/(Tasks[[#Headers],[_Level]]:Tasks[[#This Row],[_Level]]=Tasks[[#This Row],[_Level]]-1),ROW(Tasks[[#Headers],[_Level]]:Tasks[[#This Row],[_Level]])),0))</f>
        <v>0</v>
      </c>
      <c r="CE18" s="43" t="n">
        <f aca="false">IFERROR(N(INDEX(Tasks[_Level],Tasks[[#This Row],[_Row]]+1)),0)</f>
        <v>0</v>
      </c>
      <c r="CF18" s="90" t="b">
        <f aca="false">AND(Tasks[[#This Row],[Task Name]]&lt;&gt;"",Tasks[[#This Row],[_NextLevel]]&gt;Tasks[[#This Row],[_Level]])</f>
        <v>0</v>
      </c>
      <c r="CG18" s="43" t="n">
        <f aca="false">IF(Tasks[[#This Row],[_IsSummary]],COUNTIF(Tasks[WBS],Tasks[[#This Row],[WBS]]&amp;".*"),0)</f>
        <v>0</v>
      </c>
      <c r="CH18" s="43" t="n">
        <f aca="false">IF(AND(Tasks[[#This Row],[Task Name]]&lt;&gt;"",NOT(Tasks[[#This Row],[_IsSummary]])),1,0)</f>
        <v>0</v>
      </c>
      <c r="CI18" s="43" t="n">
        <f aca="false">IF(N(Tasks[[#This Row],[_Pred1UID]])=0,0,IFERROR(MATCH(Tasks[[#This Row],[_Pred1UID]],Tasks[UID],0),-1))</f>
        <v>0</v>
      </c>
      <c r="CJ18" s="43" t="n">
        <f aca="false">IF(N(Tasks[[#This Row],[_Pred2UID]])=0,0,IFERROR(MATCH(Tasks[[#This Row],[_Pred2UID]],Tasks[UID],0),-1))</f>
        <v>0</v>
      </c>
      <c r="CK18" s="43" t="n">
        <f aca="false">IF(N(Tasks[[#This Row],[_Pred3UID]])=0,0,IFERROR(MATCH(Tasks[[#This Row],[_Pred3UID]],Tasks[UID],0),-1))</f>
        <v>0</v>
      </c>
      <c r="CL18" s="43" t="n">
        <f aca="false">IF(N(Tasks[[#This Row],[_Pred4UID]])=0,0,IFERROR(MATCH(Tasks[[#This Row],[_Pred4UID]],Tasks[UID],0),-1))</f>
        <v>0</v>
      </c>
      <c r="CM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 s="91" t="n">
        <f aca="false">IF(OR(Tasks[[#This Row],[_ConstraintCode]]=2,Tasks[[#This Row],[_ConstraintCode]]=3,Tasks[[#This Row],[_ConstraintCode]]=4,Tasks[[#This Row],[_ConstraintCode]]=6),Tasks[[#This Row],[_ConstraintStart]],0)</f>
        <v>0</v>
      </c>
      <c r="CP18" s="91" t="n">
        <f aca="false">IF(OR(Tasks[[#This Row],[_ConstraintCode]]=2,Tasks[[#This Row],[_ConstraintCode]]=3,Tasks[[#This Row],[_ConstraintCode]]=5,Tasks[[#This Row],[_ConstraintCode]]=7),Tasks[[#This Row],[_ConstraintStart]],2958465)</f>
        <v>2958465</v>
      </c>
      <c r="CQ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91" t="str">
        <f aca="false">IF(NOT(Tasks[[#This Row],[_IsLeaf]]=1),"",IF(N(Tasks[[#This Row],[_Days]])&lt;=0,Tasks[[#This Row],[_LeafCalcStart]],WORKDAY.INTL(Tasks[[#This Row],[_LeafCalcStart]],Tasks[[#This Row],[_Days]]-1,WorkWeek,Holidays)))</f>
        <v/>
      </c>
      <c r="CS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3" t="str">
        <f aca="false">IF(Tasks[[#This Row],[_Predecessors]]="","",TRIM(MID(SUBSTITUTE(SUBSTITUTE(SUBSTITUTE(UPPER(Tasks[[#This Row],[_Predecessors]]),";",",")," ",""),",",REPT(" ",99)),1,99)))</f>
        <v/>
      </c>
      <c r="CV18" s="43" t="str">
        <f aca="false">IF(Tasks[[#This Row],[_Pred1Text]]="","",IFERROR(VALUE(LEFT(Tasks[[#This Row],[_Pred1Text]],MIN(FIND("F",Tasks[[#This Row],[_Pred1Text]]&amp;"F"),FIND("S",Tasks[[#This Row],[_Pred1Text]]&amp;"S"),FIND("+",Tasks[[#This Row],[_Pred1Text]]&amp;"+"),FIND("-",Tasks[[#This Row],[_Pred1Text]]&amp;"-"))-1)),""))</f>
        <v/>
      </c>
      <c r="CW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3" t="str">
        <f aca="false">IF(Tasks[[#This Row],[_Pred1Text]]="","",TRIM(MID(SUBSTITUTE(SUBSTITUTE(SUBSTITUTE(UPPER(Tasks[[#This Row],[_Predecessors]]),";",",")," ",""),",",REPT(" ",99)),100,99)))</f>
        <v/>
      </c>
      <c r="CZ18" s="43" t="str">
        <f aca="false">IF(Tasks[[#This Row],[_Pred2Text]]="","",IFERROR(VALUE(LEFT(Tasks[[#This Row],[_Pred2Text]],MIN(FIND("F",Tasks[[#This Row],[_Pred2Text]]&amp;"F"),FIND("S",Tasks[[#This Row],[_Pred2Text]]&amp;"S"),FIND("+",Tasks[[#This Row],[_Pred2Text]]&amp;"+"),FIND("-",Tasks[[#This Row],[_Pred2Text]]&amp;"-"))-1)),""))</f>
        <v/>
      </c>
      <c r="DA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3" t="str">
        <f aca="false">IF(Tasks[[#This Row],[_Pred2Text]]="","",TRIM(MID(SUBSTITUTE(SUBSTITUTE(SUBSTITUTE(UPPER(Tasks[[#This Row],[_Predecessors]]),";",",")," ",""),",",REPT(" ",99)),199,99)))</f>
        <v/>
      </c>
      <c r="DD18" s="43" t="str">
        <f aca="false">IF(Tasks[[#This Row],[_Pred3Text]]="","",IFERROR(VALUE(LEFT(Tasks[[#This Row],[_Pred3Text]],MIN(FIND("F",Tasks[[#This Row],[_Pred3Text]]&amp;"F"),FIND("S",Tasks[[#This Row],[_Pred3Text]]&amp;"S"),FIND("+",Tasks[[#This Row],[_Pred3Text]]&amp;"+"),FIND("-",Tasks[[#This Row],[_Pred3Text]]&amp;"-"))-1)),""))</f>
        <v/>
      </c>
      <c r="DE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3" t="str">
        <f aca="false">IF(Tasks[[#This Row],[_Pred3Text]]="","",TRIM(MID(SUBSTITUTE(SUBSTITUTE(SUBSTITUTE(UPPER(Tasks[[#This Row],[_Predecessors]]),";",",")," ",""),",",REPT(" ",99)),298,99)))</f>
        <v/>
      </c>
      <c r="DH18" s="43" t="str">
        <f aca="false">IF(Tasks[[#This Row],[_Pred4Text]]="","",IFERROR(VALUE(LEFT(Tasks[[#This Row],[_Pred4Text]],MIN(FIND("F",Tasks[[#This Row],[_Pred4Text]]&amp;"F"),FIND("S",Tasks[[#This Row],[_Pred4Text]]&amp;"S"),FIND("+",Tasks[[#This Row],[_Pred4Text]]&amp;"+"),FIND("-",Tasks[[#This Row],[_Pred4Text]]&amp;"-"))-1)),""))</f>
        <v/>
      </c>
      <c r="DI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3" t="str">
        <f aca="false">IF(OR(Tasks[[#This Row],[Task Name]]="",Tasks[[#This Row],[_Resources]]=""),"",TRIM(MID(SUBSTITUTE(Tasks[[#This Row],[_Resources]],",",REPT(" ",99)),1,99)))</f>
        <v/>
      </c>
      <c r="DL18" s="43" t="str">
        <f aca="false">IF(Tasks[[#This Row],[_Res1Text]]="","",TRIM(MID(SUBSTITUTE(Tasks[[#This Row],[_Resources]],",",REPT(" ",99)),100,99)))</f>
        <v/>
      </c>
      <c r="DM18" s="43" t="str">
        <f aca="false">IF(Tasks[[#This Row],[_Res2Text]]="","",TRIM(MID(SUBSTITUTE(Tasks[[#This Row],[_Resources]],",",REPT(" ",99)),199,99)))</f>
        <v/>
      </c>
      <c r="DN18" s="43" t="str">
        <f aca="false">IF(Tasks[[#This Row],[_Res3Text]]="","",TRIM(MID(SUBSTITUTE(Tasks[[#This Row],[_Resources]],",",REPT(" ",99)),298,99)))</f>
        <v/>
      </c>
      <c r="DO18" s="43" t="n">
        <f aca="false">IF(Tasks[[#This Row],[_Res1Text]]="",0,IFERROR(MATCH(TRIM(LEFT(Tasks[[#This Row],[_Res1Text]],FIND("[",Tasks[[#This Row],[_Res1Text]]&amp;"[")-1)),res_Name,0),IFERROR(MATCH(TRIM(LEFT(Tasks[[#This Row],[_Res1Text]],FIND("[",Tasks[[#This Row],[_Res1Text]]&amp;"[")-1)),res_Initials,0),0)))</f>
        <v>0</v>
      </c>
      <c r="DP18" s="43" t="n">
        <f aca="false">IF(Tasks[[#This Row],[_Res2Text]]="",0,IFERROR(MATCH(TRIM(LEFT(Tasks[[#This Row],[_Res2Text]],FIND("[",Tasks[[#This Row],[_Res2Text]]&amp;"[")-1)),res_Name,0),IFERROR(MATCH(TRIM(LEFT(Tasks[[#This Row],[_Res2Text]],FIND("[",Tasks[[#This Row],[_Res2Text]]&amp;"[")-1)),res_Initials,0),0)))</f>
        <v>0</v>
      </c>
      <c r="DQ18" s="43" t="n">
        <f aca="false">IF(Tasks[[#This Row],[_Res3Text]]="",0,IFERROR(MATCH(TRIM(LEFT(Tasks[[#This Row],[_Res3Text]],FIND("[",Tasks[[#This Row],[_Res3Text]]&amp;"[")-1)),res_Name,0),IFERROR(MATCH(TRIM(LEFT(Tasks[[#This Row],[_Res3Text]],FIND("[",Tasks[[#This Row],[_Res3Text]]&amp;"[")-1)),res_Initials,0),0)))</f>
        <v>0</v>
      </c>
      <c r="DR18" s="43" t="n">
        <f aca="false">IF(Tasks[[#This Row],[_Res4Text]]="",0,IFERROR(MATCH(TRIM(LEFT(Tasks[[#This Row],[_Res4Text]],FIND("[",Tasks[[#This Row],[_Res4Text]]&amp;"[")-1)),res_Name,0),IFERROR(MATCH(TRIM(LEFT(Tasks[[#This Row],[_Res4Text]],FIND("[",Tasks[[#This Row],[_Res4Text]]&amp;"[")-1)),res_Initials,0),0)))</f>
        <v>0</v>
      </c>
      <c r="DS18" s="43" t="str">
        <f aca="false">IF(Tasks[[#This Row],[_Res1Text]]="","",IF(Tasks[[#This Row],[_Res1Row]]&gt;0,INDEX(res_Name,Tasks[[#This Row],[_Res1Row]]),TRIM(LEFT(Tasks[[#This Row],[_Res1Text]],FIND("[",Tasks[[#This Row],[_Res1Text]]&amp;"[")-1))))</f>
        <v/>
      </c>
      <c r="DT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3" t="n">
        <f aca="false">IF(NOT(Tasks[[#This Row],[_IsLeaf]]=1),0,(Tasks[[#This Row],[_Resource1]]&lt;&gt;"")+(Tasks[[#This Row],[_Res2]]&lt;&gt;"")+(Tasks[[#This Row],[_Res3]]&lt;&gt;"")+(Tasks[[#This Row],[_Res4]]&lt;&gt;""))</f>
        <v>0</v>
      </c>
      <c r="DV18" s="43" t="str">
        <f aca="false">IF(Tasks[[#This Row],[_Res2Text]]="","",IF(Tasks[[#This Row],[_Res2Row]]&gt;0,INDEX(res_Name,Tasks[[#This Row],[_Res2Row]]),TRIM(LEFT(Tasks[[#This Row],[_Res2Text]],FIND("[",Tasks[[#This Row],[_Res2Text]]&amp;"[")-1))))</f>
        <v/>
      </c>
      <c r="DW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3" t="n">
        <f aca="false">IF(OR(NOT(Tasks[[#This Row],[_IsLeaf]]=1),Tasks[[#This Row],[_Res2Row]]=0),0,N(Tasks[[#This Row],[_Days]])*HoursPerDay*IF(Tasks[[#This Row],[_Res2Units]]="",DefaultUnits,Tasks[[#This Row],[_Res2Units]]))</f>
        <v>0</v>
      </c>
      <c r="DY18" s="43" t="n">
        <f aca="false">IF(AND(AND(Tasks[[#This Row],[_IsLeaf]]=1,Tasks[[#This Row],[_LeafTotalWork]]&gt;0),Tasks[[#This Row],[_Res2Work]]&gt;0),Tasks[[#This Row],[_Res2Work]]/(Tasks[[#This Row],[_FinishWorkday]]-Tasks[[#This Row],[_StartWorkday]]+1),0)</f>
        <v>0</v>
      </c>
      <c r="DZ18" s="43" t="n">
        <f aca="false">Tasks[[#This Row],[_Res2WorkPerWD]]*MAX(0,Tasks[[#This Row],[_StartWorkday]]-1)</f>
        <v>0</v>
      </c>
      <c r="EA18" s="43" t="n">
        <f aca="false">Tasks[[#This Row],[_Res2Work]]*Tasks[[#This Row],[_LeafProgress]]</f>
        <v>0</v>
      </c>
      <c r="EB18" s="43" t="str">
        <f aca="false">IF(Tasks[[#This Row],[_Res3Text]]="","",IF(Tasks[[#This Row],[_Res3Row]]&gt;0,INDEX(res_Name,Tasks[[#This Row],[_Res3Row]]),TRIM(LEFT(Tasks[[#This Row],[_Res3Text]],FIND("[",Tasks[[#This Row],[_Res3Text]]&amp;"[")-1))))</f>
        <v/>
      </c>
      <c r="EC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3" t="n">
        <f aca="false">IF(OR(NOT(Tasks[[#This Row],[_IsLeaf]]=1),Tasks[[#This Row],[_Res3Row]]=0),0,N(Tasks[[#This Row],[_Days]])*HoursPerDay*IF(Tasks[[#This Row],[_Res3Units]]="",DefaultUnits,Tasks[[#This Row],[_Res3Units]]))</f>
        <v>0</v>
      </c>
      <c r="EE18" s="43" t="n">
        <f aca="false">IF(AND(AND(Tasks[[#This Row],[_IsLeaf]]=1,Tasks[[#This Row],[_LeafTotalWork]]&gt;0),Tasks[[#This Row],[_Res3Work]]&gt;0),Tasks[[#This Row],[_Res3Work]]/(Tasks[[#This Row],[_FinishWorkday]]-Tasks[[#This Row],[_StartWorkday]]+1),0)</f>
        <v>0</v>
      </c>
      <c r="EF18" s="43" t="n">
        <f aca="false">Tasks[[#This Row],[_Res3WorkPerWD]]*MAX(0,Tasks[[#This Row],[_StartWorkday]]-1)</f>
        <v>0</v>
      </c>
      <c r="EG18" s="43" t="n">
        <f aca="false">Tasks[[#This Row],[_Res3Work]]*Tasks[[#This Row],[_LeafProgress]]</f>
        <v>0</v>
      </c>
      <c r="EH18" s="43" t="str">
        <f aca="false">IF(Tasks[[#This Row],[_Res4Text]]="","",IF(Tasks[[#This Row],[_Res4Row]]&gt;0,INDEX(res_Name,Tasks[[#This Row],[_Res4Row]]),TRIM(LEFT(Tasks[[#This Row],[_Res4Text]],FIND("[",Tasks[[#This Row],[_Res4Text]]&amp;"[")-1))))</f>
        <v/>
      </c>
      <c r="EI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3" t="n">
        <f aca="false">IF(OR(NOT(Tasks[[#This Row],[_IsLeaf]]=1),Tasks[[#This Row],[_Res4Row]]=0),0,N(Tasks[[#This Row],[_Days]])*HoursPerDay*IF(Tasks[[#This Row],[_Res4Units]]="",DefaultUnits,Tasks[[#This Row],[_Res4Units]]))</f>
        <v>0</v>
      </c>
      <c r="EK18" s="43" t="n">
        <f aca="false">IF(AND(AND(Tasks[[#This Row],[_IsLeaf]]=1,Tasks[[#This Row],[_LeafTotalWork]]&gt;0),Tasks[[#This Row],[_Res4Work]]&gt;0),Tasks[[#This Row],[_Res4Work]]/(Tasks[[#This Row],[_FinishWorkday]]-Tasks[[#This Row],[_StartWorkday]]+1),0)</f>
        <v>0</v>
      </c>
      <c r="EL18" s="43" t="n">
        <f aca="false">Tasks[[#This Row],[_Res4WorkPerWD]]*MAX(0,Tasks[[#This Row],[_StartWorkday]]-1)</f>
        <v>0</v>
      </c>
      <c r="EM18" s="43" t="n">
        <f aca="false">Tasks[[#This Row],[_Res4Work]]*Tasks[[#This Row],[_LeafProgress]]</f>
        <v>0</v>
      </c>
      <c r="EN18" s="43" t="n">
        <f aca="false">IF(ISNUMBER(Tasks[[#This Row],[% Complete]]),Tasks[[#This Row],[% Complete]],IF(Tasks[[#This Row],[Stage]]="",0,IFERROR(INDEX(stg_Pct,MATCH(Tasks[[#This Row],[Stage]],stg_Name,0)),0)))</f>
        <v>0</v>
      </c>
      <c r="EO18" s="43" t="n">
        <f aca="false">IF(NOT(Tasks[[#This Row],[_IsLeaf]]=1),0,IF(N(Tasks[[#This Row],[Actual Finish]])&gt;0,1,MIN(1,Tasks[[#This Row],[_Pct]])))</f>
        <v>0</v>
      </c>
      <c r="EP18" s="43" t="n">
        <f aca="false">IF(OR(NOT(Tasks[[#This Row],[_IsLeaf]]=1),Tasks[[#This Row],[_Res1Row]]=0),0,N(Tasks[[#This Row],[_Days]])*HoursPerDay*IF(Tasks[[#This Row],[_Units1]]="",DefaultUnits,Tasks[[#This Row],[_Units1]]))</f>
        <v>0</v>
      </c>
      <c r="EQ18" s="43" t="n">
        <f aca="false">Tasks[[#This Row],[_LeafWork]]+Tasks[[#This Row],[_Res2Work]]+Tasks[[#This Row],[_Res3Work]]+Tasks[[#This Row],[_Res4Work]]</f>
        <v>0</v>
      </c>
      <c r="ER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3" t="n">
        <f aca="false">IF(NOT(Tasks[[#This Row],[_IsLeaf]]=1),0,MAX(_xlfn.MAXIFS(Tasks[_Row],Tasks[_Pred1UID],Tasks[[#This Row],[UID]]),_xlfn.MAXIFS(Tasks[_Row],Tasks[_Pred2UID],Tasks[[#This Row],[UID]]),_xlfn.MAXIFS(Tasks[_Row],Tasks[_Pred3UID],Tasks[[#This Row],[UID]]),_xlfn.MAXIFS(Tasks[_Row],Tasks[_Pred4UID],Tasks[[#This Row],[UID]])))</f>
        <v>0</v>
      </c>
      <c r="FA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91" t="str">
        <f aca="false">IF(NOT(Tasks[[#This Row],[_IsLeaf]]=1),"",IF(N(Tasks[[#This Row],[_Days]])&lt;=0,Tasks[[#This Row],[_LeafLateFinish]],WORKDAY.INTL(Tasks[[#This Row],[_LeafLateFinish]],-(Tasks[[#This Row],[_Days]]-1),WorkWeek,Holidays)))</f>
        <v/>
      </c>
      <c r="FD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 s="90" t="b">
        <f aca="false">AND(Tasks[[#This Row],[_IsLeaf]]=1,Tasks[[#This Row],[_LeafProgress]]&lt;1,N(Tasks[[#This Row],[_LeafTotalSlack]])&lt;=CriticalSlackDays)</f>
        <v>0</v>
      </c>
      <c r="FF18" s="43" t="n">
        <f aca="false">IF(AND(Tasks[[#This Row],[_IsLeaf]]=1,Tasks[[#This Row],[_ConstraintCode]]=1,Tasks[[#This Row],[Mode]]&lt;&gt;"Manual",N(Tasks[[#This Row],[Actual Start]])=0),MAX(0,N(Tasks[[#This Row],[Free Slack]])),0)</f>
        <v>0</v>
      </c>
      <c r="FG18" s="91" t="str">
        <f aca="false">IF(NOT(Tasks[[#This Row],[_IsLeaf]]=1),"",IF(Tasks[[#This Row],[_AlapShift]]=0,Tasks[[#This Row],[_LeafCalcStart]],WORKDAY.INTL(Tasks[[#This Row],[_LeafCalcStart]],Tasks[[#This Row],[_AlapShift]],WorkWeek,Holidays)))</f>
        <v/>
      </c>
      <c r="FH18" s="91" t="str">
        <f aca="false">IF(NOT(Tasks[[#This Row],[_IsLeaf]]=1),"",IF(Tasks[[#This Row],[_AlapShift]]=0,Tasks[[#This Row],[_LeafCalcFinish]],WORKDAY.INTL(Tasks[[#This Row],[_LeafCalcFinish]],Tasks[[#This Row],[_AlapShift]],WorkWeek,Holidays)))</f>
        <v/>
      </c>
      <c r="FI18" s="91" t="str">
        <f aca="false">IF(NOT(Tasks[[#This Row],[_IsLeaf]]=1),"",IF(Tasks[[#This Row],[_AlapShift]]=0,Tasks[[#This Row],[_LeafFcstStart]],WORKDAY.INTL(Tasks[[#This Row],[_LeafFcstStart]],Tasks[[#This Row],[_AlapShift]],WorkWeek,Holidays)))</f>
        <v/>
      </c>
      <c r="FJ18" s="91" t="str">
        <f aca="false">IF(NOT(Tasks[[#This Row],[_IsLeaf]]=1),"",IF(Tasks[[#This Row],[_AlapShift]]=0,Tasks[[#This Row],[_LeafFcstFinish]],WORKDAY.INTL(Tasks[[#This Row],[_LeafFcstFinish]],Tasks[[#This Row],[_AlapShift]],WorkWeek,Holidays)))</f>
        <v/>
      </c>
      <c r="FK18" s="91" t="str">
        <f aca="false">IF(Tasks[[#This Row],[Task Name]]="","",IF(Tasks[[#This Row],[_IsSummary]],MIN(INDEX(Tasks[_ShownCalcStart],Tasks[[#This Row],[_Row]]+1):INDEX(Tasks[_ShownCalcStart],Tasks[[#This Row],[_Row]]+Tasks[[#This Row],[_Descendants]])),Tasks[[#This Row],[_ShownCalcStart]]))</f>
        <v/>
      </c>
      <c r="FL18" s="91" t="str">
        <f aca="false">IF(Tasks[[#This Row],[Task Name]]="","",IF(Tasks[[#This Row],[_IsSummary]],MAX(INDEX(Tasks[_ShownCalcFinish],Tasks[[#This Row],[_Row]]+1):INDEX(Tasks[_ShownCalcFinish],Tasks[[#This Row],[_Row]]+Tasks[[#This Row],[_Descendants]])),Tasks[[#This Row],[_ShownCalcFinish]]))</f>
        <v/>
      </c>
      <c r="FM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 s="43" t="n">
        <f aca="false">IF(AND(Tasks[[#This Row],[_IsLeaf]]=1,Tasks[[#This Row],[_LeafTotalWork]]&gt;0),NETWORKDAYS.INTL(ProjectStart,Tasks[[#This Row],[_ShownFcstStart]],WorkWeek,Holidays),0)</f>
        <v>0</v>
      </c>
      <c r="FZ18" s="43" t="n">
        <f aca="false">IF(AND(Tasks[[#This Row],[_IsLeaf]]=1,Tasks[[#This Row],[_LeafTotalWork]]&gt;0),MAX(Tasks[[#This Row],[_StartWorkday]],NETWORKDAYS.INTL(ProjectStart,Tasks[[#This Row],[_ShownFcstFinish]],WorkWeek,Holidays)),0)</f>
        <v>0</v>
      </c>
      <c r="GA18" s="43" t="n">
        <f aca="false">IF(AND(Tasks[[#This Row],[_IsLeaf]]=1,Tasks[[#This Row],[_LeafTotalWork]]&gt;0),Tasks[[#This Row],[_LeafWork]]/(Tasks[[#This Row],[_FinishWorkday]]-Tasks[[#This Row],[_StartWorkday]]+1),0)</f>
        <v>0</v>
      </c>
      <c r="GB18" s="43" t="n">
        <f aca="false">Tasks[[#This Row],[_WorkPerWorkday]]*(Tasks[[#This Row],[_StartWorkday]]-1)</f>
        <v>-0</v>
      </c>
      <c r="GC18" s="43" t="n">
        <f aca="false">IF(Tasks[[#This Row],[_IsLeaf]]=1,MAX(N(Tasks[[#This Row],[_Days]]),0.1),0)</f>
        <v>0</v>
      </c>
      <c r="GD18" s="43" t="n">
        <f aca="false">Tasks[[#This Row],[_WeightDur]]*Tasks[[#This Row],[_LeafProgress]]</f>
        <v>0</v>
      </c>
      <c r="GE18" s="43" t="n">
        <f aca="false">Tasks[[#This Row],[_WeightDur]]*Tasks[[#This Row],[_PlannedPct]]</f>
        <v>0</v>
      </c>
      <c r="GF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3" t="str">
        <f aca="false">IF(AND(Tasks[[#This Row],[_IsLeaf]]=1,N(Tasks[[#This Row],[_Days]])=0,Tasks[[#This Row],[_LeafProgress]]&lt;1),Tasks[[#This Row],[_ShownFcstFinish]]+Tasks[[#This Row],[_Row]]/100000,"")</f>
        <v/>
      </c>
      <c r="GH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 s="43" t="str">
        <f aca="false">IF(Tasks[[#This Row],[Task Name]]="","",LEFT(Tasks[[#This Row],[WBS]],FIND(".",Tasks[[#This Row],[WBS]]&amp;".")-1))</f>
        <v/>
      </c>
      <c r="GJ18" s="43" t="str">
        <f aca="false">IF(AND(Tasks[[#This Row],[Task Name]]&lt;&gt;"",Tasks[[#This Row],[_Level]]=1),Tasks[[#This Row],[_Row]],"")</f>
        <v/>
      </c>
      <c r="GK18" s="43" t="str">
        <f aca="false">IF(AND(Tasks[[#This Row],[_IsLeaf]]=1,N(Tasks[[#This Row],[_Days]])=0),Tasks[[#This Row],[Planned Finish]]+Tasks[[#This Row],[_Row]]/100000,"")</f>
        <v/>
      </c>
      <c r="GL18" s="43" t="str">
        <f aca="false">IF(AND(Tasks[[#This Row],[_IsLeaf]]=1,Tasks[[#This Row],[_LeafProgress]]&lt;1,OR(N(Tasks[[#This Row],[Finish Var]])&gt;0,Tasks[[#This Row],[Status]]="Late Start")),MAX(0,Tasks[[#This Row],[Finish Var]])+1-Tasks[[#This Row],[_Row]]/1000000,"")</f>
        <v/>
      </c>
      <c r="GM18" s="43" t="str">
        <f aca="false">IF(AND(Tasks[[#This Row],[_IsLeaf]]=1,N(Tasks[[#This Row],[Actual Start]])=0,Tasks[[#This Row],[_ShownFcstStart]]&gt;=StatusDate,Tasks[[#This Row],[_ShownFcstStart]]&lt;=LookaheadEnd),Tasks[[#This Row],[_ShownFcstStart]]+Tasks[[#This Row],[_Row]]/100000,"")</f>
        <v/>
      </c>
      <c r="GN18" s="43" t="str">
        <f aca="false">IF(AND(Tasks[[#This Row],[_IsLeaf]]=1,Tasks[[#This Row],[_LeafProgress]]&lt;1,Tasks[[#This Row],[_ShownFcstFinish]]&gt;=StatusDate,Tasks[[#This Row],[_ShownFcstFinish]]&lt;=LookaheadEnd),Tasks[[#This Row],[_ShownFcstFinish]]+Tasks[[#This Row],[_Row]]/100000,"")</f>
        <v/>
      </c>
      <c r="GO18" s="43" t="str">
        <f aca="false">IF(Tasks[[#This Row],[_LeafCritical]],Tasks[[#This Row],[_ShownFcstStart]]+Tasks[[#This Row],[_Row]]/100000,"")</f>
        <v/>
      </c>
      <c r="GP18" s="43" t="n">
        <f aca="false">Tasks[[#This Row],[_LeafWork]]*Tasks[[#This Row],[_LeafProgress]]</f>
        <v>0</v>
      </c>
      <c r="GQ18" s="91" t="str">
        <f aca="false">IF(AND(Tasks[[#This Row],[_IsLeaf]]=1,Tasks[[#This Row],[_LeafProgress]]&gt;=1),IF(N(Tasks[[#This Row],[Actual Finish]])&gt;0,Tasks[[#This Row],[Actual Finish]],Tasks[[#This Row],[_ShownFcstFinish]]),"")</f>
        <v/>
      </c>
      <c r="GR18" s="43" t="n">
        <f aca="false">IF(Tasks[[#This Row],[_IsLeaf]]=1,N(Tasks[[#This Row],[Story Points]]),0)</f>
        <v>0</v>
      </c>
      <c r="GS18" s="43" t="str">
        <f aca="false">""</f>
        <v/>
      </c>
      <c r="GT18" s="90" t="b">
        <f aca="false">IF(Tasks[[#This Row],[Task Name]]="",FALSE(),AND(Tasks[[#This Row],[_IsLeaf]]=1,N(Tasks[[#This Row],[_Days]])=0))</f>
        <v>0</v>
      </c>
      <c r="GU18" s="91" t="n">
        <f aca="false">IF(Tasks[[#This Row],[Task Name]]="",0,IF(AND(Tasks[[#This Row],[_IsLeaf]]=1,NOT(Tasks[[#This Row],[_IsMilestone]]),N(Tasks[[#This Row],[Progress]])&gt;0),Tasks[[#This Row],[Start]],0))</f>
        <v>0</v>
      </c>
      <c r="GV18" s="91" t="n">
        <f aca="false">IF(Tasks[[#This Row],[_DoneFrom]]=0,0,IF(Tasks[[#This Row],[Progress]]&gt;=1,Tasks[[#This Row],[Finish]],MAX(Tasks[[#This Row],[_DoneFrom]],Tasks[[#This Row],[Start]]+ROUND((Tasks[[#This Row],[Finish]]-Tasks[[#This Row],[Start]]+1)*Tasks[[#This Row],[Progress]],0)-1)))</f>
        <v>0</v>
      </c>
      <c r="GW18" s="91" t="n">
        <f aca="false">IF(Tasks[[#This Row],[Task Name]]="",0,IF(OR(NOT(Tasks[[#This Row],[_IsLeaf]]=1),Tasks[[#This Row],[_IsMilestone]],N(Tasks[[#This Row],[Progress]])&gt;=1),0,IF(Tasks[[#This Row],[_DoneTo]]&gt;0,Tasks[[#This Row],[_DoneTo]]+1,Tasks[[#This Row],[Start]])))</f>
        <v>0</v>
      </c>
      <c r="GX18" s="91" t="n">
        <f aca="false">IF(Tasks[[#This Row],[_RemFrom]]=0,0,Tasks[[#This Row],[Finish]])</f>
        <v>0</v>
      </c>
      <c r="GY18" s="90" t="b">
        <f aca="false">IF(Tasks[[#This Row],[Task Name]]="",FALSE(),OR(NOT(BaselineSet),N(Tasks[[#This Row],[Baseline Start]])&gt;0))</f>
        <v>0</v>
      </c>
      <c r="GZ1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92" t="str">
        <f aca="false">IF(Tasks[[#This Row],[_IsLeaf]]=1,Tasks[[#This Row],[_Row]],"")</f>
        <v/>
      </c>
      <c r="HD18" s="92" t="str">
        <f aca="false">IFERROR(INDEX(Tasks[UID],SMALL(Tasks[_PickKey],Tasks[[#This Row],[_Row]]))&amp;" "&amp;INDEX(Tasks[Task Name],SMALL(Tasks[_PickKey],Tasks[[#This Row],[_Row]])),"")</f>
        <v/>
      </c>
      <c r="HE18" s="43" t="str">
        <f aca="false">IF(Tasks[[#This Row],[Task Name]]="","",IF(Tasks[[#This Row],[_IsSummary]],NETWORKDAYS.INTL(Tasks[[#This Row],[Start]],Tasks[[#This Row],[Finish]],WorkWeek,Holidays),N(Tasks[[#This Row],[_Days]])))</f>
        <v/>
      </c>
      <c r="HF18" s="43" t="n">
        <f aca="false">IF(Tasks[[#This Row],[Expected]]="",0,((Tasks[[#This Row],[Pessimistic]]-Tasks[[#This Row],[Optimistic]])/6)^2)</f>
        <v>0</v>
      </c>
      <c r="HG18" s="43" t="n">
        <f aca="false">IF(Tasks[[#This Row],[Expected]]="",0,Tasks[[#This Row],[Expected]]-N(Tasks[[#This Row],[_Days]]))</f>
        <v>0</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4"/>
      <c r="U19" s="23"/>
      <c r="V19" s="84"/>
      <c r="W19" s="23"/>
      <c r="X19" s="84"/>
      <c r="Y19" s="23"/>
      <c r="Z19" s="84"/>
      <c r="AA19" s="23"/>
      <c r="AB19" s="23"/>
      <c r="AC19" s="7"/>
      <c r="AD19" s="7"/>
      <c r="AE19" s="63" t="str">
        <f aca="false">IF(Tasks[[#This Row],[Task Name]]="","",IF(Tasks[[#This Row],[_IsSummary]],MIN(INDEX(Tasks[_ShownFcstStart],Tasks[[#This Row],[_Row]]+1):INDEX(Tasks[_ShownFcstStart],Tasks[[#This Row],[_Row]]+Tasks[[#This Row],[_Descendants]])),Tasks[[#This Row],[_ShownFcstStart]]))</f>
        <v/>
      </c>
      <c r="AF19" s="63"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 s="7"/>
      <c r="AK19" s="22"/>
      <c r="AL19" s="23"/>
      <c r="AM19" s="7"/>
      <c r="AN19" s="47"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3" t="str">
        <f aca="false">IF(Tasks[[#This Row],[Task Name]]="","",IF(N(Tasks[[#This Row],[Baseline Start]])&gt;0,Tasks[[#This Row],[Baseline Start]],Tasks[[#This Row],[_CalcStart]]))</f>
        <v/>
      </c>
      <c r="AR19" s="63" t="str">
        <f aca="false">IF(Tasks[[#This Row],[Task Name]]="","",IF(N(Tasks[[#This Row],[Baseline Finish]])&gt;0,Tasks[[#This Row],[Baseline Finish]],Tasks[[#This Row],[_CalcFinish]]))</f>
        <v/>
      </c>
      <c r="AS19" s="47" t="str">
        <f aca="false">IF(Tasks[[#This Row],[Task Name]]="","",IF(Tasks[[#This Row],[Start]]&gt;=Tasks[[#This Row],[Planned Start]],NETWORKDAYS.INTL(Tasks[[#This Row],[Planned Start]],Tasks[[#This Row],[Start]],WorkWeek,Holidays)-1,1-NETWORKDAYS.INTL(Tasks[[#This Row],[Start]],Tasks[[#This Row],[Planned Start]],WorkWeek,Holidays)))</f>
        <v/>
      </c>
      <c r="AT19" s="63" t="str">
        <f aca="false">IF(Tasks[[#This Row],[Task Name]]="","",IF(Tasks[[#This Row],[_IsSummary]],MIN(INDEX(Tasks[_LeafLateStart],Tasks[[#This Row],[_Row]]+1):INDEX(Tasks[_LeafLateStart],Tasks[[#This Row],[_Row]]+Tasks[[#This Row],[_Descendants]])),Tasks[[#This Row],[_LeafLateStart]]))</f>
        <v/>
      </c>
      <c r="AU19" s="63" t="str">
        <f aca="false">IF(Tasks[[#This Row],[Task Name]]="","",IF(Tasks[[#This Row],[_IsSummary]],MAX(INDEX(Tasks[_LeafLateFinish],Tasks[[#This Row],[_Row]]+1):INDEX(Tasks[_LeafLateFinish],Tasks[[#This Row],[_Row]]+Tasks[[#This Row],[_Descendants]])),Tasks[[#This Row],[_LeafLateFinish]]))</f>
        <v/>
      </c>
      <c r="AV19" s="47"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5"/>
      <c r="BA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6"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7"/>
      <c r="BJ19" s="22"/>
      <c r="BK19" s="47" t="str">
        <f aca="false">IF(OR(Tasks[[#This Row],[Task Name]]="",Tasks[[#This Row],[Baseline Duration]]=""),"",Tasks[[#This Row],[_SpanDays]]-N(Tasks[[#This Row],[Baseline Duration]]))</f>
        <v/>
      </c>
      <c r="BL19" s="86" t="str">
        <f aca="false">IF(OR(Tasks[[#This Row],[Task Name]]="",Tasks[[#This Row],[Baseline Work]]=""),"",Tasks[[#This Row],[Work]]-N(Tasks[[#This Row],[Baseline Work]]))</f>
        <v/>
      </c>
      <c r="BM19" s="63" t="str">
        <f aca="false">IF(Tasks[[#This Row],[Task Name]]="","",IF(OR(TakeBaseline="Yes",N(Tasks[[#This Row],[Baseline Start]])=0),Tasks[[#This Row],[Start]],Tasks[[#This Row],[Baseline Start]]))</f>
        <v/>
      </c>
      <c r="BN19" s="63" t="str">
        <f aca="false">IF(Tasks[[#This Row],[Task Name]]="","",IF(OR(TakeBaseline="Yes",N(Tasks[[#This Row],[Baseline Finish]])=0),Tasks[[#This Row],[Finish]],Tasks[[#This Row],[Baseline Finish]]))</f>
        <v/>
      </c>
      <c r="BO19" s="21" t="str">
        <f aca="false">IF(Tasks[[#This Row],[Task Name]]="","",IF(OR(TakeBaseline="Yes",N(Tasks[[#This Row],[Baseline Duration]])=0),Tasks[[#This Row],[_SpanDays]],Tasks[[#This Row],[Baseline Duration]]))</f>
        <v/>
      </c>
      <c r="BP19" s="86" t="str">
        <f aca="false">IF(Tasks[[#This Row],[Task Name]]="","",IF(OR(TakeBaseline="Yes",N(Tasks[[#This Row],[Baseline Work]])=0),Tasks[[#This Row],[Work]],Tasks[[#This Row],[Baseline Work]]))</f>
        <v/>
      </c>
      <c r="BQ19" s="7"/>
      <c r="BR19" s="7"/>
      <c r="BS19" s="22"/>
      <c r="BT19" s="88"/>
      <c r="BU19" s="23"/>
      <c r="BV19" s="23"/>
      <c r="BW19" s="23"/>
      <c r="BX19" s="89" t="str">
        <f aca="false">IF(AND(Tasks[[#This Row],[_IsLeaf]]=1,ISNUMBER(Tasks[[#This Row],[Optimistic]]),ISNUMBER(Tasks[[#This Row],[Pessimistic]])),ROUND((Tasks[[#This Row],[Optimistic]]+4*N(Tasks[[#This Row],[_Days]])+Tasks[[#This Row],[Pessimistic]])/6,1),"")</f>
        <v/>
      </c>
      <c r="BY19" s="87"/>
      <c r="BZ19" s="87"/>
      <c r="CA19" s="22"/>
      <c r="CB19" s="43" t="str">
        <f aca="false">IF(Tasks[[#This Row],[Task Name]]="","",MAX(1,N(Tasks[[#This Row],[Level]])))</f>
        <v/>
      </c>
      <c r="CC19" s="43" t="n">
        <f aca="false">ROW()-ROW(Tasks[[#Headers],[ID]])</f>
        <v>14</v>
      </c>
      <c r="CD19" s="43" t="n">
        <f aca="false">IF(OR(Tasks[[#This Row],[Task Name]]="",Tasks[[#This Row],[_Level]]&lt;=1),0,IFERROR(LOOKUP(2,1/(Tasks[[#Headers],[_Level]]:Tasks[[#This Row],[_Level]]=Tasks[[#This Row],[_Level]]-1),ROW(Tasks[[#Headers],[_Level]]:Tasks[[#This Row],[_Level]])),0))</f>
        <v>0</v>
      </c>
      <c r="CE19" s="43" t="n">
        <f aca="false">IFERROR(N(INDEX(Tasks[_Level],Tasks[[#This Row],[_Row]]+1)),0)</f>
        <v>0</v>
      </c>
      <c r="CF19" s="90" t="b">
        <f aca="false">AND(Tasks[[#This Row],[Task Name]]&lt;&gt;"",Tasks[[#This Row],[_NextLevel]]&gt;Tasks[[#This Row],[_Level]])</f>
        <v>0</v>
      </c>
      <c r="CG19" s="43" t="n">
        <f aca="false">IF(Tasks[[#This Row],[_IsSummary]],COUNTIF(Tasks[WBS],Tasks[[#This Row],[WBS]]&amp;".*"),0)</f>
        <v>0</v>
      </c>
      <c r="CH19" s="43" t="n">
        <f aca="false">IF(AND(Tasks[[#This Row],[Task Name]]&lt;&gt;"",NOT(Tasks[[#This Row],[_IsSummary]])),1,0)</f>
        <v>0</v>
      </c>
      <c r="CI19" s="43" t="n">
        <f aca="false">IF(N(Tasks[[#This Row],[_Pred1UID]])=0,0,IFERROR(MATCH(Tasks[[#This Row],[_Pred1UID]],Tasks[UID],0),-1))</f>
        <v>0</v>
      </c>
      <c r="CJ19" s="43" t="n">
        <f aca="false">IF(N(Tasks[[#This Row],[_Pred2UID]])=0,0,IFERROR(MATCH(Tasks[[#This Row],[_Pred2UID]],Tasks[UID],0),-1))</f>
        <v>0</v>
      </c>
      <c r="CK19" s="43" t="n">
        <f aca="false">IF(N(Tasks[[#This Row],[_Pred3UID]])=0,0,IFERROR(MATCH(Tasks[[#This Row],[_Pred3UID]],Tasks[UID],0),-1))</f>
        <v>0</v>
      </c>
      <c r="CL19" s="43" t="n">
        <f aca="false">IF(N(Tasks[[#This Row],[_Pred4UID]])=0,0,IFERROR(MATCH(Tasks[[#This Row],[_Pred4UID]],Tasks[UID],0),-1))</f>
        <v>0</v>
      </c>
      <c r="CM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 s="91" t="n">
        <f aca="false">IF(OR(Tasks[[#This Row],[_ConstraintCode]]=2,Tasks[[#This Row],[_ConstraintCode]]=3,Tasks[[#This Row],[_ConstraintCode]]=4,Tasks[[#This Row],[_ConstraintCode]]=6),Tasks[[#This Row],[_ConstraintStart]],0)</f>
        <v>0</v>
      </c>
      <c r="CP19" s="91" t="n">
        <f aca="false">IF(OR(Tasks[[#This Row],[_ConstraintCode]]=2,Tasks[[#This Row],[_ConstraintCode]]=3,Tasks[[#This Row],[_ConstraintCode]]=5,Tasks[[#This Row],[_ConstraintCode]]=7),Tasks[[#This Row],[_ConstraintStart]],2958465)</f>
        <v>2958465</v>
      </c>
      <c r="CQ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91" t="str">
        <f aca="false">IF(NOT(Tasks[[#This Row],[_IsLeaf]]=1),"",IF(N(Tasks[[#This Row],[_Days]])&lt;=0,Tasks[[#This Row],[_LeafCalcStart]],WORKDAY.INTL(Tasks[[#This Row],[_LeafCalcStart]],Tasks[[#This Row],[_Days]]-1,WorkWeek,Holidays)))</f>
        <v/>
      </c>
      <c r="CS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3" t="str">
        <f aca="false">IF(Tasks[[#This Row],[_Predecessors]]="","",TRIM(MID(SUBSTITUTE(SUBSTITUTE(SUBSTITUTE(UPPER(Tasks[[#This Row],[_Predecessors]]),";",",")," ",""),",",REPT(" ",99)),1,99)))</f>
        <v/>
      </c>
      <c r="CV19" s="43" t="str">
        <f aca="false">IF(Tasks[[#This Row],[_Pred1Text]]="","",IFERROR(VALUE(LEFT(Tasks[[#This Row],[_Pred1Text]],MIN(FIND("F",Tasks[[#This Row],[_Pred1Text]]&amp;"F"),FIND("S",Tasks[[#This Row],[_Pred1Text]]&amp;"S"),FIND("+",Tasks[[#This Row],[_Pred1Text]]&amp;"+"),FIND("-",Tasks[[#This Row],[_Pred1Text]]&amp;"-"))-1)),""))</f>
        <v/>
      </c>
      <c r="CW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3" t="str">
        <f aca="false">IF(Tasks[[#This Row],[_Pred1Text]]="","",TRIM(MID(SUBSTITUTE(SUBSTITUTE(SUBSTITUTE(UPPER(Tasks[[#This Row],[_Predecessors]]),";",",")," ",""),",",REPT(" ",99)),100,99)))</f>
        <v/>
      </c>
      <c r="CZ19" s="43" t="str">
        <f aca="false">IF(Tasks[[#This Row],[_Pred2Text]]="","",IFERROR(VALUE(LEFT(Tasks[[#This Row],[_Pred2Text]],MIN(FIND("F",Tasks[[#This Row],[_Pred2Text]]&amp;"F"),FIND("S",Tasks[[#This Row],[_Pred2Text]]&amp;"S"),FIND("+",Tasks[[#This Row],[_Pred2Text]]&amp;"+"),FIND("-",Tasks[[#This Row],[_Pred2Text]]&amp;"-"))-1)),""))</f>
        <v/>
      </c>
      <c r="DA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3" t="str">
        <f aca="false">IF(Tasks[[#This Row],[_Pred2Text]]="","",TRIM(MID(SUBSTITUTE(SUBSTITUTE(SUBSTITUTE(UPPER(Tasks[[#This Row],[_Predecessors]]),";",",")," ",""),",",REPT(" ",99)),199,99)))</f>
        <v/>
      </c>
      <c r="DD19" s="43" t="str">
        <f aca="false">IF(Tasks[[#This Row],[_Pred3Text]]="","",IFERROR(VALUE(LEFT(Tasks[[#This Row],[_Pred3Text]],MIN(FIND("F",Tasks[[#This Row],[_Pred3Text]]&amp;"F"),FIND("S",Tasks[[#This Row],[_Pred3Text]]&amp;"S"),FIND("+",Tasks[[#This Row],[_Pred3Text]]&amp;"+"),FIND("-",Tasks[[#This Row],[_Pred3Text]]&amp;"-"))-1)),""))</f>
        <v/>
      </c>
      <c r="DE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3" t="str">
        <f aca="false">IF(Tasks[[#This Row],[_Pred3Text]]="","",TRIM(MID(SUBSTITUTE(SUBSTITUTE(SUBSTITUTE(UPPER(Tasks[[#This Row],[_Predecessors]]),";",",")," ",""),",",REPT(" ",99)),298,99)))</f>
        <v/>
      </c>
      <c r="DH19" s="43" t="str">
        <f aca="false">IF(Tasks[[#This Row],[_Pred4Text]]="","",IFERROR(VALUE(LEFT(Tasks[[#This Row],[_Pred4Text]],MIN(FIND("F",Tasks[[#This Row],[_Pred4Text]]&amp;"F"),FIND("S",Tasks[[#This Row],[_Pred4Text]]&amp;"S"),FIND("+",Tasks[[#This Row],[_Pred4Text]]&amp;"+"),FIND("-",Tasks[[#This Row],[_Pred4Text]]&amp;"-"))-1)),""))</f>
        <v/>
      </c>
      <c r="DI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3" t="str">
        <f aca="false">IF(OR(Tasks[[#This Row],[Task Name]]="",Tasks[[#This Row],[_Resources]]=""),"",TRIM(MID(SUBSTITUTE(Tasks[[#This Row],[_Resources]],",",REPT(" ",99)),1,99)))</f>
        <v/>
      </c>
      <c r="DL19" s="43" t="str">
        <f aca="false">IF(Tasks[[#This Row],[_Res1Text]]="","",TRIM(MID(SUBSTITUTE(Tasks[[#This Row],[_Resources]],",",REPT(" ",99)),100,99)))</f>
        <v/>
      </c>
      <c r="DM19" s="43" t="str">
        <f aca="false">IF(Tasks[[#This Row],[_Res2Text]]="","",TRIM(MID(SUBSTITUTE(Tasks[[#This Row],[_Resources]],",",REPT(" ",99)),199,99)))</f>
        <v/>
      </c>
      <c r="DN19" s="43" t="str">
        <f aca="false">IF(Tasks[[#This Row],[_Res3Text]]="","",TRIM(MID(SUBSTITUTE(Tasks[[#This Row],[_Resources]],",",REPT(" ",99)),298,99)))</f>
        <v/>
      </c>
      <c r="DO19" s="43" t="n">
        <f aca="false">IF(Tasks[[#This Row],[_Res1Text]]="",0,IFERROR(MATCH(TRIM(LEFT(Tasks[[#This Row],[_Res1Text]],FIND("[",Tasks[[#This Row],[_Res1Text]]&amp;"[")-1)),res_Name,0),IFERROR(MATCH(TRIM(LEFT(Tasks[[#This Row],[_Res1Text]],FIND("[",Tasks[[#This Row],[_Res1Text]]&amp;"[")-1)),res_Initials,0),0)))</f>
        <v>0</v>
      </c>
      <c r="DP19" s="43" t="n">
        <f aca="false">IF(Tasks[[#This Row],[_Res2Text]]="",0,IFERROR(MATCH(TRIM(LEFT(Tasks[[#This Row],[_Res2Text]],FIND("[",Tasks[[#This Row],[_Res2Text]]&amp;"[")-1)),res_Name,0),IFERROR(MATCH(TRIM(LEFT(Tasks[[#This Row],[_Res2Text]],FIND("[",Tasks[[#This Row],[_Res2Text]]&amp;"[")-1)),res_Initials,0),0)))</f>
        <v>0</v>
      </c>
      <c r="DQ19" s="43" t="n">
        <f aca="false">IF(Tasks[[#This Row],[_Res3Text]]="",0,IFERROR(MATCH(TRIM(LEFT(Tasks[[#This Row],[_Res3Text]],FIND("[",Tasks[[#This Row],[_Res3Text]]&amp;"[")-1)),res_Name,0),IFERROR(MATCH(TRIM(LEFT(Tasks[[#This Row],[_Res3Text]],FIND("[",Tasks[[#This Row],[_Res3Text]]&amp;"[")-1)),res_Initials,0),0)))</f>
        <v>0</v>
      </c>
      <c r="DR19" s="43" t="n">
        <f aca="false">IF(Tasks[[#This Row],[_Res4Text]]="",0,IFERROR(MATCH(TRIM(LEFT(Tasks[[#This Row],[_Res4Text]],FIND("[",Tasks[[#This Row],[_Res4Text]]&amp;"[")-1)),res_Name,0),IFERROR(MATCH(TRIM(LEFT(Tasks[[#This Row],[_Res4Text]],FIND("[",Tasks[[#This Row],[_Res4Text]]&amp;"[")-1)),res_Initials,0),0)))</f>
        <v>0</v>
      </c>
      <c r="DS19" s="43" t="str">
        <f aca="false">IF(Tasks[[#This Row],[_Res1Text]]="","",IF(Tasks[[#This Row],[_Res1Row]]&gt;0,INDEX(res_Name,Tasks[[#This Row],[_Res1Row]]),TRIM(LEFT(Tasks[[#This Row],[_Res1Text]],FIND("[",Tasks[[#This Row],[_Res1Text]]&amp;"[")-1))))</f>
        <v/>
      </c>
      <c r="DT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3" t="n">
        <f aca="false">IF(NOT(Tasks[[#This Row],[_IsLeaf]]=1),0,(Tasks[[#This Row],[_Resource1]]&lt;&gt;"")+(Tasks[[#This Row],[_Res2]]&lt;&gt;"")+(Tasks[[#This Row],[_Res3]]&lt;&gt;"")+(Tasks[[#This Row],[_Res4]]&lt;&gt;""))</f>
        <v>0</v>
      </c>
      <c r="DV19" s="43" t="str">
        <f aca="false">IF(Tasks[[#This Row],[_Res2Text]]="","",IF(Tasks[[#This Row],[_Res2Row]]&gt;0,INDEX(res_Name,Tasks[[#This Row],[_Res2Row]]),TRIM(LEFT(Tasks[[#This Row],[_Res2Text]],FIND("[",Tasks[[#This Row],[_Res2Text]]&amp;"[")-1))))</f>
        <v/>
      </c>
      <c r="DW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3" t="n">
        <f aca="false">IF(OR(NOT(Tasks[[#This Row],[_IsLeaf]]=1),Tasks[[#This Row],[_Res2Row]]=0),0,N(Tasks[[#This Row],[_Days]])*HoursPerDay*IF(Tasks[[#This Row],[_Res2Units]]="",DefaultUnits,Tasks[[#This Row],[_Res2Units]]))</f>
        <v>0</v>
      </c>
      <c r="DY19" s="43" t="n">
        <f aca="false">IF(AND(AND(Tasks[[#This Row],[_IsLeaf]]=1,Tasks[[#This Row],[_LeafTotalWork]]&gt;0),Tasks[[#This Row],[_Res2Work]]&gt;0),Tasks[[#This Row],[_Res2Work]]/(Tasks[[#This Row],[_FinishWorkday]]-Tasks[[#This Row],[_StartWorkday]]+1),0)</f>
        <v>0</v>
      </c>
      <c r="DZ19" s="43" t="n">
        <f aca="false">Tasks[[#This Row],[_Res2WorkPerWD]]*MAX(0,Tasks[[#This Row],[_StartWorkday]]-1)</f>
        <v>0</v>
      </c>
      <c r="EA19" s="43" t="n">
        <f aca="false">Tasks[[#This Row],[_Res2Work]]*Tasks[[#This Row],[_LeafProgress]]</f>
        <v>0</v>
      </c>
      <c r="EB19" s="43" t="str">
        <f aca="false">IF(Tasks[[#This Row],[_Res3Text]]="","",IF(Tasks[[#This Row],[_Res3Row]]&gt;0,INDEX(res_Name,Tasks[[#This Row],[_Res3Row]]),TRIM(LEFT(Tasks[[#This Row],[_Res3Text]],FIND("[",Tasks[[#This Row],[_Res3Text]]&amp;"[")-1))))</f>
        <v/>
      </c>
      <c r="EC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3" t="n">
        <f aca="false">IF(OR(NOT(Tasks[[#This Row],[_IsLeaf]]=1),Tasks[[#This Row],[_Res3Row]]=0),0,N(Tasks[[#This Row],[_Days]])*HoursPerDay*IF(Tasks[[#This Row],[_Res3Units]]="",DefaultUnits,Tasks[[#This Row],[_Res3Units]]))</f>
        <v>0</v>
      </c>
      <c r="EE19" s="43" t="n">
        <f aca="false">IF(AND(AND(Tasks[[#This Row],[_IsLeaf]]=1,Tasks[[#This Row],[_LeafTotalWork]]&gt;0),Tasks[[#This Row],[_Res3Work]]&gt;0),Tasks[[#This Row],[_Res3Work]]/(Tasks[[#This Row],[_FinishWorkday]]-Tasks[[#This Row],[_StartWorkday]]+1),0)</f>
        <v>0</v>
      </c>
      <c r="EF19" s="43" t="n">
        <f aca="false">Tasks[[#This Row],[_Res3WorkPerWD]]*MAX(0,Tasks[[#This Row],[_StartWorkday]]-1)</f>
        <v>0</v>
      </c>
      <c r="EG19" s="43" t="n">
        <f aca="false">Tasks[[#This Row],[_Res3Work]]*Tasks[[#This Row],[_LeafProgress]]</f>
        <v>0</v>
      </c>
      <c r="EH19" s="43" t="str">
        <f aca="false">IF(Tasks[[#This Row],[_Res4Text]]="","",IF(Tasks[[#This Row],[_Res4Row]]&gt;0,INDEX(res_Name,Tasks[[#This Row],[_Res4Row]]),TRIM(LEFT(Tasks[[#This Row],[_Res4Text]],FIND("[",Tasks[[#This Row],[_Res4Text]]&amp;"[")-1))))</f>
        <v/>
      </c>
      <c r="EI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3" t="n">
        <f aca="false">IF(OR(NOT(Tasks[[#This Row],[_IsLeaf]]=1),Tasks[[#This Row],[_Res4Row]]=0),0,N(Tasks[[#This Row],[_Days]])*HoursPerDay*IF(Tasks[[#This Row],[_Res4Units]]="",DefaultUnits,Tasks[[#This Row],[_Res4Units]]))</f>
        <v>0</v>
      </c>
      <c r="EK19" s="43" t="n">
        <f aca="false">IF(AND(AND(Tasks[[#This Row],[_IsLeaf]]=1,Tasks[[#This Row],[_LeafTotalWork]]&gt;0),Tasks[[#This Row],[_Res4Work]]&gt;0),Tasks[[#This Row],[_Res4Work]]/(Tasks[[#This Row],[_FinishWorkday]]-Tasks[[#This Row],[_StartWorkday]]+1),0)</f>
        <v>0</v>
      </c>
      <c r="EL19" s="43" t="n">
        <f aca="false">Tasks[[#This Row],[_Res4WorkPerWD]]*MAX(0,Tasks[[#This Row],[_StartWorkday]]-1)</f>
        <v>0</v>
      </c>
      <c r="EM19" s="43" t="n">
        <f aca="false">Tasks[[#This Row],[_Res4Work]]*Tasks[[#This Row],[_LeafProgress]]</f>
        <v>0</v>
      </c>
      <c r="EN19" s="43" t="n">
        <f aca="false">IF(ISNUMBER(Tasks[[#This Row],[% Complete]]),Tasks[[#This Row],[% Complete]],IF(Tasks[[#This Row],[Stage]]="",0,IFERROR(INDEX(stg_Pct,MATCH(Tasks[[#This Row],[Stage]],stg_Name,0)),0)))</f>
        <v>0</v>
      </c>
      <c r="EO19" s="43" t="n">
        <f aca="false">IF(NOT(Tasks[[#This Row],[_IsLeaf]]=1),0,IF(N(Tasks[[#This Row],[Actual Finish]])&gt;0,1,MIN(1,Tasks[[#This Row],[_Pct]])))</f>
        <v>0</v>
      </c>
      <c r="EP19" s="43" t="n">
        <f aca="false">IF(OR(NOT(Tasks[[#This Row],[_IsLeaf]]=1),Tasks[[#This Row],[_Res1Row]]=0),0,N(Tasks[[#This Row],[_Days]])*HoursPerDay*IF(Tasks[[#This Row],[_Units1]]="",DefaultUnits,Tasks[[#This Row],[_Units1]]))</f>
        <v>0</v>
      </c>
      <c r="EQ19" s="43" t="n">
        <f aca="false">Tasks[[#This Row],[_LeafWork]]+Tasks[[#This Row],[_Res2Work]]+Tasks[[#This Row],[_Res3Work]]+Tasks[[#This Row],[_Res4Work]]</f>
        <v>0</v>
      </c>
      <c r="ER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3" t="n">
        <f aca="false">IF(NOT(Tasks[[#This Row],[_IsLeaf]]=1),0,MAX(_xlfn.MAXIFS(Tasks[_Row],Tasks[_Pred1UID],Tasks[[#This Row],[UID]]),_xlfn.MAXIFS(Tasks[_Row],Tasks[_Pred2UID],Tasks[[#This Row],[UID]]),_xlfn.MAXIFS(Tasks[_Row],Tasks[_Pred3UID],Tasks[[#This Row],[UID]]),_xlfn.MAXIFS(Tasks[_Row],Tasks[_Pred4UID],Tasks[[#This Row],[UID]])))</f>
        <v>0</v>
      </c>
      <c r="FA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91" t="str">
        <f aca="false">IF(NOT(Tasks[[#This Row],[_IsLeaf]]=1),"",IF(N(Tasks[[#This Row],[_Days]])&lt;=0,Tasks[[#This Row],[_LeafLateFinish]],WORKDAY.INTL(Tasks[[#This Row],[_LeafLateFinish]],-(Tasks[[#This Row],[_Days]]-1),WorkWeek,Holidays)))</f>
        <v/>
      </c>
      <c r="FD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 s="90" t="b">
        <f aca="false">AND(Tasks[[#This Row],[_IsLeaf]]=1,Tasks[[#This Row],[_LeafProgress]]&lt;1,N(Tasks[[#This Row],[_LeafTotalSlack]])&lt;=CriticalSlackDays)</f>
        <v>0</v>
      </c>
      <c r="FF19" s="43" t="n">
        <f aca="false">IF(AND(Tasks[[#This Row],[_IsLeaf]]=1,Tasks[[#This Row],[_ConstraintCode]]=1,Tasks[[#This Row],[Mode]]&lt;&gt;"Manual",N(Tasks[[#This Row],[Actual Start]])=0),MAX(0,N(Tasks[[#This Row],[Free Slack]])),0)</f>
        <v>0</v>
      </c>
      <c r="FG19" s="91" t="str">
        <f aca="false">IF(NOT(Tasks[[#This Row],[_IsLeaf]]=1),"",IF(Tasks[[#This Row],[_AlapShift]]=0,Tasks[[#This Row],[_LeafCalcStart]],WORKDAY.INTL(Tasks[[#This Row],[_LeafCalcStart]],Tasks[[#This Row],[_AlapShift]],WorkWeek,Holidays)))</f>
        <v/>
      </c>
      <c r="FH19" s="91" t="str">
        <f aca="false">IF(NOT(Tasks[[#This Row],[_IsLeaf]]=1),"",IF(Tasks[[#This Row],[_AlapShift]]=0,Tasks[[#This Row],[_LeafCalcFinish]],WORKDAY.INTL(Tasks[[#This Row],[_LeafCalcFinish]],Tasks[[#This Row],[_AlapShift]],WorkWeek,Holidays)))</f>
        <v/>
      </c>
      <c r="FI19" s="91" t="str">
        <f aca="false">IF(NOT(Tasks[[#This Row],[_IsLeaf]]=1),"",IF(Tasks[[#This Row],[_AlapShift]]=0,Tasks[[#This Row],[_LeafFcstStart]],WORKDAY.INTL(Tasks[[#This Row],[_LeafFcstStart]],Tasks[[#This Row],[_AlapShift]],WorkWeek,Holidays)))</f>
        <v/>
      </c>
      <c r="FJ19" s="91" t="str">
        <f aca="false">IF(NOT(Tasks[[#This Row],[_IsLeaf]]=1),"",IF(Tasks[[#This Row],[_AlapShift]]=0,Tasks[[#This Row],[_LeafFcstFinish]],WORKDAY.INTL(Tasks[[#This Row],[_LeafFcstFinish]],Tasks[[#This Row],[_AlapShift]],WorkWeek,Holidays)))</f>
        <v/>
      </c>
      <c r="FK19" s="91" t="str">
        <f aca="false">IF(Tasks[[#This Row],[Task Name]]="","",IF(Tasks[[#This Row],[_IsSummary]],MIN(INDEX(Tasks[_ShownCalcStart],Tasks[[#This Row],[_Row]]+1):INDEX(Tasks[_ShownCalcStart],Tasks[[#This Row],[_Row]]+Tasks[[#This Row],[_Descendants]])),Tasks[[#This Row],[_ShownCalcStart]]))</f>
        <v/>
      </c>
      <c r="FL19" s="91" t="str">
        <f aca="false">IF(Tasks[[#This Row],[Task Name]]="","",IF(Tasks[[#This Row],[_IsSummary]],MAX(INDEX(Tasks[_ShownCalcFinish],Tasks[[#This Row],[_Row]]+1):INDEX(Tasks[_ShownCalcFinish],Tasks[[#This Row],[_Row]]+Tasks[[#This Row],[_Descendants]])),Tasks[[#This Row],[_ShownCalcFinish]]))</f>
        <v/>
      </c>
      <c r="FM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 s="43" t="n">
        <f aca="false">IF(AND(Tasks[[#This Row],[_IsLeaf]]=1,Tasks[[#This Row],[_LeafTotalWork]]&gt;0),NETWORKDAYS.INTL(ProjectStart,Tasks[[#This Row],[_ShownFcstStart]],WorkWeek,Holidays),0)</f>
        <v>0</v>
      </c>
      <c r="FZ19" s="43" t="n">
        <f aca="false">IF(AND(Tasks[[#This Row],[_IsLeaf]]=1,Tasks[[#This Row],[_LeafTotalWork]]&gt;0),MAX(Tasks[[#This Row],[_StartWorkday]],NETWORKDAYS.INTL(ProjectStart,Tasks[[#This Row],[_ShownFcstFinish]],WorkWeek,Holidays)),0)</f>
        <v>0</v>
      </c>
      <c r="GA19" s="43" t="n">
        <f aca="false">IF(AND(Tasks[[#This Row],[_IsLeaf]]=1,Tasks[[#This Row],[_LeafTotalWork]]&gt;0),Tasks[[#This Row],[_LeafWork]]/(Tasks[[#This Row],[_FinishWorkday]]-Tasks[[#This Row],[_StartWorkday]]+1),0)</f>
        <v>0</v>
      </c>
      <c r="GB19" s="43" t="n">
        <f aca="false">Tasks[[#This Row],[_WorkPerWorkday]]*(Tasks[[#This Row],[_StartWorkday]]-1)</f>
        <v>-0</v>
      </c>
      <c r="GC19" s="43" t="n">
        <f aca="false">IF(Tasks[[#This Row],[_IsLeaf]]=1,MAX(N(Tasks[[#This Row],[_Days]]),0.1),0)</f>
        <v>0</v>
      </c>
      <c r="GD19" s="43" t="n">
        <f aca="false">Tasks[[#This Row],[_WeightDur]]*Tasks[[#This Row],[_LeafProgress]]</f>
        <v>0</v>
      </c>
      <c r="GE19" s="43" t="n">
        <f aca="false">Tasks[[#This Row],[_WeightDur]]*Tasks[[#This Row],[_PlannedPct]]</f>
        <v>0</v>
      </c>
      <c r="GF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3" t="str">
        <f aca="false">IF(AND(Tasks[[#This Row],[_IsLeaf]]=1,N(Tasks[[#This Row],[_Days]])=0,Tasks[[#This Row],[_LeafProgress]]&lt;1),Tasks[[#This Row],[_ShownFcstFinish]]+Tasks[[#This Row],[_Row]]/100000,"")</f>
        <v/>
      </c>
      <c r="GH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 s="43" t="str">
        <f aca="false">IF(Tasks[[#This Row],[Task Name]]="","",LEFT(Tasks[[#This Row],[WBS]],FIND(".",Tasks[[#This Row],[WBS]]&amp;".")-1))</f>
        <v/>
      </c>
      <c r="GJ19" s="43" t="str">
        <f aca="false">IF(AND(Tasks[[#This Row],[Task Name]]&lt;&gt;"",Tasks[[#This Row],[_Level]]=1),Tasks[[#This Row],[_Row]],"")</f>
        <v/>
      </c>
      <c r="GK19" s="43" t="str">
        <f aca="false">IF(AND(Tasks[[#This Row],[_IsLeaf]]=1,N(Tasks[[#This Row],[_Days]])=0),Tasks[[#This Row],[Planned Finish]]+Tasks[[#This Row],[_Row]]/100000,"")</f>
        <v/>
      </c>
      <c r="GL19" s="43" t="str">
        <f aca="false">IF(AND(Tasks[[#This Row],[_IsLeaf]]=1,Tasks[[#This Row],[_LeafProgress]]&lt;1,OR(N(Tasks[[#This Row],[Finish Var]])&gt;0,Tasks[[#This Row],[Status]]="Late Start")),MAX(0,Tasks[[#This Row],[Finish Var]])+1-Tasks[[#This Row],[_Row]]/1000000,"")</f>
        <v/>
      </c>
      <c r="GM19" s="43" t="str">
        <f aca="false">IF(AND(Tasks[[#This Row],[_IsLeaf]]=1,N(Tasks[[#This Row],[Actual Start]])=0,Tasks[[#This Row],[_ShownFcstStart]]&gt;=StatusDate,Tasks[[#This Row],[_ShownFcstStart]]&lt;=LookaheadEnd),Tasks[[#This Row],[_ShownFcstStart]]+Tasks[[#This Row],[_Row]]/100000,"")</f>
        <v/>
      </c>
      <c r="GN19" s="43" t="str">
        <f aca="false">IF(AND(Tasks[[#This Row],[_IsLeaf]]=1,Tasks[[#This Row],[_LeafProgress]]&lt;1,Tasks[[#This Row],[_ShownFcstFinish]]&gt;=StatusDate,Tasks[[#This Row],[_ShownFcstFinish]]&lt;=LookaheadEnd),Tasks[[#This Row],[_ShownFcstFinish]]+Tasks[[#This Row],[_Row]]/100000,"")</f>
        <v/>
      </c>
      <c r="GO19" s="43" t="str">
        <f aca="false">IF(Tasks[[#This Row],[_LeafCritical]],Tasks[[#This Row],[_ShownFcstStart]]+Tasks[[#This Row],[_Row]]/100000,"")</f>
        <v/>
      </c>
      <c r="GP19" s="43" t="n">
        <f aca="false">Tasks[[#This Row],[_LeafWork]]*Tasks[[#This Row],[_LeafProgress]]</f>
        <v>0</v>
      </c>
      <c r="GQ19" s="91" t="str">
        <f aca="false">IF(AND(Tasks[[#This Row],[_IsLeaf]]=1,Tasks[[#This Row],[_LeafProgress]]&gt;=1),IF(N(Tasks[[#This Row],[Actual Finish]])&gt;0,Tasks[[#This Row],[Actual Finish]],Tasks[[#This Row],[_ShownFcstFinish]]),"")</f>
        <v/>
      </c>
      <c r="GR19" s="43" t="n">
        <f aca="false">IF(Tasks[[#This Row],[_IsLeaf]]=1,N(Tasks[[#This Row],[Story Points]]),0)</f>
        <v>0</v>
      </c>
      <c r="GS19" s="43" t="str">
        <f aca="false">""</f>
        <v/>
      </c>
      <c r="GT19" s="90" t="b">
        <f aca="false">IF(Tasks[[#This Row],[Task Name]]="",FALSE(),AND(Tasks[[#This Row],[_IsLeaf]]=1,N(Tasks[[#This Row],[_Days]])=0))</f>
        <v>0</v>
      </c>
      <c r="GU19" s="91" t="n">
        <f aca="false">IF(Tasks[[#This Row],[Task Name]]="",0,IF(AND(Tasks[[#This Row],[_IsLeaf]]=1,NOT(Tasks[[#This Row],[_IsMilestone]]),N(Tasks[[#This Row],[Progress]])&gt;0),Tasks[[#This Row],[Start]],0))</f>
        <v>0</v>
      </c>
      <c r="GV19" s="91" t="n">
        <f aca="false">IF(Tasks[[#This Row],[_DoneFrom]]=0,0,IF(Tasks[[#This Row],[Progress]]&gt;=1,Tasks[[#This Row],[Finish]],MAX(Tasks[[#This Row],[_DoneFrom]],Tasks[[#This Row],[Start]]+ROUND((Tasks[[#This Row],[Finish]]-Tasks[[#This Row],[Start]]+1)*Tasks[[#This Row],[Progress]],0)-1)))</f>
        <v>0</v>
      </c>
      <c r="GW19" s="91" t="n">
        <f aca="false">IF(Tasks[[#This Row],[Task Name]]="",0,IF(OR(NOT(Tasks[[#This Row],[_IsLeaf]]=1),Tasks[[#This Row],[_IsMilestone]],N(Tasks[[#This Row],[Progress]])&gt;=1),0,IF(Tasks[[#This Row],[_DoneTo]]&gt;0,Tasks[[#This Row],[_DoneTo]]+1,Tasks[[#This Row],[Start]])))</f>
        <v>0</v>
      </c>
      <c r="GX19" s="91" t="n">
        <f aca="false">IF(Tasks[[#This Row],[_RemFrom]]=0,0,Tasks[[#This Row],[Finish]])</f>
        <v>0</v>
      </c>
      <c r="GY19" s="90" t="b">
        <f aca="false">IF(Tasks[[#This Row],[Task Name]]="",FALSE(),OR(NOT(BaselineSet),N(Tasks[[#This Row],[Baseline Start]])&gt;0))</f>
        <v>0</v>
      </c>
      <c r="GZ1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92" t="str">
        <f aca="false">IF(Tasks[[#This Row],[_IsLeaf]]=1,Tasks[[#This Row],[_Row]],"")</f>
        <v/>
      </c>
      <c r="HD19" s="92" t="str">
        <f aca="false">IFERROR(INDEX(Tasks[UID],SMALL(Tasks[_PickKey],Tasks[[#This Row],[_Row]]))&amp;" "&amp;INDEX(Tasks[Task Name],SMALL(Tasks[_PickKey],Tasks[[#This Row],[_Row]])),"")</f>
        <v/>
      </c>
      <c r="HE19" s="43" t="str">
        <f aca="false">IF(Tasks[[#This Row],[Task Name]]="","",IF(Tasks[[#This Row],[_IsSummary]],NETWORKDAYS.INTL(Tasks[[#This Row],[Start]],Tasks[[#This Row],[Finish]],WorkWeek,Holidays),N(Tasks[[#This Row],[_Days]])))</f>
        <v/>
      </c>
      <c r="HF19" s="43" t="n">
        <f aca="false">IF(Tasks[[#This Row],[Expected]]="",0,((Tasks[[#This Row],[Pessimistic]]-Tasks[[#This Row],[Optimistic]])/6)^2)</f>
        <v>0</v>
      </c>
      <c r="HG19" s="43" t="n">
        <f aca="false">IF(Tasks[[#This Row],[Expected]]="",0,Tasks[[#This Row],[Expected]]-N(Tasks[[#This Row],[_Days]]))</f>
        <v>0</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4"/>
      <c r="U20" s="23"/>
      <c r="V20" s="84"/>
      <c r="W20" s="23"/>
      <c r="X20" s="84"/>
      <c r="Y20" s="23"/>
      <c r="Z20" s="84"/>
      <c r="AA20" s="23"/>
      <c r="AB20" s="23"/>
      <c r="AC20" s="7"/>
      <c r="AD20" s="7"/>
      <c r="AE20" s="63" t="str">
        <f aca="false">IF(Tasks[[#This Row],[Task Name]]="","",IF(Tasks[[#This Row],[_IsSummary]],MIN(INDEX(Tasks[_ShownFcstStart],Tasks[[#This Row],[_Row]]+1):INDEX(Tasks[_ShownFcstStart],Tasks[[#This Row],[_Row]]+Tasks[[#This Row],[_Descendants]])),Tasks[[#This Row],[_ShownFcstStart]]))</f>
        <v/>
      </c>
      <c r="AF20" s="63"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 s="7"/>
      <c r="AK20" s="22"/>
      <c r="AL20" s="23"/>
      <c r="AM20" s="7"/>
      <c r="AN20" s="47"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3" t="str">
        <f aca="false">IF(Tasks[[#This Row],[Task Name]]="","",IF(N(Tasks[[#This Row],[Baseline Start]])&gt;0,Tasks[[#This Row],[Baseline Start]],Tasks[[#This Row],[_CalcStart]]))</f>
        <v/>
      </c>
      <c r="AR20" s="63" t="str">
        <f aca="false">IF(Tasks[[#This Row],[Task Name]]="","",IF(N(Tasks[[#This Row],[Baseline Finish]])&gt;0,Tasks[[#This Row],[Baseline Finish]],Tasks[[#This Row],[_CalcFinish]]))</f>
        <v/>
      </c>
      <c r="AS20" s="47" t="str">
        <f aca="false">IF(Tasks[[#This Row],[Task Name]]="","",IF(Tasks[[#This Row],[Start]]&gt;=Tasks[[#This Row],[Planned Start]],NETWORKDAYS.INTL(Tasks[[#This Row],[Planned Start]],Tasks[[#This Row],[Start]],WorkWeek,Holidays)-1,1-NETWORKDAYS.INTL(Tasks[[#This Row],[Start]],Tasks[[#This Row],[Planned Start]],WorkWeek,Holidays)))</f>
        <v/>
      </c>
      <c r="AT20" s="63" t="str">
        <f aca="false">IF(Tasks[[#This Row],[Task Name]]="","",IF(Tasks[[#This Row],[_IsSummary]],MIN(INDEX(Tasks[_LeafLateStart],Tasks[[#This Row],[_Row]]+1):INDEX(Tasks[_LeafLateStart],Tasks[[#This Row],[_Row]]+Tasks[[#This Row],[_Descendants]])),Tasks[[#This Row],[_LeafLateStart]]))</f>
        <v/>
      </c>
      <c r="AU20" s="63" t="str">
        <f aca="false">IF(Tasks[[#This Row],[Task Name]]="","",IF(Tasks[[#This Row],[_IsSummary]],MAX(INDEX(Tasks[_LeafLateFinish],Tasks[[#This Row],[_Row]]+1):INDEX(Tasks[_LeafLateFinish],Tasks[[#This Row],[_Row]]+Tasks[[#This Row],[_Descendants]])),Tasks[[#This Row],[_LeafLateFinish]]))</f>
        <v/>
      </c>
      <c r="AV20" s="47"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5"/>
      <c r="BA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6"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7"/>
      <c r="BJ20" s="22"/>
      <c r="BK20" s="47" t="str">
        <f aca="false">IF(OR(Tasks[[#This Row],[Task Name]]="",Tasks[[#This Row],[Baseline Duration]]=""),"",Tasks[[#This Row],[_SpanDays]]-N(Tasks[[#This Row],[Baseline Duration]]))</f>
        <v/>
      </c>
      <c r="BL20" s="86" t="str">
        <f aca="false">IF(OR(Tasks[[#This Row],[Task Name]]="",Tasks[[#This Row],[Baseline Work]]=""),"",Tasks[[#This Row],[Work]]-N(Tasks[[#This Row],[Baseline Work]]))</f>
        <v/>
      </c>
      <c r="BM20" s="63" t="str">
        <f aca="false">IF(Tasks[[#This Row],[Task Name]]="","",IF(OR(TakeBaseline="Yes",N(Tasks[[#This Row],[Baseline Start]])=0),Tasks[[#This Row],[Start]],Tasks[[#This Row],[Baseline Start]]))</f>
        <v/>
      </c>
      <c r="BN20" s="63" t="str">
        <f aca="false">IF(Tasks[[#This Row],[Task Name]]="","",IF(OR(TakeBaseline="Yes",N(Tasks[[#This Row],[Baseline Finish]])=0),Tasks[[#This Row],[Finish]],Tasks[[#This Row],[Baseline Finish]]))</f>
        <v/>
      </c>
      <c r="BO20" s="21" t="str">
        <f aca="false">IF(Tasks[[#This Row],[Task Name]]="","",IF(OR(TakeBaseline="Yes",N(Tasks[[#This Row],[Baseline Duration]])=0),Tasks[[#This Row],[_SpanDays]],Tasks[[#This Row],[Baseline Duration]]))</f>
        <v/>
      </c>
      <c r="BP20" s="86" t="str">
        <f aca="false">IF(Tasks[[#This Row],[Task Name]]="","",IF(OR(TakeBaseline="Yes",N(Tasks[[#This Row],[Baseline Work]])=0),Tasks[[#This Row],[Work]],Tasks[[#This Row],[Baseline Work]]))</f>
        <v/>
      </c>
      <c r="BQ20" s="7"/>
      <c r="BR20" s="7"/>
      <c r="BS20" s="22"/>
      <c r="BT20" s="88"/>
      <c r="BU20" s="23"/>
      <c r="BV20" s="23"/>
      <c r="BW20" s="23"/>
      <c r="BX20" s="89" t="str">
        <f aca="false">IF(AND(Tasks[[#This Row],[_IsLeaf]]=1,ISNUMBER(Tasks[[#This Row],[Optimistic]]),ISNUMBER(Tasks[[#This Row],[Pessimistic]])),ROUND((Tasks[[#This Row],[Optimistic]]+4*N(Tasks[[#This Row],[_Days]])+Tasks[[#This Row],[Pessimistic]])/6,1),"")</f>
        <v/>
      </c>
      <c r="BY20" s="87"/>
      <c r="BZ20" s="87"/>
      <c r="CA20" s="22"/>
      <c r="CB20" s="43" t="str">
        <f aca="false">IF(Tasks[[#This Row],[Task Name]]="","",MAX(1,N(Tasks[[#This Row],[Level]])))</f>
        <v/>
      </c>
      <c r="CC20" s="43" t="n">
        <f aca="false">ROW()-ROW(Tasks[[#Headers],[ID]])</f>
        <v>15</v>
      </c>
      <c r="CD20" s="43" t="n">
        <f aca="false">IF(OR(Tasks[[#This Row],[Task Name]]="",Tasks[[#This Row],[_Level]]&lt;=1),0,IFERROR(LOOKUP(2,1/(Tasks[[#Headers],[_Level]]:Tasks[[#This Row],[_Level]]=Tasks[[#This Row],[_Level]]-1),ROW(Tasks[[#Headers],[_Level]]:Tasks[[#This Row],[_Level]])),0))</f>
        <v>0</v>
      </c>
      <c r="CE20" s="43" t="n">
        <f aca="false">IFERROR(N(INDEX(Tasks[_Level],Tasks[[#This Row],[_Row]]+1)),0)</f>
        <v>0</v>
      </c>
      <c r="CF20" s="90" t="b">
        <f aca="false">AND(Tasks[[#This Row],[Task Name]]&lt;&gt;"",Tasks[[#This Row],[_NextLevel]]&gt;Tasks[[#This Row],[_Level]])</f>
        <v>0</v>
      </c>
      <c r="CG20" s="43" t="n">
        <f aca="false">IF(Tasks[[#This Row],[_IsSummary]],COUNTIF(Tasks[WBS],Tasks[[#This Row],[WBS]]&amp;".*"),0)</f>
        <v>0</v>
      </c>
      <c r="CH20" s="43" t="n">
        <f aca="false">IF(AND(Tasks[[#This Row],[Task Name]]&lt;&gt;"",NOT(Tasks[[#This Row],[_IsSummary]])),1,0)</f>
        <v>0</v>
      </c>
      <c r="CI20" s="43" t="n">
        <f aca="false">IF(N(Tasks[[#This Row],[_Pred1UID]])=0,0,IFERROR(MATCH(Tasks[[#This Row],[_Pred1UID]],Tasks[UID],0),-1))</f>
        <v>0</v>
      </c>
      <c r="CJ20" s="43" t="n">
        <f aca="false">IF(N(Tasks[[#This Row],[_Pred2UID]])=0,0,IFERROR(MATCH(Tasks[[#This Row],[_Pred2UID]],Tasks[UID],0),-1))</f>
        <v>0</v>
      </c>
      <c r="CK20" s="43" t="n">
        <f aca="false">IF(N(Tasks[[#This Row],[_Pred3UID]])=0,0,IFERROR(MATCH(Tasks[[#This Row],[_Pred3UID]],Tasks[UID],0),-1))</f>
        <v>0</v>
      </c>
      <c r="CL20" s="43" t="n">
        <f aca="false">IF(N(Tasks[[#This Row],[_Pred4UID]])=0,0,IFERROR(MATCH(Tasks[[#This Row],[_Pred4UID]],Tasks[UID],0),-1))</f>
        <v>0</v>
      </c>
      <c r="CM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 s="91" t="n">
        <f aca="false">IF(OR(Tasks[[#This Row],[_ConstraintCode]]=2,Tasks[[#This Row],[_ConstraintCode]]=3,Tasks[[#This Row],[_ConstraintCode]]=4,Tasks[[#This Row],[_ConstraintCode]]=6),Tasks[[#This Row],[_ConstraintStart]],0)</f>
        <v>0</v>
      </c>
      <c r="CP20" s="91" t="n">
        <f aca="false">IF(OR(Tasks[[#This Row],[_ConstraintCode]]=2,Tasks[[#This Row],[_ConstraintCode]]=3,Tasks[[#This Row],[_ConstraintCode]]=5,Tasks[[#This Row],[_ConstraintCode]]=7),Tasks[[#This Row],[_ConstraintStart]],2958465)</f>
        <v>2958465</v>
      </c>
      <c r="CQ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91" t="str">
        <f aca="false">IF(NOT(Tasks[[#This Row],[_IsLeaf]]=1),"",IF(N(Tasks[[#This Row],[_Days]])&lt;=0,Tasks[[#This Row],[_LeafCalcStart]],WORKDAY.INTL(Tasks[[#This Row],[_LeafCalcStart]],Tasks[[#This Row],[_Days]]-1,WorkWeek,Holidays)))</f>
        <v/>
      </c>
      <c r="CS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3" t="str">
        <f aca="false">IF(Tasks[[#This Row],[_Predecessors]]="","",TRIM(MID(SUBSTITUTE(SUBSTITUTE(SUBSTITUTE(UPPER(Tasks[[#This Row],[_Predecessors]]),";",",")," ",""),",",REPT(" ",99)),1,99)))</f>
        <v/>
      </c>
      <c r="CV20" s="43" t="str">
        <f aca="false">IF(Tasks[[#This Row],[_Pred1Text]]="","",IFERROR(VALUE(LEFT(Tasks[[#This Row],[_Pred1Text]],MIN(FIND("F",Tasks[[#This Row],[_Pred1Text]]&amp;"F"),FIND("S",Tasks[[#This Row],[_Pred1Text]]&amp;"S"),FIND("+",Tasks[[#This Row],[_Pred1Text]]&amp;"+"),FIND("-",Tasks[[#This Row],[_Pred1Text]]&amp;"-"))-1)),""))</f>
        <v/>
      </c>
      <c r="CW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3" t="str">
        <f aca="false">IF(Tasks[[#This Row],[_Pred1Text]]="","",TRIM(MID(SUBSTITUTE(SUBSTITUTE(SUBSTITUTE(UPPER(Tasks[[#This Row],[_Predecessors]]),";",",")," ",""),",",REPT(" ",99)),100,99)))</f>
        <v/>
      </c>
      <c r="CZ20" s="43" t="str">
        <f aca="false">IF(Tasks[[#This Row],[_Pred2Text]]="","",IFERROR(VALUE(LEFT(Tasks[[#This Row],[_Pred2Text]],MIN(FIND("F",Tasks[[#This Row],[_Pred2Text]]&amp;"F"),FIND("S",Tasks[[#This Row],[_Pred2Text]]&amp;"S"),FIND("+",Tasks[[#This Row],[_Pred2Text]]&amp;"+"),FIND("-",Tasks[[#This Row],[_Pred2Text]]&amp;"-"))-1)),""))</f>
        <v/>
      </c>
      <c r="DA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3" t="str">
        <f aca="false">IF(Tasks[[#This Row],[_Pred2Text]]="","",TRIM(MID(SUBSTITUTE(SUBSTITUTE(SUBSTITUTE(UPPER(Tasks[[#This Row],[_Predecessors]]),";",",")," ",""),",",REPT(" ",99)),199,99)))</f>
        <v/>
      </c>
      <c r="DD20" s="43" t="str">
        <f aca="false">IF(Tasks[[#This Row],[_Pred3Text]]="","",IFERROR(VALUE(LEFT(Tasks[[#This Row],[_Pred3Text]],MIN(FIND("F",Tasks[[#This Row],[_Pred3Text]]&amp;"F"),FIND("S",Tasks[[#This Row],[_Pred3Text]]&amp;"S"),FIND("+",Tasks[[#This Row],[_Pred3Text]]&amp;"+"),FIND("-",Tasks[[#This Row],[_Pred3Text]]&amp;"-"))-1)),""))</f>
        <v/>
      </c>
      <c r="DE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3" t="str">
        <f aca="false">IF(Tasks[[#This Row],[_Pred3Text]]="","",TRIM(MID(SUBSTITUTE(SUBSTITUTE(SUBSTITUTE(UPPER(Tasks[[#This Row],[_Predecessors]]),";",",")," ",""),",",REPT(" ",99)),298,99)))</f>
        <v/>
      </c>
      <c r="DH20" s="43" t="str">
        <f aca="false">IF(Tasks[[#This Row],[_Pred4Text]]="","",IFERROR(VALUE(LEFT(Tasks[[#This Row],[_Pred4Text]],MIN(FIND("F",Tasks[[#This Row],[_Pred4Text]]&amp;"F"),FIND("S",Tasks[[#This Row],[_Pred4Text]]&amp;"S"),FIND("+",Tasks[[#This Row],[_Pred4Text]]&amp;"+"),FIND("-",Tasks[[#This Row],[_Pred4Text]]&amp;"-"))-1)),""))</f>
        <v/>
      </c>
      <c r="DI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3" t="str">
        <f aca="false">IF(OR(Tasks[[#This Row],[Task Name]]="",Tasks[[#This Row],[_Resources]]=""),"",TRIM(MID(SUBSTITUTE(Tasks[[#This Row],[_Resources]],",",REPT(" ",99)),1,99)))</f>
        <v/>
      </c>
      <c r="DL20" s="43" t="str">
        <f aca="false">IF(Tasks[[#This Row],[_Res1Text]]="","",TRIM(MID(SUBSTITUTE(Tasks[[#This Row],[_Resources]],",",REPT(" ",99)),100,99)))</f>
        <v/>
      </c>
      <c r="DM20" s="43" t="str">
        <f aca="false">IF(Tasks[[#This Row],[_Res2Text]]="","",TRIM(MID(SUBSTITUTE(Tasks[[#This Row],[_Resources]],",",REPT(" ",99)),199,99)))</f>
        <v/>
      </c>
      <c r="DN20" s="43" t="str">
        <f aca="false">IF(Tasks[[#This Row],[_Res3Text]]="","",TRIM(MID(SUBSTITUTE(Tasks[[#This Row],[_Resources]],",",REPT(" ",99)),298,99)))</f>
        <v/>
      </c>
      <c r="DO20" s="43" t="n">
        <f aca="false">IF(Tasks[[#This Row],[_Res1Text]]="",0,IFERROR(MATCH(TRIM(LEFT(Tasks[[#This Row],[_Res1Text]],FIND("[",Tasks[[#This Row],[_Res1Text]]&amp;"[")-1)),res_Name,0),IFERROR(MATCH(TRIM(LEFT(Tasks[[#This Row],[_Res1Text]],FIND("[",Tasks[[#This Row],[_Res1Text]]&amp;"[")-1)),res_Initials,0),0)))</f>
        <v>0</v>
      </c>
      <c r="DP20" s="43" t="n">
        <f aca="false">IF(Tasks[[#This Row],[_Res2Text]]="",0,IFERROR(MATCH(TRIM(LEFT(Tasks[[#This Row],[_Res2Text]],FIND("[",Tasks[[#This Row],[_Res2Text]]&amp;"[")-1)),res_Name,0),IFERROR(MATCH(TRIM(LEFT(Tasks[[#This Row],[_Res2Text]],FIND("[",Tasks[[#This Row],[_Res2Text]]&amp;"[")-1)),res_Initials,0),0)))</f>
        <v>0</v>
      </c>
      <c r="DQ20" s="43" t="n">
        <f aca="false">IF(Tasks[[#This Row],[_Res3Text]]="",0,IFERROR(MATCH(TRIM(LEFT(Tasks[[#This Row],[_Res3Text]],FIND("[",Tasks[[#This Row],[_Res3Text]]&amp;"[")-1)),res_Name,0),IFERROR(MATCH(TRIM(LEFT(Tasks[[#This Row],[_Res3Text]],FIND("[",Tasks[[#This Row],[_Res3Text]]&amp;"[")-1)),res_Initials,0),0)))</f>
        <v>0</v>
      </c>
      <c r="DR20" s="43" t="n">
        <f aca="false">IF(Tasks[[#This Row],[_Res4Text]]="",0,IFERROR(MATCH(TRIM(LEFT(Tasks[[#This Row],[_Res4Text]],FIND("[",Tasks[[#This Row],[_Res4Text]]&amp;"[")-1)),res_Name,0),IFERROR(MATCH(TRIM(LEFT(Tasks[[#This Row],[_Res4Text]],FIND("[",Tasks[[#This Row],[_Res4Text]]&amp;"[")-1)),res_Initials,0),0)))</f>
        <v>0</v>
      </c>
      <c r="DS20" s="43" t="str">
        <f aca="false">IF(Tasks[[#This Row],[_Res1Text]]="","",IF(Tasks[[#This Row],[_Res1Row]]&gt;0,INDEX(res_Name,Tasks[[#This Row],[_Res1Row]]),TRIM(LEFT(Tasks[[#This Row],[_Res1Text]],FIND("[",Tasks[[#This Row],[_Res1Text]]&amp;"[")-1))))</f>
        <v/>
      </c>
      <c r="DT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3" t="n">
        <f aca="false">IF(NOT(Tasks[[#This Row],[_IsLeaf]]=1),0,(Tasks[[#This Row],[_Resource1]]&lt;&gt;"")+(Tasks[[#This Row],[_Res2]]&lt;&gt;"")+(Tasks[[#This Row],[_Res3]]&lt;&gt;"")+(Tasks[[#This Row],[_Res4]]&lt;&gt;""))</f>
        <v>0</v>
      </c>
      <c r="DV20" s="43" t="str">
        <f aca="false">IF(Tasks[[#This Row],[_Res2Text]]="","",IF(Tasks[[#This Row],[_Res2Row]]&gt;0,INDEX(res_Name,Tasks[[#This Row],[_Res2Row]]),TRIM(LEFT(Tasks[[#This Row],[_Res2Text]],FIND("[",Tasks[[#This Row],[_Res2Text]]&amp;"[")-1))))</f>
        <v/>
      </c>
      <c r="DW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3" t="n">
        <f aca="false">IF(OR(NOT(Tasks[[#This Row],[_IsLeaf]]=1),Tasks[[#This Row],[_Res2Row]]=0),0,N(Tasks[[#This Row],[_Days]])*HoursPerDay*IF(Tasks[[#This Row],[_Res2Units]]="",DefaultUnits,Tasks[[#This Row],[_Res2Units]]))</f>
        <v>0</v>
      </c>
      <c r="DY20" s="43" t="n">
        <f aca="false">IF(AND(AND(Tasks[[#This Row],[_IsLeaf]]=1,Tasks[[#This Row],[_LeafTotalWork]]&gt;0),Tasks[[#This Row],[_Res2Work]]&gt;0),Tasks[[#This Row],[_Res2Work]]/(Tasks[[#This Row],[_FinishWorkday]]-Tasks[[#This Row],[_StartWorkday]]+1),0)</f>
        <v>0</v>
      </c>
      <c r="DZ20" s="43" t="n">
        <f aca="false">Tasks[[#This Row],[_Res2WorkPerWD]]*MAX(0,Tasks[[#This Row],[_StartWorkday]]-1)</f>
        <v>0</v>
      </c>
      <c r="EA20" s="43" t="n">
        <f aca="false">Tasks[[#This Row],[_Res2Work]]*Tasks[[#This Row],[_LeafProgress]]</f>
        <v>0</v>
      </c>
      <c r="EB20" s="43" t="str">
        <f aca="false">IF(Tasks[[#This Row],[_Res3Text]]="","",IF(Tasks[[#This Row],[_Res3Row]]&gt;0,INDEX(res_Name,Tasks[[#This Row],[_Res3Row]]),TRIM(LEFT(Tasks[[#This Row],[_Res3Text]],FIND("[",Tasks[[#This Row],[_Res3Text]]&amp;"[")-1))))</f>
        <v/>
      </c>
      <c r="EC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3" t="n">
        <f aca="false">IF(OR(NOT(Tasks[[#This Row],[_IsLeaf]]=1),Tasks[[#This Row],[_Res3Row]]=0),0,N(Tasks[[#This Row],[_Days]])*HoursPerDay*IF(Tasks[[#This Row],[_Res3Units]]="",DefaultUnits,Tasks[[#This Row],[_Res3Units]]))</f>
        <v>0</v>
      </c>
      <c r="EE20" s="43" t="n">
        <f aca="false">IF(AND(AND(Tasks[[#This Row],[_IsLeaf]]=1,Tasks[[#This Row],[_LeafTotalWork]]&gt;0),Tasks[[#This Row],[_Res3Work]]&gt;0),Tasks[[#This Row],[_Res3Work]]/(Tasks[[#This Row],[_FinishWorkday]]-Tasks[[#This Row],[_StartWorkday]]+1),0)</f>
        <v>0</v>
      </c>
      <c r="EF20" s="43" t="n">
        <f aca="false">Tasks[[#This Row],[_Res3WorkPerWD]]*MAX(0,Tasks[[#This Row],[_StartWorkday]]-1)</f>
        <v>0</v>
      </c>
      <c r="EG20" s="43" t="n">
        <f aca="false">Tasks[[#This Row],[_Res3Work]]*Tasks[[#This Row],[_LeafProgress]]</f>
        <v>0</v>
      </c>
      <c r="EH20" s="43" t="str">
        <f aca="false">IF(Tasks[[#This Row],[_Res4Text]]="","",IF(Tasks[[#This Row],[_Res4Row]]&gt;0,INDEX(res_Name,Tasks[[#This Row],[_Res4Row]]),TRIM(LEFT(Tasks[[#This Row],[_Res4Text]],FIND("[",Tasks[[#This Row],[_Res4Text]]&amp;"[")-1))))</f>
        <v/>
      </c>
      <c r="EI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3" t="n">
        <f aca="false">IF(OR(NOT(Tasks[[#This Row],[_IsLeaf]]=1),Tasks[[#This Row],[_Res4Row]]=0),0,N(Tasks[[#This Row],[_Days]])*HoursPerDay*IF(Tasks[[#This Row],[_Res4Units]]="",DefaultUnits,Tasks[[#This Row],[_Res4Units]]))</f>
        <v>0</v>
      </c>
      <c r="EK20" s="43" t="n">
        <f aca="false">IF(AND(AND(Tasks[[#This Row],[_IsLeaf]]=1,Tasks[[#This Row],[_LeafTotalWork]]&gt;0),Tasks[[#This Row],[_Res4Work]]&gt;0),Tasks[[#This Row],[_Res4Work]]/(Tasks[[#This Row],[_FinishWorkday]]-Tasks[[#This Row],[_StartWorkday]]+1),0)</f>
        <v>0</v>
      </c>
      <c r="EL20" s="43" t="n">
        <f aca="false">Tasks[[#This Row],[_Res4WorkPerWD]]*MAX(0,Tasks[[#This Row],[_StartWorkday]]-1)</f>
        <v>0</v>
      </c>
      <c r="EM20" s="43" t="n">
        <f aca="false">Tasks[[#This Row],[_Res4Work]]*Tasks[[#This Row],[_LeafProgress]]</f>
        <v>0</v>
      </c>
      <c r="EN20" s="43" t="n">
        <f aca="false">IF(ISNUMBER(Tasks[[#This Row],[% Complete]]),Tasks[[#This Row],[% Complete]],IF(Tasks[[#This Row],[Stage]]="",0,IFERROR(INDEX(stg_Pct,MATCH(Tasks[[#This Row],[Stage]],stg_Name,0)),0)))</f>
        <v>0</v>
      </c>
      <c r="EO20" s="43" t="n">
        <f aca="false">IF(NOT(Tasks[[#This Row],[_IsLeaf]]=1),0,IF(N(Tasks[[#This Row],[Actual Finish]])&gt;0,1,MIN(1,Tasks[[#This Row],[_Pct]])))</f>
        <v>0</v>
      </c>
      <c r="EP20" s="43" t="n">
        <f aca="false">IF(OR(NOT(Tasks[[#This Row],[_IsLeaf]]=1),Tasks[[#This Row],[_Res1Row]]=0),0,N(Tasks[[#This Row],[_Days]])*HoursPerDay*IF(Tasks[[#This Row],[_Units1]]="",DefaultUnits,Tasks[[#This Row],[_Units1]]))</f>
        <v>0</v>
      </c>
      <c r="EQ20" s="43" t="n">
        <f aca="false">Tasks[[#This Row],[_LeafWork]]+Tasks[[#This Row],[_Res2Work]]+Tasks[[#This Row],[_Res3Work]]+Tasks[[#This Row],[_Res4Work]]</f>
        <v>0</v>
      </c>
      <c r="ER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3" t="n">
        <f aca="false">IF(NOT(Tasks[[#This Row],[_IsLeaf]]=1),0,MAX(_xlfn.MAXIFS(Tasks[_Row],Tasks[_Pred1UID],Tasks[[#This Row],[UID]]),_xlfn.MAXIFS(Tasks[_Row],Tasks[_Pred2UID],Tasks[[#This Row],[UID]]),_xlfn.MAXIFS(Tasks[_Row],Tasks[_Pred3UID],Tasks[[#This Row],[UID]]),_xlfn.MAXIFS(Tasks[_Row],Tasks[_Pred4UID],Tasks[[#This Row],[UID]])))</f>
        <v>0</v>
      </c>
      <c r="FA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91" t="str">
        <f aca="false">IF(NOT(Tasks[[#This Row],[_IsLeaf]]=1),"",IF(N(Tasks[[#This Row],[_Days]])&lt;=0,Tasks[[#This Row],[_LeafLateFinish]],WORKDAY.INTL(Tasks[[#This Row],[_LeafLateFinish]],-(Tasks[[#This Row],[_Days]]-1),WorkWeek,Holidays)))</f>
        <v/>
      </c>
      <c r="FD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 s="90" t="b">
        <f aca="false">AND(Tasks[[#This Row],[_IsLeaf]]=1,Tasks[[#This Row],[_LeafProgress]]&lt;1,N(Tasks[[#This Row],[_LeafTotalSlack]])&lt;=CriticalSlackDays)</f>
        <v>0</v>
      </c>
      <c r="FF20" s="43" t="n">
        <f aca="false">IF(AND(Tasks[[#This Row],[_IsLeaf]]=1,Tasks[[#This Row],[_ConstraintCode]]=1,Tasks[[#This Row],[Mode]]&lt;&gt;"Manual",N(Tasks[[#This Row],[Actual Start]])=0),MAX(0,N(Tasks[[#This Row],[Free Slack]])),0)</f>
        <v>0</v>
      </c>
      <c r="FG20" s="91" t="str">
        <f aca="false">IF(NOT(Tasks[[#This Row],[_IsLeaf]]=1),"",IF(Tasks[[#This Row],[_AlapShift]]=0,Tasks[[#This Row],[_LeafCalcStart]],WORKDAY.INTL(Tasks[[#This Row],[_LeafCalcStart]],Tasks[[#This Row],[_AlapShift]],WorkWeek,Holidays)))</f>
        <v/>
      </c>
      <c r="FH20" s="91" t="str">
        <f aca="false">IF(NOT(Tasks[[#This Row],[_IsLeaf]]=1),"",IF(Tasks[[#This Row],[_AlapShift]]=0,Tasks[[#This Row],[_LeafCalcFinish]],WORKDAY.INTL(Tasks[[#This Row],[_LeafCalcFinish]],Tasks[[#This Row],[_AlapShift]],WorkWeek,Holidays)))</f>
        <v/>
      </c>
      <c r="FI20" s="91" t="str">
        <f aca="false">IF(NOT(Tasks[[#This Row],[_IsLeaf]]=1),"",IF(Tasks[[#This Row],[_AlapShift]]=0,Tasks[[#This Row],[_LeafFcstStart]],WORKDAY.INTL(Tasks[[#This Row],[_LeafFcstStart]],Tasks[[#This Row],[_AlapShift]],WorkWeek,Holidays)))</f>
        <v/>
      </c>
      <c r="FJ20" s="91" t="str">
        <f aca="false">IF(NOT(Tasks[[#This Row],[_IsLeaf]]=1),"",IF(Tasks[[#This Row],[_AlapShift]]=0,Tasks[[#This Row],[_LeafFcstFinish]],WORKDAY.INTL(Tasks[[#This Row],[_LeafFcstFinish]],Tasks[[#This Row],[_AlapShift]],WorkWeek,Holidays)))</f>
        <v/>
      </c>
      <c r="FK20" s="91" t="str">
        <f aca="false">IF(Tasks[[#This Row],[Task Name]]="","",IF(Tasks[[#This Row],[_IsSummary]],MIN(INDEX(Tasks[_ShownCalcStart],Tasks[[#This Row],[_Row]]+1):INDEX(Tasks[_ShownCalcStart],Tasks[[#This Row],[_Row]]+Tasks[[#This Row],[_Descendants]])),Tasks[[#This Row],[_ShownCalcStart]]))</f>
        <v/>
      </c>
      <c r="FL20" s="91" t="str">
        <f aca="false">IF(Tasks[[#This Row],[Task Name]]="","",IF(Tasks[[#This Row],[_IsSummary]],MAX(INDEX(Tasks[_ShownCalcFinish],Tasks[[#This Row],[_Row]]+1):INDEX(Tasks[_ShownCalcFinish],Tasks[[#This Row],[_Row]]+Tasks[[#This Row],[_Descendants]])),Tasks[[#This Row],[_ShownCalcFinish]]))</f>
        <v/>
      </c>
      <c r="FM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 s="43" t="n">
        <f aca="false">IF(AND(Tasks[[#This Row],[_IsLeaf]]=1,Tasks[[#This Row],[_LeafTotalWork]]&gt;0),NETWORKDAYS.INTL(ProjectStart,Tasks[[#This Row],[_ShownFcstStart]],WorkWeek,Holidays),0)</f>
        <v>0</v>
      </c>
      <c r="FZ20" s="43" t="n">
        <f aca="false">IF(AND(Tasks[[#This Row],[_IsLeaf]]=1,Tasks[[#This Row],[_LeafTotalWork]]&gt;0),MAX(Tasks[[#This Row],[_StartWorkday]],NETWORKDAYS.INTL(ProjectStart,Tasks[[#This Row],[_ShownFcstFinish]],WorkWeek,Holidays)),0)</f>
        <v>0</v>
      </c>
      <c r="GA20" s="43" t="n">
        <f aca="false">IF(AND(Tasks[[#This Row],[_IsLeaf]]=1,Tasks[[#This Row],[_LeafTotalWork]]&gt;0),Tasks[[#This Row],[_LeafWork]]/(Tasks[[#This Row],[_FinishWorkday]]-Tasks[[#This Row],[_StartWorkday]]+1),0)</f>
        <v>0</v>
      </c>
      <c r="GB20" s="43" t="n">
        <f aca="false">Tasks[[#This Row],[_WorkPerWorkday]]*(Tasks[[#This Row],[_StartWorkday]]-1)</f>
        <v>-0</v>
      </c>
      <c r="GC20" s="43" t="n">
        <f aca="false">IF(Tasks[[#This Row],[_IsLeaf]]=1,MAX(N(Tasks[[#This Row],[_Days]]),0.1),0)</f>
        <v>0</v>
      </c>
      <c r="GD20" s="43" t="n">
        <f aca="false">Tasks[[#This Row],[_WeightDur]]*Tasks[[#This Row],[_LeafProgress]]</f>
        <v>0</v>
      </c>
      <c r="GE20" s="43" t="n">
        <f aca="false">Tasks[[#This Row],[_WeightDur]]*Tasks[[#This Row],[_PlannedPct]]</f>
        <v>0</v>
      </c>
      <c r="GF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3" t="str">
        <f aca="false">IF(AND(Tasks[[#This Row],[_IsLeaf]]=1,N(Tasks[[#This Row],[_Days]])=0,Tasks[[#This Row],[_LeafProgress]]&lt;1),Tasks[[#This Row],[_ShownFcstFinish]]+Tasks[[#This Row],[_Row]]/100000,"")</f>
        <v/>
      </c>
      <c r="GH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 s="43" t="str">
        <f aca="false">IF(Tasks[[#This Row],[Task Name]]="","",LEFT(Tasks[[#This Row],[WBS]],FIND(".",Tasks[[#This Row],[WBS]]&amp;".")-1))</f>
        <v/>
      </c>
      <c r="GJ20" s="43" t="str">
        <f aca="false">IF(AND(Tasks[[#This Row],[Task Name]]&lt;&gt;"",Tasks[[#This Row],[_Level]]=1),Tasks[[#This Row],[_Row]],"")</f>
        <v/>
      </c>
      <c r="GK20" s="43" t="str">
        <f aca="false">IF(AND(Tasks[[#This Row],[_IsLeaf]]=1,N(Tasks[[#This Row],[_Days]])=0),Tasks[[#This Row],[Planned Finish]]+Tasks[[#This Row],[_Row]]/100000,"")</f>
        <v/>
      </c>
      <c r="GL20" s="43" t="str">
        <f aca="false">IF(AND(Tasks[[#This Row],[_IsLeaf]]=1,Tasks[[#This Row],[_LeafProgress]]&lt;1,OR(N(Tasks[[#This Row],[Finish Var]])&gt;0,Tasks[[#This Row],[Status]]="Late Start")),MAX(0,Tasks[[#This Row],[Finish Var]])+1-Tasks[[#This Row],[_Row]]/1000000,"")</f>
        <v/>
      </c>
      <c r="GM20" s="43" t="str">
        <f aca="false">IF(AND(Tasks[[#This Row],[_IsLeaf]]=1,N(Tasks[[#This Row],[Actual Start]])=0,Tasks[[#This Row],[_ShownFcstStart]]&gt;=StatusDate,Tasks[[#This Row],[_ShownFcstStart]]&lt;=LookaheadEnd),Tasks[[#This Row],[_ShownFcstStart]]+Tasks[[#This Row],[_Row]]/100000,"")</f>
        <v/>
      </c>
      <c r="GN20" s="43" t="str">
        <f aca="false">IF(AND(Tasks[[#This Row],[_IsLeaf]]=1,Tasks[[#This Row],[_LeafProgress]]&lt;1,Tasks[[#This Row],[_ShownFcstFinish]]&gt;=StatusDate,Tasks[[#This Row],[_ShownFcstFinish]]&lt;=LookaheadEnd),Tasks[[#This Row],[_ShownFcstFinish]]+Tasks[[#This Row],[_Row]]/100000,"")</f>
        <v/>
      </c>
      <c r="GO20" s="43" t="str">
        <f aca="false">IF(Tasks[[#This Row],[_LeafCritical]],Tasks[[#This Row],[_ShownFcstStart]]+Tasks[[#This Row],[_Row]]/100000,"")</f>
        <v/>
      </c>
      <c r="GP20" s="43" t="n">
        <f aca="false">Tasks[[#This Row],[_LeafWork]]*Tasks[[#This Row],[_LeafProgress]]</f>
        <v>0</v>
      </c>
      <c r="GQ20" s="91" t="str">
        <f aca="false">IF(AND(Tasks[[#This Row],[_IsLeaf]]=1,Tasks[[#This Row],[_LeafProgress]]&gt;=1),IF(N(Tasks[[#This Row],[Actual Finish]])&gt;0,Tasks[[#This Row],[Actual Finish]],Tasks[[#This Row],[_ShownFcstFinish]]),"")</f>
        <v/>
      </c>
      <c r="GR20" s="43" t="n">
        <f aca="false">IF(Tasks[[#This Row],[_IsLeaf]]=1,N(Tasks[[#This Row],[Story Points]]),0)</f>
        <v>0</v>
      </c>
      <c r="GS20" s="43" t="str">
        <f aca="false">""</f>
        <v/>
      </c>
      <c r="GT20" s="90" t="b">
        <f aca="false">IF(Tasks[[#This Row],[Task Name]]="",FALSE(),AND(Tasks[[#This Row],[_IsLeaf]]=1,N(Tasks[[#This Row],[_Days]])=0))</f>
        <v>0</v>
      </c>
      <c r="GU20" s="91" t="n">
        <f aca="false">IF(Tasks[[#This Row],[Task Name]]="",0,IF(AND(Tasks[[#This Row],[_IsLeaf]]=1,NOT(Tasks[[#This Row],[_IsMilestone]]),N(Tasks[[#This Row],[Progress]])&gt;0),Tasks[[#This Row],[Start]],0))</f>
        <v>0</v>
      </c>
      <c r="GV20" s="91" t="n">
        <f aca="false">IF(Tasks[[#This Row],[_DoneFrom]]=0,0,IF(Tasks[[#This Row],[Progress]]&gt;=1,Tasks[[#This Row],[Finish]],MAX(Tasks[[#This Row],[_DoneFrom]],Tasks[[#This Row],[Start]]+ROUND((Tasks[[#This Row],[Finish]]-Tasks[[#This Row],[Start]]+1)*Tasks[[#This Row],[Progress]],0)-1)))</f>
        <v>0</v>
      </c>
      <c r="GW20" s="91" t="n">
        <f aca="false">IF(Tasks[[#This Row],[Task Name]]="",0,IF(OR(NOT(Tasks[[#This Row],[_IsLeaf]]=1),Tasks[[#This Row],[_IsMilestone]],N(Tasks[[#This Row],[Progress]])&gt;=1),0,IF(Tasks[[#This Row],[_DoneTo]]&gt;0,Tasks[[#This Row],[_DoneTo]]+1,Tasks[[#This Row],[Start]])))</f>
        <v>0</v>
      </c>
      <c r="GX20" s="91" t="n">
        <f aca="false">IF(Tasks[[#This Row],[_RemFrom]]=0,0,Tasks[[#This Row],[Finish]])</f>
        <v>0</v>
      </c>
      <c r="GY20" s="90" t="b">
        <f aca="false">IF(Tasks[[#This Row],[Task Name]]="",FALSE(),OR(NOT(BaselineSet),N(Tasks[[#This Row],[Baseline Start]])&gt;0))</f>
        <v>0</v>
      </c>
      <c r="GZ2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92" t="str">
        <f aca="false">IF(Tasks[[#This Row],[_IsLeaf]]=1,Tasks[[#This Row],[_Row]],"")</f>
        <v/>
      </c>
      <c r="HD20" s="92" t="str">
        <f aca="false">IFERROR(INDEX(Tasks[UID],SMALL(Tasks[_PickKey],Tasks[[#This Row],[_Row]]))&amp;" "&amp;INDEX(Tasks[Task Name],SMALL(Tasks[_PickKey],Tasks[[#This Row],[_Row]])),"")</f>
        <v/>
      </c>
      <c r="HE20" s="43" t="str">
        <f aca="false">IF(Tasks[[#This Row],[Task Name]]="","",IF(Tasks[[#This Row],[_IsSummary]],NETWORKDAYS.INTL(Tasks[[#This Row],[Start]],Tasks[[#This Row],[Finish]],WorkWeek,Holidays),N(Tasks[[#This Row],[_Days]])))</f>
        <v/>
      </c>
      <c r="HF20" s="43" t="n">
        <f aca="false">IF(Tasks[[#This Row],[Expected]]="",0,((Tasks[[#This Row],[Pessimistic]]-Tasks[[#This Row],[Optimistic]])/6)^2)</f>
        <v>0</v>
      </c>
      <c r="HG20" s="43" t="n">
        <f aca="false">IF(Tasks[[#This Row],[Expected]]="",0,Tasks[[#This Row],[Expected]]-N(Tasks[[#This Row],[_Days]]))</f>
        <v>0</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4"/>
      <c r="U21" s="23"/>
      <c r="V21" s="84"/>
      <c r="W21" s="23"/>
      <c r="X21" s="84"/>
      <c r="Y21" s="23"/>
      <c r="Z21" s="84"/>
      <c r="AA21" s="23"/>
      <c r="AB21" s="23"/>
      <c r="AC21" s="7"/>
      <c r="AD21" s="7"/>
      <c r="AE21" s="63" t="str">
        <f aca="false">IF(Tasks[[#This Row],[Task Name]]="","",IF(Tasks[[#This Row],[_IsSummary]],MIN(INDEX(Tasks[_ShownFcstStart],Tasks[[#This Row],[_Row]]+1):INDEX(Tasks[_ShownFcstStart],Tasks[[#This Row],[_Row]]+Tasks[[#This Row],[_Descendants]])),Tasks[[#This Row],[_ShownFcstStart]]))</f>
        <v/>
      </c>
      <c r="AF21" s="63"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1" s="7"/>
      <c r="AK21" s="22"/>
      <c r="AL21" s="23"/>
      <c r="AM21" s="7"/>
      <c r="AN21" s="47"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3" t="str">
        <f aca="false">IF(Tasks[[#This Row],[Task Name]]="","",IF(N(Tasks[[#This Row],[Baseline Start]])&gt;0,Tasks[[#This Row],[Baseline Start]],Tasks[[#This Row],[_CalcStart]]))</f>
        <v/>
      </c>
      <c r="AR21" s="63" t="str">
        <f aca="false">IF(Tasks[[#This Row],[Task Name]]="","",IF(N(Tasks[[#This Row],[Baseline Finish]])&gt;0,Tasks[[#This Row],[Baseline Finish]],Tasks[[#This Row],[_CalcFinish]]))</f>
        <v/>
      </c>
      <c r="AS21" s="47" t="str">
        <f aca="false">IF(Tasks[[#This Row],[Task Name]]="","",IF(Tasks[[#This Row],[Start]]&gt;=Tasks[[#This Row],[Planned Start]],NETWORKDAYS.INTL(Tasks[[#This Row],[Planned Start]],Tasks[[#This Row],[Start]],WorkWeek,Holidays)-1,1-NETWORKDAYS.INTL(Tasks[[#This Row],[Start]],Tasks[[#This Row],[Planned Start]],WorkWeek,Holidays)))</f>
        <v/>
      </c>
      <c r="AT21" s="63" t="str">
        <f aca="false">IF(Tasks[[#This Row],[Task Name]]="","",IF(Tasks[[#This Row],[_IsSummary]],MIN(INDEX(Tasks[_LeafLateStart],Tasks[[#This Row],[_Row]]+1):INDEX(Tasks[_LeafLateStart],Tasks[[#This Row],[_Row]]+Tasks[[#This Row],[_Descendants]])),Tasks[[#This Row],[_LeafLateStart]]))</f>
        <v/>
      </c>
      <c r="AU21" s="63" t="str">
        <f aca="false">IF(Tasks[[#This Row],[Task Name]]="","",IF(Tasks[[#This Row],[_IsSummary]],MAX(INDEX(Tasks[_LeafLateFinish],Tasks[[#This Row],[_Row]]+1):INDEX(Tasks[_LeafLateFinish],Tasks[[#This Row],[_Row]]+Tasks[[#This Row],[_Descendants]])),Tasks[[#This Row],[_LeafLateFinish]]))</f>
        <v/>
      </c>
      <c r="AV21" s="47"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5"/>
      <c r="BA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6"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7"/>
      <c r="BJ21" s="22"/>
      <c r="BK21" s="47" t="str">
        <f aca="false">IF(OR(Tasks[[#This Row],[Task Name]]="",Tasks[[#This Row],[Baseline Duration]]=""),"",Tasks[[#This Row],[_SpanDays]]-N(Tasks[[#This Row],[Baseline Duration]]))</f>
        <v/>
      </c>
      <c r="BL21" s="86" t="str">
        <f aca="false">IF(OR(Tasks[[#This Row],[Task Name]]="",Tasks[[#This Row],[Baseline Work]]=""),"",Tasks[[#This Row],[Work]]-N(Tasks[[#This Row],[Baseline Work]]))</f>
        <v/>
      </c>
      <c r="BM21" s="63" t="str">
        <f aca="false">IF(Tasks[[#This Row],[Task Name]]="","",IF(OR(TakeBaseline="Yes",N(Tasks[[#This Row],[Baseline Start]])=0),Tasks[[#This Row],[Start]],Tasks[[#This Row],[Baseline Start]]))</f>
        <v/>
      </c>
      <c r="BN21" s="63" t="str">
        <f aca="false">IF(Tasks[[#This Row],[Task Name]]="","",IF(OR(TakeBaseline="Yes",N(Tasks[[#This Row],[Baseline Finish]])=0),Tasks[[#This Row],[Finish]],Tasks[[#This Row],[Baseline Finish]]))</f>
        <v/>
      </c>
      <c r="BO21" s="21" t="str">
        <f aca="false">IF(Tasks[[#This Row],[Task Name]]="","",IF(OR(TakeBaseline="Yes",N(Tasks[[#This Row],[Baseline Duration]])=0),Tasks[[#This Row],[_SpanDays]],Tasks[[#This Row],[Baseline Duration]]))</f>
        <v/>
      </c>
      <c r="BP21" s="86" t="str">
        <f aca="false">IF(Tasks[[#This Row],[Task Name]]="","",IF(OR(TakeBaseline="Yes",N(Tasks[[#This Row],[Baseline Work]])=0),Tasks[[#This Row],[Work]],Tasks[[#This Row],[Baseline Work]]))</f>
        <v/>
      </c>
      <c r="BQ21" s="7"/>
      <c r="BR21" s="7"/>
      <c r="BS21" s="22"/>
      <c r="BT21" s="88"/>
      <c r="BU21" s="23"/>
      <c r="BV21" s="23"/>
      <c r="BW21" s="23"/>
      <c r="BX21" s="89" t="str">
        <f aca="false">IF(AND(Tasks[[#This Row],[_IsLeaf]]=1,ISNUMBER(Tasks[[#This Row],[Optimistic]]),ISNUMBER(Tasks[[#This Row],[Pessimistic]])),ROUND((Tasks[[#This Row],[Optimistic]]+4*N(Tasks[[#This Row],[_Days]])+Tasks[[#This Row],[Pessimistic]])/6,1),"")</f>
        <v/>
      </c>
      <c r="BY21" s="87"/>
      <c r="BZ21" s="87"/>
      <c r="CA21" s="22"/>
      <c r="CB21" s="43" t="str">
        <f aca="false">IF(Tasks[[#This Row],[Task Name]]="","",MAX(1,N(Tasks[[#This Row],[Level]])))</f>
        <v/>
      </c>
      <c r="CC21" s="43" t="n">
        <f aca="false">ROW()-ROW(Tasks[[#Headers],[ID]])</f>
        <v>16</v>
      </c>
      <c r="CD21" s="43" t="n">
        <f aca="false">IF(OR(Tasks[[#This Row],[Task Name]]="",Tasks[[#This Row],[_Level]]&lt;=1),0,IFERROR(LOOKUP(2,1/(Tasks[[#Headers],[_Level]]:Tasks[[#This Row],[_Level]]=Tasks[[#This Row],[_Level]]-1),ROW(Tasks[[#Headers],[_Level]]:Tasks[[#This Row],[_Level]])),0))</f>
        <v>0</v>
      </c>
      <c r="CE21" s="43" t="n">
        <f aca="false">IFERROR(N(INDEX(Tasks[_Level],Tasks[[#This Row],[_Row]]+1)),0)</f>
        <v>0</v>
      </c>
      <c r="CF21" s="90" t="b">
        <f aca="false">AND(Tasks[[#This Row],[Task Name]]&lt;&gt;"",Tasks[[#This Row],[_NextLevel]]&gt;Tasks[[#This Row],[_Level]])</f>
        <v>0</v>
      </c>
      <c r="CG21" s="43" t="n">
        <f aca="false">IF(Tasks[[#This Row],[_IsSummary]],COUNTIF(Tasks[WBS],Tasks[[#This Row],[WBS]]&amp;".*"),0)</f>
        <v>0</v>
      </c>
      <c r="CH21" s="43" t="n">
        <f aca="false">IF(AND(Tasks[[#This Row],[Task Name]]&lt;&gt;"",NOT(Tasks[[#This Row],[_IsSummary]])),1,0)</f>
        <v>0</v>
      </c>
      <c r="CI21" s="43" t="n">
        <f aca="false">IF(N(Tasks[[#This Row],[_Pred1UID]])=0,0,IFERROR(MATCH(Tasks[[#This Row],[_Pred1UID]],Tasks[UID],0),-1))</f>
        <v>0</v>
      </c>
      <c r="CJ21" s="43" t="n">
        <f aca="false">IF(N(Tasks[[#This Row],[_Pred2UID]])=0,0,IFERROR(MATCH(Tasks[[#This Row],[_Pred2UID]],Tasks[UID],0),-1))</f>
        <v>0</v>
      </c>
      <c r="CK21" s="43" t="n">
        <f aca="false">IF(N(Tasks[[#This Row],[_Pred3UID]])=0,0,IFERROR(MATCH(Tasks[[#This Row],[_Pred3UID]],Tasks[UID],0),-1))</f>
        <v>0</v>
      </c>
      <c r="CL21" s="43" t="n">
        <f aca="false">IF(N(Tasks[[#This Row],[_Pred4UID]])=0,0,IFERROR(MATCH(Tasks[[#This Row],[_Pred4UID]],Tasks[UID],0),-1))</f>
        <v>0</v>
      </c>
      <c r="CM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1" s="91" t="n">
        <f aca="false">IF(OR(Tasks[[#This Row],[_ConstraintCode]]=2,Tasks[[#This Row],[_ConstraintCode]]=3,Tasks[[#This Row],[_ConstraintCode]]=4,Tasks[[#This Row],[_ConstraintCode]]=6),Tasks[[#This Row],[_ConstraintStart]],0)</f>
        <v>0</v>
      </c>
      <c r="CP21" s="91" t="n">
        <f aca="false">IF(OR(Tasks[[#This Row],[_ConstraintCode]]=2,Tasks[[#This Row],[_ConstraintCode]]=3,Tasks[[#This Row],[_ConstraintCode]]=5,Tasks[[#This Row],[_ConstraintCode]]=7),Tasks[[#This Row],[_ConstraintStart]],2958465)</f>
        <v>2958465</v>
      </c>
      <c r="CQ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91" t="str">
        <f aca="false">IF(NOT(Tasks[[#This Row],[_IsLeaf]]=1),"",IF(N(Tasks[[#This Row],[_Days]])&lt;=0,Tasks[[#This Row],[_LeafCalcStart]],WORKDAY.INTL(Tasks[[#This Row],[_LeafCalcStart]],Tasks[[#This Row],[_Days]]-1,WorkWeek,Holidays)))</f>
        <v/>
      </c>
      <c r="CS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3" t="str">
        <f aca="false">IF(Tasks[[#This Row],[_Predecessors]]="","",TRIM(MID(SUBSTITUTE(SUBSTITUTE(SUBSTITUTE(UPPER(Tasks[[#This Row],[_Predecessors]]),";",",")," ",""),",",REPT(" ",99)),1,99)))</f>
        <v/>
      </c>
      <c r="CV21" s="43" t="str">
        <f aca="false">IF(Tasks[[#This Row],[_Pred1Text]]="","",IFERROR(VALUE(LEFT(Tasks[[#This Row],[_Pred1Text]],MIN(FIND("F",Tasks[[#This Row],[_Pred1Text]]&amp;"F"),FIND("S",Tasks[[#This Row],[_Pred1Text]]&amp;"S"),FIND("+",Tasks[[#This Row],[_Pred1Text]]&amp;"+"),FIND("-",Tasks[[#This Row],[_Pred1Text]]&amp;"-"))-1)),""))</f>
        <v/>
      </c>
      <c r="CW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3" t="str">
        <f aca="false">IF(Tasks[[#This Row],[_Pred1Text]]="","",TRIM(MID(SUBSTITUTE(SUBSTITUTE(SUBSTITUTE(UPPER(Tasks[[#This Row],[_Predecessors]]),";",",")," ",""),",",REPT(" ",99)),100,99)))</f>
        <v/>
      </c>
      <c r="CZ21" s="43" t="str">
        <f aca="false">IF(Tasks[[#This Row],[_Pred2Text]]="","",IFERROR(VALUE(LEFT(Tasks[[#This Row],[_Pred2Text]],MIN(FIND("F",Tasks[[#This Row],[_Pred2Text]]&amp;"F"),FIND("S",Tasks[[#This Row],[_Pred2Text]]&amp;"S"),FIND("+",Tasks[[#This Row],[_Pred2Text]]&amp;"+"),FIND("-",Tasks[[#This Row],[_Pred2Text]]&amp;"-"))-1)),""))</f>
        <v/>
      </c>
      <c r="DA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3" t="str">
        <f aca="false">IF(Tasks[[#This Row],[_Pred2Text]]="","",TRIM(MID(SUBSTITUTE(SUBSTITUTE(SUBSTITUTE(UPPER(Tasks[[#This Row],[_Predecessors]]),";",",")," ",""),",",REPT(" ",99)),199,99)))</f>
        <v/>
      </c>
      <c r="DD21" s="43" t="str">
        <f aca="false">IF(Tasks[[#This Row],[_Pred3Text]]="","",IFERROR(VALUE(LEFT(Tasks[[#This Row],[_Pred3Text]],MIN(FIND("F",Tasks[[#This Row],[_Pred3Text]]&amp;"F"),FIND("S",Tasks[[#This Row],[_Pred3Text]]&amp;"S"),FIND("+",Tasks[[#This Row],[_Pred3Text]]&amp;"+"),FIND("-",Tasks[[#This Row],[_Pred3Text]]&amp;"-"))-1)),""))</f>
        <v/>
      </c>
      <c r="DE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3" t="str">
        <f aca="false">IF(Tasks[[#This Row],[_Pred3Text]]="","",TRIM(MID(SUBSTITUTE(SUBSTITUTE(SUBSTITUTE(UPPER(Tasks[[#This Row],[_Predecessors]]),";",",")," ",""),",",REPT(" ",99)),298,99)))</f>
        <v/>
      </c>
      <c r="DH21" s="43" t="str">
        <f aca="false">IF(Tasks[[#This Row],[_Pred4Text]]="","",IFERROR(VALUE(LEFT(Tasks[[#This Row],[_Pred4Text]],MIN(FIND("F",Tasks[[#This Row],[_Pred4Text]]&amp;"F"),FIND("S",Tasks[[#This Row],[_Pred4Text]]&amp;"S"),FIND("+",Tasks[[#This Row],[_Pred4Text]]&amp;"+"),FIND("-",Tasks[[#This Row],[_Pred4Text]]&amp;"-"))-1)),""))</f>
        <v/>
      </c>
      <c r="DI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3" t="str">
        <f aca="false">IF(OR(Tasks[[#This Row],[Task Name]]="",Tasks[[#This Row],[_Resources]]=""),"",TRIM(MID(SUBSTITUTE(Tasks[[#This Row],[_Resources]],",",REPT(" ",99)),1,99)))</f>
        <v/>
      </c>
      <c r="DL21" s="43" t="str">
        <f aca="false">IF(Tasks[[#This Row],[_Res1Text]]="","",TRIM(MID(SUBSTITUTE(Tasks[[#This Row],[_Resources]],",",REPT(" ",99)),100,99)))</f>
        <v/>
      </c>
      <c r="DM21" s="43" t="str">
        <f aca="false">IF(Tasks[[#This Row],[_Res2Text]]="","",TRIM(MID(SUBSTITUTE(Tasks[[#This Row],[_Resources]],",",REPT(" ",99)),199,99)))</f>
        <v/>
      </c>
      <c r="DN21" s="43" t="str">
        <f aca="false">IF(Tasks[[#This Row],[_Res3Text]]="","",TRIM(MID(SUBSTITUTE(Tasks[[#This Row],[_Resources]],",",REPT(" ",99)),298,99)))</f>
        <v/>
      </c>
      <c r="DO21" s="43" t="n">
        <f aca="false">IF(Tasks[[#This Row],[_Res1Text]]="",0,IFERROR(MATCH(TRIM(LEFT(Tasks[[#This Row],[_Res1Text]],FIND("[",Tasks[[#This Row],[_Res1Text]]&amp;"[")-1)),res_Name,0),IFERROR(MATCH(TRIM(LEFT(Tasks[[#This Row],[_Res1Text]],FIND("[",Tasks[[#This Row],[_Res1Text]]&amp;"[")-1)),res_Initials,0),0)))</f>
        <v>0</v>
      </c>
      <c r="DP21" s="43" t="n">
        <f aca="false">IF(Tasks[[#This Row],[_Res2Text]]="",0,IFERROR(MATCH(TRIM(LEFT(Tasks[[#This Row],[_Res2Text]],FIND("[",Tasks[[#This Row],[_Res2Text]]&amp;"[")-1)),res_Name,0),IFERROR(MATCH(TRIM(LEFT(Tasks[[#This Row],[_Res2Text]],FIND("[",Tasks[[#This Row],[_Res2Text]]&amp;"[")-1)),res_Initials,0),0)))</f>
        <v>0</v>
      </c>
      <c r="DQ21" s="43" t="n">
        <f aca="false">IF(Tasks[[#This Row],[_Res3Text]]="",0,IFERROR(MATCH(TRIM(LEFT(Tasks[[#This Row],[_Res3Text]],FIND("[",Tasks[[#This Row],[_Res3Text]]&amp;"[")-1)),res_Name,0),IFERROR(MATCH(TRIM(LEFT(Tasks[[#This Row],[_Res3Text]],FIND("[",Tasks[[#This Row],[_Res3Text]]&amp;"[")-1)),res_Initials,0),0)))</f>
        <v>0</v>
      </c>
      <c r="DR21" s="43" t="n">
        <f aca="false">IF(Tasks[[#This Row],[_Res4Text]]="",0,IFERROR(MATCH(TRIM(LEFT(Tasks[[#This Row],[_Res4Text]],FIND("[",Tasks[[#This Row],[_Res4Text]]&amp;"[")-1)),res_Name,0),IFERROR(MATCH(TRIM(LEFT(Tasks[[#This Row],[_Res4Text]],FIND("[",Tasks[[#This Row],[_Res4Text]]&amp;"[")-1)),res_Initials,0),0)))</f>
        <v>0</v>
      </c>
      <c r="DS21" s="43" t="str">
        <f aca="false">IF(Tasks[[#This Row],[_Res1Text]]="","",IF(Tasks[[#This Row],[_Res1Row]]&gt;0,INDEX(res_Name,Tasks[[#This Row],[_Res1Row]]),TRIM(LEFT(Tasks[[#This Row],[_Res1Text]],FIND("[",Tasks[[#This Row],[_Res1Text]]&amp;"[")-1))))</f>
        <v/>
      </c>
      <c r="DT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3" t="n">
        <f aca="false">IF(NOT(Tasks[[#This Row],[_IsLeaf]]=1),0,(Tasks[[#This Row],[_Resource1]]&lt;&gt;"")+(Tasks[[#This Row],[_Res2]]&lt;&gt;"")+(Tasks[[#This Row],[_Res3]]&lt;&gt;"")+(Tasks[[#This Row],[_Res4]]&lt;&gt;""))</f>
        <v>0</v>
      </c>
      <c r="DV21" s="43" t="str">
        <f aca="false">IF(Tasks[[#This Row],[_Res2Text]]="","",IF(Tasks[[#This Row],[_Res2Row]]&gt;0,INDEX(res_Name,Tasks[[#This Row],[_Res2Row]]),TRIM(LEFT(Tasks[[#This Row],[_Res2Text]],FIND("[",Tasks[[#This Row],[_Res2Text]]&amp;"[")-1))))</f>
        <v/>
      </c>
      <c r="DW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3" t="n">
        <f aca="false">IF(OR(NOT(Tasks[[#This Row],[_IsLeaf]]=1),Tasks[[#This Row],[_Res2Row]]=0),0,N(Tasks[[#This Row],[_Days]])*HoursPerDay*IF(Tasks[[#This Row],[_Res2Units]]="",DefaultUnits,Tasks[[#This Row],[_Res2Units]]))</f>
        <v>0</v>
      </c>
      <c r="DY21" s="43" t="n">
        <f aca="false">IF(AND(AND(Tasks[[#This Row],[_IsLeaf]]=1,Tasks[[#This Row],[_LeafTotalWork]]&gt;0),Tasks[[#This Row],[_Res2Work]]&gt;0),Tasks[[#This Row],[_Res2Work]]/(Tasks[[#This Row],[_FinishWorkday]]-Tasks[[#This Row],[_StartWorkday]]+1),0)</f>
        <v>0</v>
      </c>
      <c r="DZ21" s="43" t="n">
        <f aca="false">Tasks[[#This Row],[_Res2WorkPerWD]]*MAX(0,Tasks[[#This Row],[_StartWorkday]]-1)</f>
        <v>0</v>
      </c>
      <c r="EA21" s="43" t="n">
        <f aca="false">Tasks[[#This Row],[_Res2Work]]*Tasks[[#This Row],[_LeafProgress]]</f>
        <v>0</v>
      </c>
      <c r="EB21" s="43" t="str">
        <f aca="false">IF(Tasks[[#This Row],[_Res3Text]]="","",IF(Tasks[[#This Row],[_Res3Row]]&gt;0,INDEX(res_Name,Tasks[[#This Row],[_Res3Row]]),TRIM(LEFT(Tasks[[#This Row],[_Res3Text]],FIND("[",Tasks[[#This Row],[_Res3Text]]&amp;"[")-1))))</f>
        <v/>
      </c>
      <c r="EC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3" t="n">
        <f aca="false">IF(OR(NOT(Tasks[[#This Row],[_IsLeaf]]=1),Tasks[[#This Row],[_Res3Row]]=0),0,N(Tasks[[#This Row],[_Days]])*HoursPerDay*IF(Tasks[[#This Row],[_Res3Units]]="",DefaultUnits,Tasks[[#This Row],[_Res3Units]]))</f>
        <v>0</v>
      </c>
      <c r="EE21" s="43" t="n">
        <f aca="false">IF(AND(AND(Tasks[[#This Row],[_IsLeaf]]=1,Tasks[[#This Row],[_LeafTotalWork]]&gt;0),Tasks[[#This Row],[_Res3Work]]&gt;0),Tasks[[#This Row],[_Res3Work]]/(Tasks[[#This Row],[_FinishWorkday]]-Tasks[[#This Row],[_StartWorkday]]+1),0)</f>
        <v>0</v>
      </c>
      <c r="EF21" s="43" t="n">
        <f aca="false">Tasks[[#This Row],[_Res3WorkPerWD]]*MAX(0,Tasks[[#This Row],[_StartWorkday]]-1)</f>
        <v>0</v>
      </c>
      <c r="EG21" s="43" t="n">
        <f aca="false">Tasks[[#This Row],[_Res3Work]]*Tasks[[#This Row],[_LeafProgress]]</f>
        <v>0</v>
      </c>
      <c r="EH21" s="43" t="str">
        <f aca="false">IF(Tasks[[#This Row],[_Res4Text]]="","",IF(Tasks[[#This Row],[_Res4Row]]&gt;0,INDEX(res_Name,Tasks[[#This Row],[_Res4Row]]),TRIM(LEFT(Tasks[[#This Row],[_Res4Text]],FIND("[",Tasks[[#This Row],[_Res4Text]]&amp;"[")-1))))</f>
        <v/>
      </c>
      <c r="EI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3" t="n">
        <f aca="false">IF(OR(NOT(Tasks[[#This Row],[_IsLeaf]]=1),Tasks[[#This Row],[_Res4Row]]=0),0,N(Tasks[[#This Row],[_Days]])*HoursPerDay*IF(Tasks[[#This Row],[_Res4Units]]="",DefaultUnits,Tasks[[#This Row],[_Res4Units]]))</f>
        <v>0</v>
      </c>
      <c r="EK21" s="43" t="n">
        <f aca="false">IF(AND(AND(Tasks[[#This Row],[_IsLeaf]]=1,Tasks[[#This Row],[_LeafTotalWork]]&gt;0),Tasks[[#This Row],[_Res4Work]]&gt;0),Tasks[[#This Row],[_Res4Work]]/(Tasks[[#This Row],[_FinishWorkday]]-Tasks[[#This Row],[_StartWorkday]]+1),0)</f>
        <v>0</v>
      </c>
      <c r="EL21" s="43" t="n">
        <f aca="false">Tasks[[#This Row],[_Res4WorkPerWD]]*MAX(0,Tasks[[#This Row],[_StartWorkday]]-1)</f>
        <v>0</v>
      </c>
      <c r="EM21" s="43" t="n">
        <f aca="false">Tasks[[#This Row],[_Res4Work]]*Tasks[[#This Row],[_LeafProgress]]</f>
        <v>0</v>
      </c>
      <c r="EN21" s="43" t="n">
        <f aca="false">IF(ISNUMBER(Tasks[[#This Row],[% Complete]]),Tasks[[#This Row],[% Complete]],IF(Tasks[[#This Row],[Stage]]="",0,IFERROR(INDEX(stg_Pct,MATCH(Tasks[[#This Row],[Stage]],stg_Name,0)),0)))</f>
        <v>0</v>
      </c>
      <c r="EO21" s="43" t="n">
        <f aca="false">IF(NOT(Tasks[[#This Row],[_IsLeaf]]=1),0,IF(N(Tasks[[#This Row],[Actual Finish]])&gt;0,1,MIN(1,Tasks[[#This Row],[_Pct]])))</f>
        <v>0</v>
      </c>
      <c r="EP21" s="43" t="n">
        <f aca="false">IF(OR(NOT(Tasks[[#This Row],[_IsLeaf]]=1),Tasks[[#This Row],[_Res1Row]]=0),0,N(Tasks[[#This Row],[_Days]])*HoursPerDay*IF(Tasks[[#This Row],[_Units1]]="",DefaultUnits,Tasks[[#This Row],[_Units1]]))</f>
        <v>0</v>
      </c>
      <c r="EQ21" s="43" t="n">
        <f aca="false">Tasks[[#This Row],[_LeafWork]]+Tasks[[#This Row],[_Res2Work]]+Tasks[[#This Row],[_Res3Work]]+Tasks[[#This Row],[_Res4Work]]</f>
        <v>0</v>
      </c>
      <c r="ER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3" t="n">
        <f aca="false">IF(NOT(Tasks[[#This Row],[_IsLeaf]]=1),0,MAX(_xlfn.MAXIFS(Tasks[_Row],Tasks[_Pred1UID],Tasks[[#This Row],[UID]]),_xlfn.MAXIFS(Tasks[_Row],Tasks[_Pred2UID],Tasks[[#This Row],[UID]]),_xlfn.MAXIFS(Tasks[_Row],Tasks[_Pred3UID],Tasks[[#This Row],[UID]]),_xlfn.MAXIFS(Tasks[_Row],Tasks[_Pred4UID],Tasks[[#This Row],[UID]])))</f>
        <v>0</v>
      </c>
      <c r="FA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91" t="str">
        <f aca="false">IF(NOT(Tasks[[#This Row],[_IsLeaf]]=1),"",IF(N(Tasks[[#This Row],[_Days]])&lt;=0,Tasks[[#This Row],[_LeafLateFinish]],WORKDAY.INTL(Tasks[[#This Row],[_LeafLateFinish]],-(Tasks[[#This Row],[_Days]]-1),WorkWeek,Holidays)))</f>
        <v/>
      </c>
      <c r="FD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1" s="90" t="b">
        <f aca="false">AND(Tasks[[#This Row],[_IsLeaf]]=1,Tasks[[#This Row],[_LeafProgress]]&lt;1,N(Tasks[[#This Row],[_LeafTotalSlack]])&lt;=CriticalSlackDays)</f>
        <v>0</v>
      </c>
      <c r="FF21" s="43" t="n">
        <f aca="false">IF(AND(Tasks[[#This Row],[_IsLeaf]]=1,Tasks[[#This Row],[_ConstraintCode]]=1,Tasks[[#This Row],[Mode]]&lt;&gt;"Manual",N(Tasks[[#This Row],[Actual Start]])=0),MAX(0,N(Tasks[[#This Row],[Free Slack]])),0)</f>
        <v>0</v>
      </c>
      <c r="FG21" s="91" t="str">
        <f aca="false">IF(NOT(Tasks[[#This Row],[_IsLeaf]]=1),"",IF(Tasks[[#This Row],[_AlapShift]]=0,Tasks[[#This Row],[_LeafCalcStart]],WORKDAY.INTL(Tasks[[#This Row],[_LeafCalcStart]],Tasks[[#This Row],[_AlapShift]],WorkWeek,Holidays)))</f>
        <v/>
      </c>
      <c r="FH21" s="91" t="str">
        <f aca="false">IF(NOT(Tasks[[#This Row],[_IsLeaf]]=1),"",IF(Tasks[[#This Row],[_AlapShift]]=0,Tasks[[#This Row],[_LeafCalcFinish]],WORKDAY.INTL(Tasks[[#This Row],[_LeafCalcFinish]],Tasks[[#This Row],[_AlapShift]],WorkWeek,Holidays)))</f>
        <v/>
      </c>
      <c r="FI21" s="91" t="str">
        <f aca="false">IF(NOT(Tasks[[#This Row],[_IsLeaf]]=1),"",IF(Tasks[[#This Row],[_AlapShift]]=0,Tasks[[#This Row],[_LeafFcstStart]],WORKDAY.INTL(Tasks[[#This Row],[_LeafFcstStart]],Tasks[[#This Row],[_AlapShift]],WorkWeek,Holidays)))</f>
        <v/>
      </c>
      <c r="FJ21" s="91" t="str">
        <f aca="false">IF(NOT(Tasks[[#This Row],[_IsLeaf]]=1),"",IF(Tasks[[#This Row],[_AlapShift]]=0,Tasks[[#This Row],[_LeafFcstFinish]],WORKDAY.INTL(Tasks[[#This Row],[_LeafFcstFinish]],Tasks[[#This Row],[_AlapShift]],WorkWeek,Holidays)))</f>
        <v/>
      </c>
      <c r="FK21" s="91" t="str">
        <f aca="false">IF(Tasks[[#This Row],[Task Name]]="","",IF(Tasks[[#This Row],[_IsSummary]],MIN(INDEX(Tasks[_ShownCalcStart],Tasks[[#This Row],[_Row]]+1):INDEX(Tasks[_ShownCalcStart],Tasks[[#This Row],[_Row]]+Tasks[[#This Row],[_Descendants]])),Tasks[[#This Row],[_ShownCalcStart]]))</f>
        <v/>
      </c>
      <c r="FL21" s="91" t="str">
        <f aca="false">IF(Tasks[[#This Row],[Task Name]]="","",IF(Tasks[[#This Row],[_IsSummary]],MAX(INDEX(Tasks[_ShownCalcFinish],Tasks[[#This Row],[_Row]]+1):INDEX(Tasks[_ShownCalcFinish],Tasks[[#This Row],[_Row]]+Tasks[[#This Row],[_Descendants]])),Tasks[[#This Row],[_ShownCalcFinish]]))</f>
        <v/>
      </c>
      <c r="FM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1" s="43" t="n">
        <f aca="false">IF(AND(Tasks[[#This Row],[_IsLeaf]]=1,Tasks[[#This Row],[_LeafTotalWork]]&gt;0),NETWORKDAYS.INTL(ProjectStart,Tasks[[#This Row],[_ShownFcstStart]],WorkWeek,Holidays),0)</f>
        <v>0</v>
      </c>
      <c r="FZ21" s="43" t="n">
        <f aca="false">IF(AND(Tasks[[#This Row],[_IsLeaf]]=1,Tasks[[#This Row],[_LeafTotalWork]]&gt;0),MAX(Tasks[[#This Row],[_StartWorkday]],NETWORKDAYS.INTL(ProjectStart,Tasks[[#This Row],[_ShownFcstFinish]],WorkWeek,Holidays)),0)</f>
        <v>0</v>
      </c>
      <c r="GA21" s="43" t="n">
        <f aca="false">IF(AND(Tasks[[#This Row],[_IsLeaf]]=1,Tasks[[#This Row],[_LeafTotalWork]]&gt;0),Tasks[[#This Row],[_LeafWork]]/(Tasks[[#This Row],[_FinishWorkday]]-Tasks[[#This Row],[_StartWorkday]]+1),0)</f>
        <v>0</v>
      </c>
      <c r="GB21" s="43" t="n">
        <f aca="false">Tasks[[#This Row],[_WorkPerWorkday]]*(Tasks[[#This Row],[_StartWorkday]]-1)</f>
        <v>-0</v>
      </c>
      <c r="GC21" s="43" t="n">
        <f aca="false">IF(Tasks[[#This Row],[_IsLeaf]]=1,MAX(N(Tasks[[#This Row],[_Days]]),0.1),0)</f>
        <v>0</v>
      </c>
      <c r="GD21" s="43" t="n">
        <f aca="false">Tasks[[#This Row],[_WeightDur]]*Tasks[[#This Row],[_LeafProgress]]</f>
        <v>0</v>
      </c>
      <c r="GE21" s="43" t="n">
        <f aca="false">Tasks[[#This Row],[_WeightDur]]*Tasks[[#This Row],[_PlannedPct]]</f>
        <v>0</v>
      </c>
      <c r="GF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3" t="str">
        <f aca="false">IF(AND(Tasks[[#This Row],[_IsLeaf]]=1,N(Tasks[[#This Row],[_Days]])=0,Tasks[[#This Row],[_LeafProgress]]&lt;1),Tasks[[#This Row],[_ShownFcstFinish]]+Tasks[[#This Row],[_Row]]/100000,"")</f>
        <v/>
      </c>
      <c r="GH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1" s="43" t="str">
        <f aca="false">IF(Tasks[[#This Row],[Task Name]]="","",LEFT(Tasks[[#This Row],[WBS]],FIND(".",Tasks[[#This Row],[WBS]]&amp;".")-1))</f>
        <v/>
      </c>
      <c r="GJ21" s="43" t="str">
        <f aca="false">IF(AND(Tasks[[#This Row],[Task Name]]&lt;&gt;"",Tasks[[#This Row],[_Level]]=1),Tasks[[#This Row],[_Row]],"")</f>
        <v/>
      </c>
      <c r="GK21" s="43" t="str">
        <f aca="false">IF(AND(Tasks[[#This Row],[_IsLeaf]]=1,N(Tasks[[#This Row],[_Days]])=0),Tasks[[#This Row],[Planned Finish]]+Tasks[[#This Row],[_Row]]/100000,"")</f>
        <v/>
      </c>
      <c r="GL21" s="43" t="str">
        <f aca="false">IF(AND(Tasks[[#This Row],[_IsLeaf]]=1,Tasks[[#This Row],[_LeafProgress]]&lt;1,OR(N(Tasks[[#This Row],[Finish Var]])&gt;0,Tasks[[#This Row],[Status]]="Late Start")),MAX(0,Tasks[[#This Row],[Finish Var]])+1-Tasks[[#This Row],[_Row]]/1000000,"")</f>
        <v/>
      </c>
      <c r="GM21" s="43" t="str">
        <f aca="false">IF(AND(Tasks[[#This Row],[_IsLeaf]]=1,N(Tasks[[#This Row],[Actual Start]])=0,Tasks[[#This Row],[_ShownFcstStart]]&gt;=StatusDate,Tasks[[#This Row],[_ShownFcstStart]]&lt;=LookaheadEnd),Tasks[[#This Row],[_ShownFcstStart]]+Tasks[[#This Row],[_Row]]/100000,"")</f>
        <v/>
      </c>
      <c r="GN21" s="43" t="str">
        <f aca="false">IF(AND(Tasks[[#This Row],[_IsLeaf]]=1,Tasks[[#This Row],[_LeafProgress]]&lt;1,Tasks[[#This Row],[_ShownFcstFinish]]&gt;=StatusDate,Tasks[[#This Row],[_ShownFcstFinish]]&lt;=LookaheadEnd),Tasks[[#This Row],[_ShownFcstFinish]]+Tasks[[#This Row],[_Row]]/100000,"")</f>
        <v/>
      </c>
      <c r="GO21" s="43" t="str">
        <f aca="false">IF(Tasks[[#This Row],[_LeafCritical]],Tasks[[#This Row],[_ShownFcstStart]]+Tasks[[#This Row],[_Row]]/100000,"")</f>
        <v/>
      </c>
      <c r="GP21" s="43" t="n">
        <f aca="false">Tasks[[#This Row],[_LeafWork]]*Tasks[[#This Row],[_LeafProgress]]</f>
        <v>0</v>
      </c>
      <c r="GQ21" s="91" t="str">
        <f aca="false">IF(AND(Tasks[[#This Row],[_IsLeaf]]=1,Tasks[[#This Row],[_LeafProgress]]&gt;=1),IF(N(Tasks[[#This Row],[Actual Finish]])&gt;0,Tasks[[#This Row],[Actual Finish]],Tasks[[#This Row],[_ShownFcstFinish]]),"")</f>
        <v/>
      </c>
      <c r="GR21" s="43" t="n">
        <f aca="false">IF(Tasks[[#This Row],[_IsLeaf]]=1,N(Tasks[[#This Row],[Story Points]]),0)</f>
        <v>0</v>
      </c>
      <c r="GS21" s="43" t="str">
        <f aca="false">""</f>
        <v/>
      </c>
      <c r="GT21" s="90" t="b">
        <f aca="false">IF(Tasks[[#This Row],[Task Name]]="",FALSE(),AND(Tasks[[#This Row],[_IsLeaf]]=1,N(Tasks[[#This Row],[_Days]])=0))</f>
        <v>0</v>
      </c>
      <c r="GU21" s="91" t="n">
        <f aca="false">IF(Tasks[[#This Row],[Task Name]]="",0,IF(AND(Tasks[[#This Row],[_IsLeaf]]=1,NOT(Tasks[[#This Row],[_IsMilestone]]),N(Tasks[[#This Row],[Progress]])&gt;0),Tasks[[#This Row],[Start]],0))</f>
        <v>0</v>
      </c>
      <c r="GV21" s="91" t="n">
        <f aca="false">IF(Tasks[[#This Row],[_DoneFrom]]=0,0,IF(Tasks[[#This Row],[Progress]]&gt;=1,Tasks[[#This Row],[Finish]],MAX(Tasks[[#This Row],[_DoneFrom]],Tasks[[#This Row],[Start]]+ROUND((Tasks[[#This Row],[Finish]]-Tasks[[#This Row],[Start]]+1)*Tasks[[#This Row],[Progress]],0)-1)))</f>
        <v>0</v>
      </c>
      <c r="GW21" s="91" t="n">
        <f aca="false">IF(Tasks[[#This Row],[Task Name]]="",0,IF(OR(NOT(Tasks[[#This Row],[_IsLeaf]]=1),Tasks[[#This Row],[_IsMilestone]],N(Tasks[[#This Row],[Progress]])&gt;=1),0,IF(Tasks[[#This Row],[_DoneTo]]&gt;0,Tasks[[#This Row],[_DoneTo]]+1,Tasks[[#This Row],[Start]])))</f>
        <v>0</v>
      </c>
      <c r="GX21" s="91" t="n">
        <f aca="false">IF(Tasks[[#This Row],[_RemFrom]]=0,0,Tasks[[#This Row],[Finish]])</f>
        <v>0</v>
      </c>
      <c r="GY21" s="90" t="b">
        <f aca="false">IF(Tasks[[#This Row],[Task Name]]="",FALSE(),OR(NOT(BaselineSet),N(Tasks[[#This Row],[Baseline Start]])&gt;0))</f>
        <v>0</v>
      </c>
      <c r="GZ2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92" t="str">
        <f aca="false">IF(Tasks[[#This Row],[_IsLeaf]]=1,Tasks[[#This Row],[_Row]],"")</f>
        <v/>
      </c>
      <c r="HD21" s="92" t="str">
        <f aca="false">IFERROR(INDEX(Tasks[UID],SMALL(Tasks[_PickKey],Tasks[[#This Row],[_Row]]))&amp;" "&amp;INDEX(Tasks[Task Name],SMALL(Tasks[_PickKey],Tasks[[#This Row],[_Row]])),"")</f>
        <v/>
      </c>
      <c r="HE21" s="43" t="str">
        <f aca="false">IF(Tasks[[#This Row],[Task Name]]="","",IF(Tasks[[#This Row],[_IsSummary]],NETWORKDAYS.INTL(Tasks[[#This Row],[Start]],Tasks[[#This Row],[Finish]],WorkWeek,Holidays),N(Tasks[[#This Row],[_Days]])))</f>
        <v/>
      </c>
      <c r="HF21" s="43" t="n">
        <f aca="false">IF(Tasks[[#This Row],[Expected]]="",0,((Tasks[[#This Row],[Pessimistic]]-Tasks[[#This Row],[Optimistic]])/6)^2)</f>
        <v>0</v>
      </c>
      <c r="HG21" s="43" t="n">
        <f aca="false">IF(Tasks[[#This Row],[Expected]]="",0,Tasks[[#This Row],[Expected]]-N(Tasks[[#This Row],[_Days]]))</f>
        <v>0</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4"/>
      <c r="U22" s="23"/>
      <c r="V22" s="84"/>
      <c r="W22" s="23"/>
      <c r="X22" s="84"/>
      <c r="Y22" s="23"/>
      <c r="Z22" s="84"/>
      <c r="AA22" s="23"/>
      <c r="AB22" s="23"/>
      <c r="AC22" s="7"/>
      <c r="AD22" s="7"/>
      <c r="AE22" s="63" t="str">
        <f aca="false">IF(Tasks[[#This Row],[Task Name]]="","",IF(Tasks[[#This Row],[_IsSummary]],MIN(INDEX(Tasks[_ShownFcstStart],Tasks[[#This Row],[_Row]]+1):INDEX(Tasks[_ShownFcstStart],Tasks[[#This Row],[_Row]]+Tasks[[#This Row],[_Descendants]])),Tasks[[#This Row],[_ShownFcstStart]]))</f>
        <v/>
      </c>
      <c r="AF22" s="63"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2" s="7"/>
      <c r="AK22" s="22"/>
      <c r="AL22" s="23"/>
      <c r="AM22" s="7"/>
      <c r="AN22" s="47"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3" t="str">
        <f aca="false">IF(Tasks[[#This Row],[Task Name]]="","",IF(N(Tasks[[#This Row],[Baseline Start]])&gt;0,Tasks[[#This Row],[Baseline Start]],Tasks[[#This Row],[_CalcStart]]))</f>
        <v/>
      </c>
      <c r="AR22" s="63" t="str">
        <f aca="false">IF(Tasks[[#This Row],[Task Name]]="","",IF(N(Tasks[[#This Row],[Baseline Finish]])&gt;0,Tasks[[#This Row],[Baseline Finish]],Tasks[[#This Row],[_CalcFinish]]))</f>
        <v/>
      </c>
      <c r="AS22" s="47" t="str">
        <f aca="false">IF(Tasks[[#This Row],[Task Name]]="","",IF(Tasks[[#This Row],[Start]]&gt;=Tasks[[#This Row],[Planned Start]],NETWORKDAYS.INTL(Tasks[[#This Row],[Planned Start]],Tasks[[#This Row],[Start]],WorkWeek,Holidays)-1,1-NETWORKDAYS.INTL(Tasks[[#This Row],[Start]],Tasks[[#This Row],[Planned Start]],WorkWeek,Holidays)))</f>
        <v/>
      </c>
      <c r="AT22" s="63" t="str">
        <f aca="false">IF(Tasks[[#This Row],[Task Name]]="","",IF(Tasks[[#This Row],[_IsSummary]],MIN(INDEX(Tasks[_LeafLateStart],Tasks[[#This Row],[_Row]]+1):INDEX(Tasks[_LeafLateStart],Tasks[[#This Row],[_Row]]+Tasks[[#This Row],[_Descendants]])),Tasks[[#This Row],[_LeafLateStart]]))</f>
        <v/>
      </c>
      <c r="AU22" s="63" t="str">
        <f aca="false">IF(Tasks[[#This Row],[Task Name]]="","",IF(Tasks[[#This Row],[_IsSummary]],MAX(INDEX(Tasks[_LeafLateFinish],Tasks[[#This Row],[_Row]]+1):INDEX(Tasks[_LeafLateFinish],Tasks[[#This Row],[_Row]]+Tasks[[#This Row],[_Descendants]])),Tasks[[#This Row],[_LeafLateFinish]]))</f>
        <v/>
      </c>
      <c r="AV22" s="47"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5"/>
      <c r="BA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6"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7"/>
      <c r="BJ22" s="22"/>
      <c r="BK22" s="47" t="str">
        <f aca="false">IF(OR(Tasks[[#This Row],[Task Name]]="",Tasks[[#This Row],[Baseline Duration]]=""),"",Tasks[[#This Row],[_SpanDays]]-N(Tasks[[#This Row],[Baseline Duration]]))</f>
        <v/>
      </c>
      <c r="BL22" s="86" t="str">
        <f aca="false">IF(OR(Tasks[[#This Row],[Task Name]]="",Tasks[[#This Row],[Baseline Work]]=""),"",Tasks[[#This Row],[Work]]-N(Tasks[[#This Row],[Baseline Work]]))</f>
        <v/>
      </c>
      <c r="BM22" s="63" t="str">
        <f aca="false">IF(Tasks[[#This Row],[Task Name]]="","",IF(OR(TakeBaseline="Yes",N(Tasks[[#This Row],[Baseline Start]])=0),Tasks[[#This Row],[Start]],Tasks[[#This Row],[Baseline Start]]))</f>
        <v/>
      </c>
      <c r="BN22" s="63" t="str">
        <f aca="false">IF(Tasks[[#This Row],[Task Name]]="","",IF(OR(TakeBaseline="Yes",N(Tasks[[#This Row],[Baseline Finish]])=0),Tasks[[#This Row],[Finish]],Tasks[[#This Row],[Baseline Finish]]))</f>
        <v/>
      </c>
      <c r="BO22" s="21" t="str">
        <f aca="false">IF(Tasks[[#This Row],[Task Name]]="","",IF(OR(TakeBaseline="Yes",N(Tasks[[#This Row],[Baseline Duration]])=0),Tasks[[#This Row],[_SpanDays]],Tasks[[#This Row],[Baseline Duration]]))</f>
        <v/>
      </c>
      <c r="BP22" s="86" t="str">
        <f aca="false">IF(Tasks[[#This Row],[Task Name]]="","",IF(OR(TakeBaseline="Yes",N(Tasks[[#This Row],[Baseline Work]])=0),Tasks[[#This Row],[Work]],Tasks[[#This Row],[Baseline Work]]))</f>
        <v/>
      </c>
      <c r="BQ22" s="7"/>
      <c r="BR22" s="7"/>
      <c r="BS22" s="22"/>
      <c r="BT22" s="88"/>
      <c r="BU22" s="23"/>
      <c r="BV22" s="23"/>
      <c r="BW22" s="23"/>
      <c r="BX22" s="89" t="str">
        <f aca="false">IF(AND(Tasks[[#This Row],[_IsLeaf]]=1,ISNUMBER(Tasks[[#This Row],[Optimistic]]),ISNUMBER(Tasks[[#This Row],[Pessimistic]])),ROUND((Tasks[[#This Row],[Optimistic]]+4*N(Tasks[[#This Row],[_Days]])+Tasks[[#This Row],[Pessimistic]])/6,1),"")</f>
        <v/>
      </c>
      <c r="BY22" s="87"/>
      <c r="BZ22" s="87"/>
      <c r="CA22" s="22"/>
      <c r="CB22" s="43" t="str">
        <f aca="false">IF(Tasks[[#This Row],[Task Name]]="","",MAX(1,N(Tasks[[#This Row],[Level]])))</f>
        <v/>
      </c>
      <c r="CC22" s="43" t="n">
        <f aca="false">ROW()-ROW(Tasks[[#Headers],[ID]])</f>
        <v>17</v>
      </c>
      <c r="CD22" s="43" t="n">
        <f aca="false">IF(OR(Tasks[[#This Row],[Task Name]]="",Tasks[[#This Row],[_Level]]&lt;=1),0,IFERROR(LOOKUP(2,1/(Tasks[[#Headers],[_Level]]:Tasks[[#This Row],[_Level]]=Tasks[[#This Row],[_Level]]-1),ROW(Tasks[[#Headers],[_Level]]:Tasks[[#This Row],[_Level]])),0))</f>
        <v>0</v>
      </c>
      <c r="CE22" s="43" t="n">
        <f aca="false">IFERROR(N(INDEX(Tasks[_Level],Tasks[[#This Row],[_Row]]+1)),0)</f>
        <v>0</v>
      </c>
      <c r="CF22" s="90" t="b">
        <f aca="false">AND(Tasks[[#This Row],[Task Name]]&lt;&gt;"",Tasks[[#This Row],[_NextLevel]]&gt;Tasks[[#This Row],[_Level]])</f>
        <v>0</v>
      </c>
      <c r="CG22" s="43" t="n">
        <f aca="false">IF(Tasks[[#This Row],[_IsSummary]],COUNTIF(Tasks[WBS],Tasks[[#This Row],[WBS]]&amp;".*"),0)</f>
        <v>0</v>
      </c>
      <c r="CH22" s="43" t="n">
        <f aca="false">IF(AND(Tasks[[#This Row],[Task Name]]&lt;&gt;"",NOT(Tasks[[#This Row],[_IsSummary]])),1,0)</f>
        <v>0</v>
      </c>
      <c r="CI22" s="43" t="n">
        <f aca="false">IF(N(Tasks[[#This Row],[_Pred1UID]])=0,0,IFERROR(MATCH(Tasks[[#This Row],[_Pred1UID]],Tasks[UID],0),-1))</f>
        <v>0</v>
      </c>
      <c r="CJ22" s="43" t="n">
        <f aca="false">IF(N(Tasks[[#This Row],[_Pred2UID]])=0,0,IFERROR(MATCH(Tasks[[#This Row],[_Pred2UID]],Tasks[UID],0),-1))</f>
        <v>0</v>
      </c>
      <c r="CK22" s="43" t="n">
        <f aca="false">IF(N(Tasks[[#This Row],[_Pred3UID]])=0,0,IFERROR(MATCH(Tasks[[#This Row],[_Pred3UID]],Tasks[UID],0),-1))</f>
        <v>0</v>
      </c>
      <c r="CL22" s="43" t="n">
        <f aca="false">IF(N(Tasks[[#This Row],[_Pred4UID]])=0,0,IFERROR(MATCH(Tasks[[#This Row],[_Pred4UID]],Tasks[UID],0),-1))</f>
        <v>0</v>
      </c>
      <c r="CM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2" s="91" t="n">
        <f aca="false">IF(OR(Tasks[[#This Row],[_ConstraintCode]]=2,Tasks[[#This Row],[_ConstraintCode]]=3,Tasks[[#This Row],[_ConstraintCode]]=4,Tasks[[#This Row],[_ConstraintCode]]=6),Tasks[[#This Row],[_ConstraintStart]],0)</f>
        <v>0</v>
      </c>
      <c r="CP22" s="91" t="n">
        <f aca="false">IF(OR(Tasks[[#This Row],[_ConstraintCode]]=2,Tasks[[#This Row],[_ConstraintCode]]=3,Tasks[[#This Row],[_ConstraintCode]]=5,Tasks[[#This Row],[_ConstraintCode]]=7),Tasks[[#This Row],[_ConstraintStart]],2958465)</f>
        <v>2958465</v>
      </c>
      <c r="CQ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91" t="str">
        <f aca="false">IF(NOT(Tasks[[#This Row],[_IsLeaf]]=1),"",IF(N(Tasks[[#This Row],[_Days]])&lt;=0,Tasks[[#This Row],[_LeafCalcStart]],WORKDAY.INTL(Tasks[[#This Row],[_LeafCalcStart]],Tasks[[#This Row],[_Days]]-1,WorkWeek,Holidays)))</f>
        <v/>
      </c>
      <c r="CS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3" t="str">
        <f aca="false">IF(Tasks[[#This Row],[_Predecessors]]="","",TRIM(MID(SUBSTITUTE(SUBSTITUTE(SUBSTITUTE(UPPER(Tasks[[#This Row],[_Predecessors]]),";",",")," ",""),",",REPT(" ",99)),1,99)))</f>
        <v/>
      </c>
      <c r="CV22" s="43" t="str">
        <f aca="false">IF(Tasks[[#This Row],[_Pred1Text]]="","",IFERROR(VALUE(LEFT(Tasks[[#This Row],[_Pred1Text]],MIN(FIND("F",Tasks[[#This Row],[_Pred1Text]]&amp;"F"),FIND("S",Tasks[[#This Row],[_Pred1Text]]&amp;"S"),FIND("+",Tasks[[#This Row],[_Pred1Text]]&amp;"+"),FIND("-",Tasks[[#This Row],[_Pred1Text]]&amp;"-"))-1)),""))</f>
        <v/>
      </c>
      <c r="CW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3" t="str">
        <f aca="false">IF(Tasks[[#This Row],[_Pred1Text]]="","",TRIM(MID(SUBSTITUTE(SUBSTITUTE(SUBSTITUTE(UPPER(Tasks[[#This Row],[_Predecessors]]),";",",")," ",""),",",REPT(" ",99)),100,99)))</f>
        <v/>
      </c>
      <c r="CZ22" s="43" t="str">
        <f aca="false">IF(Tasks[[#This Row],[_Pred2Text]]="","",IFERROR(VALUE(LEFT(Tasks[[#This Row],[_Pred2Text]],MIN(FIND("F",Tasks[[#This Row],[_Pred2Text]]&amp;"F"),FIND("S",Tasks[[#This Row],[_Pred2Text]]&amp;"S"),FIND("+",Tasks[[#This Row],[_Pred2Text]]&amp;"+"),FIND("-",Tasks[[#This Row],[_Pred2Text]]&amp;"-"))-1)),""))</f>
        <v/>
      </c>
      <c r="DA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3" t="str">
        <f aca="false">IF(Tasks[[#This Row],[_Pred2Text]]="","",TRIM(MID(SUBSTITUTE(SUBSTITUTE(SUBSTITUTE(UPPER(Tasks[[#This Row],[_Predecessors]]),";",",")," ",""),",",REPT(" ",99)),199,99)))</f>
        <v/>
      </c>
      <c r="DD22" s="43" t="str">
        <f aca="false">IF(Tasks[[#This Row],[_Pred3Text]]="","",IFERROR(VALUE(LEFT(Tasks[[#This Row],[_Pred3Text]],MIN(FIND("F",Tasks[[#This Row],[_Pred3Text]]&amp;"F"),FIND("S",Tasks[[#This Row],[_Pred3Text]]&amp;"S"),FIND("+",Tasks[[#This Row],[_Pred3Text]]&amp;"+"),FIND("-",Tasks[[#This Row],[_Pred3Text]]&amp;"-"))-1)),""))</f>
        <v/>
      </c>
      <c r="DE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3" t="str">
        <f aca="false">IF(Tasks[[#This Row],[_Pred3Text]]="","",TRIM(MID(SUBSTITUTE(SUBSTITUTE(SUBSTITUTE(UPPER(Tasks[[#This Row],[_Predecessors]]),";",",")," ",""),",",REPT(" ",99)),298,99)))</f>
        <v/>
      </c>
      <c r="DH22" s="43" t="str">
        <f aca="false">IF(Tasks[[#This Row],[_Pred4Text]]="","",IFERROR(VALUE(LEFT(Tasks[[#This Row],[_Pred4Text]],MIN(FIND("F",Tasks[[#This Row],[_Pred4Text]]&amp;"F"),FIND("S",Tasks[[#This Row],[_Pred4Text]]&amp;"S"),FIND("+",Tasks[[#This Row],[_Pred4Text]]&amp;"+"),FIND("-",Tasks[[#This Row],[_Pred4Text]]&amp;"-"))-1)),""))</f>
        <v/>
      </c>
      <c r="DI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3" t="str">
        <f aca="false">IF(OR(Tasks[[#This Row],[Task Name]]="",Tasks[[#This Row],[_Resources]]=""),"",TRIM(MID(SUBSTITUTE(Tasks[[#This Row],[_Resources]],",",REPT(" ",99)),1,99)))</f>
        <v/>
      </c>
      <c r="DL22" s="43" t="str">
        <f aca="false">IF(Tasks[[#This Row],[_Res1Text]]="","",TRIM(MID(SUBSTITUTE(Tasks[[#This Row],[_Resources]],",",REPT(" ",99)),100,99)))</f>
        <v/>
      </c>
      <c r="DM22" s="43" t="str">
        <f aca="false">IF(Tasks[[#This Row],[_Res2Text]]="","",TRIM(MID(SUBSTITUTE(Tasks[[#This Row],[_Resources]],",",REPT(" ",99)),199,99)))</f>
        <v/>
      </c>
      <c r="DN22" s="43" t="str">
        <f aca="false">IF(Tasks[[#This Row],[_Res3Text]]="","",TRIM(MID(SUBSTITUTE(Tasks[[#This Row],[_Resources]],",",REPT(" ",99)),298,99)))</f>
        <v/>
      </c>
      <c r="DO22" s="43" t="n">
        <f aca="false">IF(Tasks[[#This Row],[_Res1Text]]="",0,IFERROR(MATCH(TRIM(LEFT(Tasks[[#This Row],[_Res1Text]],FIND("[",Tasks[[#This Row],[_Res1Text]]&amp;"[")-1)),res_Name,0),IFERROR(MATCH(TRIM(LEFT(Tasks[[#This Row],[_Res1Text]],FIND("[",Tasks[[#This Row],[_Res1Text]]&amp;"[")-1)),res_Initials,0),0)))</f>
        <v>0</v>
      </c>
      <c r="DP22" s="43" t="n">
        <f aca="false">IF(Tasks[[#This Row],[_Res2Text]]="",0,IFERROR(MATCH(TRIM(LEFT(Tasks[[#This Row],[_Res2Text]],FIND("[",Tasks[[#This Row],[_Res2Text]]&amp;"[")-1)),res_Name,0),IFERROR(MATCH(TRIM(LEFT(Tasks[[#This Row],[_Res2Text]],FIND("[",Tasks[[#This Row],[_Res2Text]]&amp;"[")-1)),res_Initials,0),0)))</f>
        <v>0</v>
      </c>
      <c r="DQ22" s="43" t="n">
        <f aca="false">IF(Tasks[[#This Row],[_Res3Text]]="",0,IFERROR(MATCH(TRIM(LEFT(Tasks[[#This Row],[_Res3Text]],FIND("[",Tasks[[#This Row],[_Res3Text]]&amp;"[")-1)),res_Name,0),IFERROR(MATCH(TRIM(LEFT(Tasks[[#This Row],[_Res3Text]],FIND("[",Tasks[[#This Row],[_Res3Text]]&amp;"[")-1)),res_Initials,0),0)))</f>
        <v>0</v>
      </c>
      <c r="DR22" s="43" t="n">
        <f aca="false">IF(Tasks[[#This Row],[_Res4Text]]="",0,IFERROR(MATCH(TRIM(LEFT(Tasks[[#This Row],[_Res4Text]],FIND("[",Tasks[[#This Row],[_Res4Text]]&amp;"[")-1)),res_Name,0),IFERROR(MATCH(TRIM(LEFT(Tasks[[#This Row],[_Res4Text]],FIND("[",Tasks[[#This Row],[_Res4Text]]&amp;"[")-1)),res_Initials,0),0)))</f>
        <v>0</v>
      </c>
      <c r="DS22" s="43" t="str">
        <f aca="false">IF(Tasks[[#This Row],[_Res1Text]]="","",IF(Tasks[[#This Row],[_Res1Row]]&gt;0,INDEX(res_Name,Tasks[[#This Row],[_Res1Row]]),TRIM(LEFT(Tasks[[#This Row],[_Res1Text]],FIND("[",Tasks[[#This Row],[_Res1Text]]&amp;"[")-1))))</f>
        <v/>
      </c>
      <c r="DT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3" t="n">
        <f aca="false">IF(NOT(Tasks[[#This Row],[_IsLeaf]]=1),0,(Tasks[[#This Row],[_Resource1]]&lt;&gt;"")+(Tasks[[#This Row],[_Res2]]&lt;&gt;"")+(Tasks[[#This Row],[_Res3]]&lt;&gt;"")+(Tasks[[#This Row],[_Res4]]&lt;&gt;""))</f>
        <v>0</v>
      </c>
      <c r="DV22" s="43" t="str">
        <f aca="false">IF(Tasks[[#This Row],[_Res2Text]]="","",IF(Tasks[[#This Row],[_Res2Row]]&gt;0,INDEX(res_Name,Tasks[[#This Row],[_Res2Row]]),TRIM(LEFT(Tasks[[#This Row],[_Res2Text]],FIND("[",Tasks[[#This Row],[_Res2Text]]&amp;"[")-1))))</f>
        <v/>
      </c>
      <c r="DW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3" t="n">
        <f aca="false">IF(OR(NOT(Tasks[[#This Row],[_IsLeaf]]=1),Tasks[[#This Row],[_Res2Row]]=0),0,N(Tasks[[#This Row],[_Days]])*HoursPerDay*IF(Tasks[[#This Row],[_Res2Units]]="",DefaultUnits,Tasks[[#This Row],[_Res2Units]]))</f>
        <v>0</v>
      </c>
      <c r="DY22" s="43" t="n">
        <f aca="false">IF(AND(AND(Tasks[[#This Row],[_IsLeaf]]=1,Tasks[[#This Row],[_LeafTotalWork]]&gt;0),Tasks[[#This Row],[_Res2Work]]&gt;0),Tasks[[#This Row],[_Res2Work]]/(Tasks[[#This Row],[_FinishWorkday]]-Tasks[[#This Row],[_StartWorkday]]+1),0)</f>
        <v>0</v>
      </c>
      <c r="DZ22" s="43" t="n">
        <f aca="false">Tasks[[#This Row],[_Res2WorkPerWD]]*MAX(0,Tasks[[#This Row],[_StartWorkday]]-1)</f>
        <v>0</v>
      </c>
      <c r="EA22" s="43" t="n">
        <f aca="false">Tasks[[#This Row],[_Res2Work]]*Tasks[[#This Row],[_LeafProgress]]</f>
        <v>0</v>
      </c>
      <c r="EB22" s="43" t="str">
        <f aca="false">IF(Tasks[[#This Row],[_Res3Text]]="","",IF(Tasks[[#This Row],[_Res3Row]]&gt;0,INDEX(res_Name,Tasks[[#This Row],[_Res3Row]]),TRIM(LEFT(Tasks[[#This Row],[_Res3Text]],FIND("[",Tasks[[#This Row],[_Res3Text]]&amp;"[")-1))))</f>
        <v/>
      </c>
      <c r="EC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3" t="n">
        <f aca="false">IF(OR(NOT(Tasks[[#This Row],[_IsLeaf]]=1),Tasks[[#This Row],[_Res3Row]]=0),0,N(Tasks[[#This Row],[_Days]])*HoursPerDay*IF(Tasks[[#This Row],[_Res3Units]]="",DefaultUnits,Tasks[[#This Row],[_Res3Units]]))</f>
        <v>0</v>
      </c>
      <c r="EE22" s="43" t="n">
        <f aca="false">IF(AND(AND(Tasks[[#This Row],[_IsLeaf]]=1,Tasks[[#This Row],[_LeafTotalWork]]&gt;0),Tasks[[#This Row],[_Res3Work]]&gt;0),Tasks[[#This Row],[_Res3Work]]/(Tasks[[#This Row],[_FinishWorkday]]-Tasks[[#This Row],[_StartWorkday]]+1),0)</f>
        <v>0</v>
      </c>
      <c r="EF22" s="43" t="n">
        <f aca="false">Tasks[[#This Row],[_Res3WorkPerWD]]*MAX(0,Tasks[[#This Row],[_StartWorkday]]-1)</f>
        <v>0</v>
      </c>
      <c r="EG22" s="43" t="n">
        <f aca="false">Tasks[[#This Row],[_Res3Work]]*Tasks[[#This Row],[_LeafProgress]]</f>
        <v>0</v>
      </c>
      <c r="EH22" s="43" t="str">
        <f aca="false">IF(Tasks[[#This Row],[_Res4Text]]="","",IF(Tasks[[#This Row],[_Res4Row]]&gt;0,INDEX(res_Name,Tasks[[#This Row],[_Res4Row]]),TRIM(LEFT(Tasks[[#This Row],[_Res4Text]],FIND("[",Tasks[[#This Row],[_Res4Text]]&amp;"[")-1))))</f>
        <v/>
      </c>
      <c r="EI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3" t="n">
        <f aca="false">IF(OR(NOT(Tasks[[#This Row],[_IsLeaf]]=1),Tasks[[#This Row],[_Res4Row]]=0),0,N(Tasks[[#This Row],[_Days]])*HoursPerDay*IF(Tasks[[#This Row],[_Res4Units]]="",DefaultUnits,Tasks[[#This Row],[_Res4Units]]))</f>
        <v>0</v>
      </c>
      <c r="EK22" s="43" t="n">
        <f aca="false">IF(AND(AND(Tasks[[#This Row],[_IsLeaf]]=1,Tasks[[#This Row],[_LeafTotalWork]]&gt;0),Tasks[[#This Row],[_Res4Work]]&gt;0),Tasks[[#This Row],[_Res4Work]]/(Tasks[[#This Row],[_FinishWorkday]]-Tasks[[#This Row],[_StartWorkday]]+1),0)</f>
        <v>0</v>
      </c>
      <c r="EL22" s="43" t="n">
        <f aca="false">Tasks[[#This Row],[_Res4WorkPerWD]]*MAX(0,Tasks[[#This Row],[_StartWorkday]]-1)</f>
        <v>0</v>
      </c>
      <c r="EM22" s="43" t="n">
        <f aca="false">Tasks[[#This Row],[_Res4Work]]*Tasks[[#This Row],[_LeafProgress]]</f>
        <v>0</v>
      </c>
      <c r="EN22" s="43" t="n">
        <f aca="false">IF(ISNUMBER(Tasks[[#This Row],[% Complete]]),Tasks[[#This Row],[% Complete]],IF(Tasks[[#This Row],[Stage]]="",0,IFERROR(INDEX(stg_Pct,MATCH(Tasks[[#This Row],[Stage]],stg_Name,0)),0)))</f>
        <v>0</v>
      </c>
      <c r="EO22" s="43" t="n">
        <f aca="false">IF(NOT(Tasks[[#This Row],[_IsLeaf]]=1),0,IF(N(Tasks[[#This Row],[Actual Finish]])&gt;0,1,MIN(1,Tasks[[#This Row],[_Pct]])))</f>
        <v>0</v>
      </c>
      <c r="EP22" s="43" t="n">
        <f aca="false">IF(OR(NOT(Tasks[[#This Row],[_IsLeaf]]=1),Tasks[[#This Row],[_Res1Row]]=0),0,N(Tasks[[#This Row],[_Days]])*HoursPerDay*IF(Tasks[[#This Row],[_Units1]]="",DefaultUnits,Tasks[[#This Row],[_Units1]]))</f>
        <v>0</v>
      </c>
      <c r="EQ22" s="43" t="n">
        <f aca="false">Tasks[[#This Row],[_LeafWork]]+Tasks[[#This Row],[_Res2Work]]+Tasks[[#This Row],[_Res3Work]]+Tasks[[#This Row],[_Res4Work]]</f>
        <v>0</v>
      </c>
      <c r="ER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3" t="n">
        <f aca="false">IF(NOT(Tasks[[#This Row],[_IsLeaf]]=1),0,MAX(_xlfn.MAXIFS(Tasks[_Row],Tasks[_Pred1UID],Tasks[[#This Row],[UID]]),_xlfn.MAXIFS(Tasks[_Row],Tasks[_Pred2UID],Tasks[[#This Row],[UID]]),_xlfn.MAXIFS(Tasks[_Row],Tasks[_Pred3UID],Tasks[[#This Row],[UID]]),_xlfn.MAXIFS(Tasks[_Row],Tasks[_Pred4UID],Tasks[[#This Row],[UID]])))</f>
        <v>0</v>
      </c>
      <c r="FA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91" t="str">
        <f aca="false">IF(NOT(Tasks[[#This Row],[_IsLeaf]]=1),"",IF(N(Tasks[[#This Row],[_Days]])&lt;=0,Tasks[[#This Row],[_LeafLateFinish]],WORKDAY.INTL(Tasks[[#This Row],[_LeafLateFinish]],-(Tasks[[#This Row],[_Days]]-1),WorkWeek,Holidays)))</f>
        <v/>
      </c>
      <c r="FD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2" s="90" t="b">
        <f aca="false">AND(Tasks[[#This Row],[_IsLeaf]]=1,Tasks[[#This Row],[_LeafProgress]]&lt;1,N(Tasks[[#This Row],[_LeafTotalSlack]])&lt;=CriticalSlackDays)</f>
        <v>0</v>
      </c>
      <c r="FF22" s="43" t="n">
        <f aca="false">IF(AND(Tasks[[#This Row],[_IsLeaf]]=1,Tasks[[#This Row],[_ConstraintCode]]=1,Tasks[[#This Row],[Mode]]&lt;&gt;"Manual",N(Tasks[[#This Row],[Actual Start]])=0),MAX(0,N(Tasks[[#This Row],[Free Slack]])),0)</f>
        <v>0</v>
      </c>
      <c r="FG22" s="91" t="str">
        <f aca="false">IF(NOT(Tasks[[#This Row],[_IsLeaf]]=1),"",IF(Tasks[[#This Row],[_AlapShift]]=0,Tasks[[#This Row],[_LeafCalcStart]],WORKDAY.INTL(Tasks[[#This Row],[_LeafCalcStart]],Tasks[[#This Row],[_AlapShift]],WorkWeek,Holidays)))</f>
        <v/>
      </c>
      <c r="FH22" s="91" t="str">
        <f aca="false">IF(NOT(Tasks[[#This Row],[_IsLeaf]]=1),"",IF(Tasks[[#This Row],[_AlapShift]]=0,Tasks[[#This Row],[_LeafCalcFinish]],WORKDAY.INTL(Tasks[[#This Row],[_LeafCalcFinish]],Tasks[[#This Row],[_AlapShift]],WorkWeek,Holidays)))</f>
        <v/>
      </c>
      <c r="FI22" s="91" t="str">
        <f aca="false">IF(NOT(Tasks[[#This Row],[_IsLeaf]]=1),"",IF(Tasks[[#This Row],[_AlapShift]]=0,Tasks[[#This Row],[_LeafFcstStart]],WORKDAY.INTL(Tasks[[#This Row],[_LeafFcstStart]],Tasks[[#This Row],[_AlapShift]],WorkWeek,Holidays)))</f>
        <v/>
      </c>
      <c r="FJ22" s="91" t="str">
        <f aca="false">IF(NOT(Tasks[[#This Row],[_IsLeaf]]=1),"",IF(Tasks[[#This Row],[_AlapShift]]=0,Tasks[[#This Row],[_LeafFcstFinish]],WORKDAY.INTL(Tasks[[#This Row],[_LeafFcstFinish]],Tasks[[#This Row],[_AlapShift]],WorkWeek,Holidays)))</f>
        <v/>
      </c>
      <c r="FK22" s="91" t="str">
        <f aca="false">IF(Tasks[[#This Row],[Task Name]]="","",IF(Tasks[[#This Row],[_IsSummary]],MIN(INDEX(Tasks[_ShownCalcStart],Tasks[[#This Row],[_Row]]+1):INDEX(Tasks[_ShownCalcStart],Tasks[[#This Row],[_Row]]+Tasks[[#This Row],[_Descendants]])),Tasks[[#This Row],[_ShownCalcStart]]))</f>
        <v/>
      </c>
      <c r="FL22" s="91" t="str">
        <f aca="false">IF(Tasks[[#This Row],[Task Name]]="","",IF(Tasks[[#This Row],[_IsSummary]],MAX(INDEX(Tasks[_ShownCalcFinish],Tasks[[#This Row],[_Row]]+1):INDEX(Tasks[_ShownCalcFinish],Tasks[[#This Row],[_Row]]+Tasks[[#This Row],[_Descendants]])),Tasks[[#This Row],[_ShownCalcFinish]]))</f>
        <v/>
      </c>
      <c r="FM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2" s="43" t="n">
        <f aca="false">IF(AND(Tasks[[#This Row],[_IsLeaf]]=1,Tasks[[#This Row],[_LeafTotalWork]]&gt;0),NETWORKDAYS.INTL(ProjectStart,Tasks[[#This Row],[_ShownFcstStart]],WorkWeek,Holidays),0)</f>
        <v>0</v>
      </c>
      <c r="FZ22" s="43" t="n">
        <f aca="false">IF(AND(Tasks[[#This Row],[_IsLeaf]]=1,Tasks[[#This Row],[_LeafTotalWork]]&gt;0),MAX(Tasks[[#This Row],[_StartWorkday]],NETWORKDAYS.INTL(ProjectStart,Tasks[[#This Row],[_ShownFcstFinish]],WorkWeek,Holidays)),0)</f>
        <v>0</v>
      </c>
      <c r="GA22" s="43" t="n">
        <f aca="false">IF(AND(Tasks[[#This Row],[_IsLeaf]]=1,Tasks[[#This Row],[_LeafTotalWork]]&gt;0),Tasks[[#This Row],[_LeafWork]]/(Tasks[[#This Row],[_FinishWorkday]]-Tasks[[#This Row],[_StartWorkday]]+1),0)</f>
        <v>0</v>
      </c>
      <c r="GB22" s="43" t="n">
        <f aca="false">Tasks[[#This Row],[_WorkPerWorkday]]*(Tasks[[#This Row],[_StartWorkday]]-1)</f>
        <v>-0</v>
      </c>
      <c r="GC22" s="43" t="n">
        <f aca="false">IF(Tasks[[#This Row],[_IsLeaf]]=1,MAX(N(Tasks[[#This Row],[_Days]]),0.1),0)</f>
        <v>0</v>
      </c>
      <c r="GD22" s="43" t="n">
        <f aca="false">Tasks[[#This Row],[_WeightDur]]*Tasks[[#This Row],[_LeafProgress]]</f>
        <v>0</v>
      </c>
      <c r="GE22" s="43" t="n">
        <f aca="false">Tasks[[#This Row],[_WeightDur]]*Tasks[[#This Row],[_PlannedPct]]</f>
        <v>0</v>
      </c>
      <c r="GF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3" t="str">
        <f aca="false">IF(AND(Tasks[[#This Row],[_IsLeaf]]=1,N(Tasks[[#This Row],[_Days]])=0,Tasks[[#This Row],[_LeafProgress]]&lt;1),Tasks[[#This Row],[_ShownFcstFinish]]+Tasks[[#This Row],[_Row]]/100000,"")</f>
        <v/>
      </c>
      <c r="GH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2" s="43" t="str">
        <f aca="false">IF(Tasks[[#This Row],[Task Name]]="","",LEFT(Tasks[[#This Row],[WBS]],FIND(".",Tasks[[#This Row],[WBS]]&amp;".")-1))</f>
        <v/>
      </c>
      <c r="GJ22" s="43" t="str">
        <f aca="false">IF(AND(Tasks[[#This Row],[Task Name]]&lt;&gt;"",Tasks[[#This Row],[_Level]]=1),Tasks[[#This Row],[_Row]],"")</f>
        <v/>
      </c>
      <c r="GK22" s="43" t="str">
        <f aca="false">IF(AND(Tasks[[#This Row],[_IsLeaf]]=1,N(Tasks[[#This Row],[_Days]])=0),Tasks[[#This Row],[Planned Finish]]+Tasks[[#This Row],[_Row]]/100000,"")</f>
        <v/>
      </c>
      <c r="GL22" s="43" t="str">
        <f aca="false">IF(AND(Tasks[[#This Row],[_IsLeaf]]=1,Tasks[[#This Row],[_LeafProgress]]&lt;1,OR(N(Tasks[[#This Row],[Finish Var]])&gt;0,Tasks[[#This Row],[Status]]="Late Start")),MAX(0,Tasks[[#This Row],[Finish Var]])+1-Tasks[[#This Row],[_Row]]/1000000,"")</f>
        <v/>
      </c>
      <c r="GM22" s="43" t="str">
        <f aca="false">IF(AND(Tasks[[#This Row],[_IsLeaf]]=1,N(Tasks[[#This Row],[Actual Start]])=0,Tasks[[#This Row],[_ShownFcstStart]]&gt;=StatusDate,Tasks[[#This Row],[_ShownFcstStart]]&lt;=LookaheadEnd),Tasks[[#This Row],[_ShownFcstStart]]+Tasks[[#This Row],[_Row]]/100000,"")</f>
        <v/>
      </c>
      <c r="GN22" s="43" t="str">
        <f aca="false">IF(AND(Tasks[[#This Row],[_IsLeaf]]=1,Tasks[[#This Row],[_LeafProgress]]&lt;1,Tasks[[#This Row],[_ShownFcstFinish]]&gt;=StatusDate,Tasks[[#This Row],[_ShownFcstFinish]]&lt;=LookaheadEnd),Tasks[[#This Row],[_ShownFcstFinish]]+Tasks[[#This Row],[_Row]]/100000,"")</f>
        <v/>
      </c>
      <c r="GO22" s="43" t="str">
        <f aca="false">IF(Tasks[[#This Row],[_LeafCritical]],Tasks[[#This Row],[_ShownFcstStart]]+Tasks[[#This Row],[_Row]]/100000,"")</f>
        <v/>
      </c>
      <c r="GP22" s="43" t="n">
        <f aca="false">Tasks[[#This Row],[_LeafWork]]*Tasks[[#This Row],[_LeafProgress]]</f>
        <v>0</v>
      </c>
      <c r="GQ22" s="91" t="str">
        <f aca="false">IF(AND(Tasks[[#This Row],[_IsLeaf]]=1,Tasks[[#This Row],[_LeafProgress]]&gt;=1),IF(N(Tasks[[#This Row],[Actual Finish]])&gt;0,Tasks[[#This Row],[Actual Finish]],Tasks[[#This Row],[_ShownFcstFinish]]),"")</f>
        <v/>
      </c>
      <c r="GR22" s="43" t="n">
        <f aca="false">IF(Tasks[[#This Row],[_IsLeaf]]=1,N(Tasks[[#This Row],[Story Points]]),0)</f>
        <v>0</v>
      </c>
      <c r="GS22" s="43" t="str">
        <f aca="false">""</f>
        <v/>
      </c>
      <c r="GT22" s="90" t="b">
        <f aca="false">IF(Tasks[[#This Row],[Task Name]]="",FALSE(),AND(Tasks[[#This Row],[_IsLeaf]]=1,N(Tasks[[#This Row],[_Days]])=0))</f>
        <v>0</v>
      </c>
      <c r="GU22" s="91" t="n">
        <f aca="false">IF(Tasks[[#This Row],[Task Name]]="",0,IF(AND(Tasks[[#This Row],[_IsLeaf]]=1,NOT(Tasks[[#This Row],[_IsMilestone]]),N(Tasks[[#This Row],[Progress]])&gt;0),Tasks[[#This Row],[Start]],0))</f>
        <v>0</v>
      </c>
      <c r="GV22" s="91" t="n">
        <f aca="false">IF(Tasks[[#This Row],[_DoneFrom]]=0,0,IF(Tasks[[#This Row],[Progress]]&gt;=1,Tasks[[#This Row],[Finish]],MAX(Tasks[[#This Row],[_DoneFrom]],Tasks[[#This Row],[Start]]+ROUND((Tasks[[#This Row],[Finish]]-Tasks[[#This Row],[Start]]+1)*Tasks[[#This Row],[Progress]],0)-1)))</f>
        <v>0</v>
      </c>
      <c r="GW22" s="91" t="n">
        <f aca="false">IF(Tasks[[#This Row],[Task Name]]="",0,IF(OR(NOT(Tasks[[#This Row],[_IsLeaf]]=1),Tasks[[#This Row],[_IsMilestone]],N(Tasks[[#This Row],[Progress]])&gt;=1),0,IF(Tasks[[#This Row],[_DoneTo]]&gt;0,Tasks[[#This Row],[_DoneTo]]+1,Tasks[[#This Row],[Start]])))</f>
        <v>0</v>
      </c>
      <c r="GX22" s="91" t="n">
        <f aca="false">IF(Tasks[[#This Row],[_RemFrom]]=0,0,Tasks[[#This Row],[Finish]])</f>
        <v>0</v>
      </c>
      <c r="GY22" s="90" t="b">
        <f aca="false">IF(Tasks[[#This Row],[Task Name]]="",FALSE(),OR(NOT(BaselineSet),N(Tasks[[#This Row],[Baseline Start]])&gt;0))</f>
        <v>0</v>
      </c>
      <c r="GZ2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92" t="str">
        <f aca="false">IF(Tasks[[#This Row],[_IsLeaf]]=1,Tasks[[#This Row],[_Row]],"")</f>
        <v/>
      </c>
      <c r="HD22" s="92" t="str">
        <f aca="false">IFERROR(INDEX(Tasks[UID],SMALL(Tasks[_PickKey],Tasks[[#This Row],[_Row]]))&amp;" "&amp;INDEX(Tasks[Task Name],SMALL(Tasks[_PickKey],Tasks[[#This Row],[_Row]])),"")</f>
        <v/>
      </c>
      <c r="HE22" s="43" t="str">
        <f aca="false">IF(Tasks[[#This Row],[Task Name]]="","",IF(Tasks[[#This Row],[_IsSummary]],NETWORKDAYS.INTL(Tasks[[#This Row],[Start]],Tasks[[#This Row],[Finish]],WorkWeek,Holidays),N(Tasks[[#This Row],[_Days]])))</f>
        <v/>
      </c>
      <c r="HF22" s="43" t="n">
        <f aca="false">IF(Tasks[[#This Row],[Expected]]="",0,((Tasks[[#This Row],[Pessimistic]]-Tasks[[#This Row],[Optimistic]])/6)^2)</f>
        <v>0</v>
      </c>
      <c r="HG22" s="43" t="n">
        <f aca="false">IF(Tasks[[#This Row],[Expected]]="",0,Tasks[[#This Row],[Expected]]-N(Tasks[[#This Row],[_Days]]))</f>
        <v>0</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4"/>
      <c r="U23" s="23"/>
      <c r="V23" s="84"/>
      <c r="W23" s="23"/>
      <c r="X23" s="84"/>
      <c r="Y23" s="23"/>
      <c r="Z23" s="84"/>
      <c r="AA23" s="23"/>
      <c r="AB23" s="23"/>
      <c r="AC23" s="7"/>
      <c r="AD23" s="7"/>
      <c r="AE23" s="63" t="str">
        <f aca="false">IF(Tasks[[#This Row],[Task Name]]="","",IF(Tasks[[#This Row],[_IsSummary]],MIN(INDEX(Tasks[_ShownFcstStart],Tasks[[#This Row],[_Row]]+1):INDEX(Tasks[_ShownFcstStart],Tasks[[#This Row],[_Row]]+Tasks[[#This Row],[_Descendants]])),Tasks[[#This Row],[_ShownFcstStart]]))</f>
        <v/>
      </c>
      <c r="AF23" s="63"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3" s="7"/>
      <c r="AK23" s="22"/>
      <c r="AL23" s="23"/>
      <c r="AM23" s="7"/>
      <c r="AN23" s="47"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3" t="str">
        <f aca="false">IF(Tasks[[#This Row],[Task Name]]="","",IF(N(Tasks[[#This Row],[Baseline Start]])&gt;0,Tasks[[#This Row],[Baseline Start]],Tasks[[#This Row],[_CalcStart]]))</f>
        <v/>
      </c>
      <c r="AR23" s="63" t="str">
        <f aca="false">IF(Tasks[[#This Row],[Task Name]]="","",IF(N(Tasks[[#This Row],[Baseline Finish]])&gt;0,Tasks[[#This Row],[Baseline Finish]],Tasks[[#This Row],[_CalcFinish]]))</f>
        <v/>
      </c>
      <c r="AS23" s="47" t="str">
        <f aca="false">IF(Tasks[[#This Row],[Task Name]]="","",IF(Tasks[[#This Row],[Start]]&gt;=Tasks[[#This Row],[Planned Start]],NETWORKDAYS.INTL(Tasks[[#This Row],[Planned Start]],Tasks[[#This Row],[Start]],WorkWeek,Holidays)-1,1-NETWORKDAYS.INTL(Tasks[[#This Row],[Start]],Tasks[[#This Row],[Planned Start]],WorkWeek,Holidays)))</f>
        <v/>
      </c>
      <c r="AT23" s="63" t="str">
        <f aca="false">IF(Tasks[[#This Row],[Task Name]]="","",IF(Tasks[[#This Row],[_IsSummary]],MIN(INDEX(Tasks[_LeafLateStart],Tasks[[#This Row],[_Row]]+1):INDEX(Tasks[_LeafLateStart],Tasks[[#This Row],[_Row]]+Tasks[[#This Row],[_Descendants]])),Tasks[[#This Row],[_LeafLateStart]]))</f>
        <v/>
      </c>
      <c r="AU23" s="63" t="str">
        <f aca="false">IF(Tasks[[#This Row],[Task Name]]="","",IF(Tasks[[#This Row],[_IsSummary]],MAX(INDEX(Tasks[_LeafLateFinish],Tasks[[#This Row],[_Row]]+1):INDEX(Tasks[_LeafLateFinish],Tasks[[#This Row],[_Row]]+Tasks[[#This Row],[_Descendants]])),Tasks[[#This Row],[_LeafLateFinish]]))</f>
        <v/>
      </c>
      <c r="AV23" s="47"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5"/>
      <c r="BA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6"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7"/>
      <c r="BJ23" s="22"/>
      <c r="BK23" s="47" t="str">
        <f aca="false">IF(OR(Tasks[[#This Row],[Task Name]]="",Tasks[[#This Row],[Baseline Duration]]=""),"",Tasks[[#This Row],[_SpanDays]]-N(Tasks[[#This Row],[Baseline Duration]]))</f>
        <v/>
      </c>
      <c r="BL23" s="86" t="str">
        <f aca="false">IF(OR(Tasks[[#This Row],[Task Name]]="",Tasks[[#This Row],[Baseline Work]]=""),"",Tasks[[#This Row],[Work]]-N(Tasks[[#This Row],[Baseline Work]]))</f>
        <v/>
      </c>
      <c r="BM23" s="63" t="str">
        <f aca="false">IF(Tasks[[#This Row],[Task Name]]="","",IF(OR(TakeBaseline="Yes",N(Tasks[[#This Row],[Baseline Start]])=0),Tasks[[#This Row],[Start]],Tasks[[#This Row],[Baseline Start]]))</f>
        <v/>
      </c>
      <c r="BN23" s="63" t="str">
        <f aca="false">IF(Tasks[[#This Row],[Task Name]]="","",IF(OR(TakeBaseline="Yes",N(Tasks[[#This Row],[Baseline Finish]])=0),Tasks[[#This Row],[Finish]],Tasks[[#This Row],[Baseline Finish]]))</f>
        <v/>
      </c>
      <c r="BO23" s="21" t="str">
        <f aca="false">IF(Tasks[[#This Row],[Task Name]]="","",IF(OR(TakeBaseline="Yes",N(Tasks[[#This Row],[Baseline Duration]])=0),Tasks[[#This Row],[_SpanDays]],Tasks[[#This Row],[Baseline Duration]]))</f>
        <v/>
      </c>
      <c r="BP23" s="86" t="str">
        <f aca="false">IF(Tasks[[#This Row],[Task Name]]="","",IF(OR(TakeBaseline="Yes",N(Tasks[[#This Row],[Baseline Work]])=0),Tasks[[#This Row],[Work]],Tasks[[#This Row],[Baseline Work]]))</f>
        <v/>
      </c>
      <c r="BQ23" s="7"/>
      <c r="BR23" s="7"/>
      <c r="BS23" s="22"/>
      <c r="BT23" s="88"/>
      <c r="BU23" s="23"/>
      <c r="BV23" s="23"/>
      <c r="BW23" s="23"/>
      <c r="BX23" s="89" t="str">
        <f aca="false">IF(AND(Tasks[[#This Row],[_IsLeaf]]=1,ISNUMBER(Tasks[[#This Row],[Optimistic]]),ISNUMBER(Tasks[[#This Row],[Pessimistic]])),ROUND((Tasks[[#This Row],[Optimistic]]+4*N(Tasks[[#This Row],[_Days]])+Tasks[[#This Row],[Pessimistic]])/6,1),"")</f>
        <v/>
      </c>
      <c r="BY23" s="87"/>
      <c r="BZ23" s="87"/>
      <c r="CA23" s="22"/>
      <c r="CB23" s="43" t="str">
        <f aca="false">IF(Tasks[[#This Row],[Task Name]]="","",MAX(1,N(Tasks[[#This Row],[Level]])))</f>
        <v/>
      </c>
      <c r="CC23" s="43" t="n">
        <f aca="false">ROW()-ROW(Tasks[[#Headers],[ID]])</f>
        <v>18</v>
      </c>
      <c r="CD23" s="43" t="n">
        <f aca="false">IF(OR(Tasks[[#This Row],[Task Name]]="",Tasks[[#This Row],[_Level]]&lt;=1),0,IFERROR(LOOKUP(2,1/(Tasks[[#Headers],[_Level]]:Tasks[[#This Row],[_Level]]=Tasks[[#This Row],[_Level]]-1),ROW(Tasks[[#Headers],[_Level]]:Tasks[[#This Row],[_Level]])),0))</f>
        <v>0</v>
      </c>
      <c r="CE23" s="43" t="n">
        <f aca="false">IFERROR(N(INDEX(Tasks[_Level],Tasks[[#This Row],[_Row]]+1)),0)</f>
        <v>0</v>
      </c>
      <c r="CF23" s="90" t="b">
        <f aca="false">AND(Tasks[[#This Row],[Task Name]]&lt;&gt;"",Tasks[[#This Row],[_NextLevel]]&gt;Tasks[[#This Row],[_Level]])</f>
        <v>0</v>
      </c>
      <c r="CG23" s="43" t="n">
        <f aca="false">IF(Tasks[[#This Row],[_IsSummary]],COUNTIF(Tasks[WBS],Tasks[[#This Row],[WBS]]&amp;".*"),0)</f>
        <v>0</v>
      </c>
      <c r="CH23" s="43" t="n">
        <f aca="false">IF(AND(Tasks[[#This Row],[Task Name]]&lt;&gt;"",NOT(Tasks[[#This Row],[_IsSummary]])),1,0)</f>
        <v>0</v>
      </c>
      <c r="CI23" s="43" t="n">
        <f aca="false">IF(N(Tasks[[#This Row],[_Pred1UID]])=0,0,IFERROR(MATCH(Tasks[[#This Row],[_Pred1UID]],Tasks[UID],0),-1))</f>
        <v>0</v>
      </c>
      <c r="CJ23" s="43" t="n">
        <f aca="false">IF(N(Tasks[[#This Row],[_Pred2UID]])=0,0,IFERROR(MATCH(Tasks[[#This Row],[_Pred2UID]],Tasks[UID],0),-1))</f>
        <v>0</v>
      </c>
      <c r="CK23" s="43" t="n">
        <f aca="false">IF(N(Tasks[[#This Row],[_Pred3UID]])=0,0,IFERROR(MATCH(Tasks[[#This Row],[_Pred3UID]],Tasks[UID],0),-1))</f>
        <v>0</v>
      </c>
      <c r="CL23" s="43" t="n">
        <f aca="false">IF(N(Tasks[[#This Row],[_Pred4UID]])=0,0,IFERROR(MATCH(Tasks[[#This Row],[_Pred4UID]],Tasks[UID],0),-1))</f>
        <v>0</v>
      </c>
      <c r="CM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3" s="91" t="n">
        <f aca="false">IF(OR(Tasks[[#This Row],[_ConstraintCode]]=2,Tasks[[#This Row],[_ConstraintCode]]=3,Tasks[[#This Row],[_ConstraintCode]]=4,Tasks[[#This Row],[_ConstraintCode]]=6),Tasks[[#This Row],[_ConstraintStart]],0)</f>
        <v>0</v>
      </c>
      <c r="CP23" s="91" t="n">
        <f aca="false">IF(OR(Tasks[[#This Row],[_ConstraintCode]]=2,Tasks[[#This Row],[_ConstraintCode]]=3,Tasks[[#This Row],[_ConstraintCode]]=5,Tasks[[#This Row],[_ConstraintCode]]=7),Tasks[[#This Row],[_ConstraintStart]],2958465)</f>
        <v>2958465</v>
      </c>
      <c r="CQ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91" t="str">
        <f aca="false">IF(NOT(Tasks[[#This Row],[_IsLeaf]]=1),"",IF(N(Tasks[[#This Row],[_Days]])&lt;=0,Tasks[[#This Row],[_LeafCalcStart]],WORKDAY.INTL(Tasks[[#This Row],[_LeafCalcStart]],Tasks[[#This Row],[_Days]]-1,WorkWeek,Holidays)))</f>
        <v/>
      </c>
      <c r="CS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3" t="str">
        <f aca="false">IF(Tasks[[#This Row],[_Predecessors]]="","",TRIM(MID(SUBSTITUTE(SUBSTITUTE(SUBSTITUTE(UPPER(Tasks[[#This Row],[_Predecessors]]),";",",")," ",""),",",REPT(" ",99)),1,99)))</f>
        <v/>
      </c>
      <c r="CV23" s="43" t="str">
        <f aca="false">IF(Tasks[[#This Row],[_Pred1Text]]="","",IFERROR(VALUE(LEFT(Tasks[[#This Row],[_Pred1Text]],MIN(FIND("F",Tasks[[#This Row],[_Pred1Text]]&amp;"F"),FIND("S",Tasks[[#This Row],[_Pred1Text]]&amp;"S"),FIND("+",Tasks[[#This Row],[_Pred1Text]]&amp;"+"),FIND("-",Tasks[[#This Row],[_Pred1Text]]&amp;"-"))-1)),""))</f>
        <v/>
      </c>
      <c r="CW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3" t="str">
        <f aca="false">IF(Tasks[[#This Row],[_Pred1Text]]="","",TRIM(MID(SUBSTITUTE(SUBSTITUTE(SUBSTITUTE(UPPER(Tasks[[#This Row],[_Predecessors]]),";",",")," ",""),",",REPT(" ",99)),100,99)))</f>
        <v/>
      </c>
      <c r="CZ23" s="43" t="str">
        <f aca="false">IF(Tasks[[#This Row],[_Pred2Text]]="","",IFERROR(VALUE(LEFT(Tasks[[#This Row],[_Pred2Text]],MIN(FIND("F",Tasks[[#This Row],[_Pred2Text]]&amp;"F"),FIND("S",Tasks[[#This Row],[_Pred2Text]]&amp;"S"),FIND("+",Tasks[[#This Row],[_Pred2Text]]&amp;"+"),FIND("-",Tasks[[#This Row],[_Pred2Text]]&amp;"-"))-1)),""))</f>
        <v/>
      </c>
      <c r="DA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3" t="str">
        <f aca="false">IF(Tasks[[#This Row],[_Pred2Text]]="","",TRIM(MID(SUBSTITUTE(SUBSTITUTE(SUBSTITUTE(UPPER(Tasks[[#This Row],[_Predecessors]]),";",",")," ",""),",",REPT(" ",99)),199,99)))</f>
        <v/>
      </c>
      <c r="DD23" s="43" t="str">
        <f aca="false">IF(Tasks[[#This Row],[_Pred3Text]]="","",IFERROR(VALUE(LEFT(Tasks[[#This Row],[_Pred3Text]],MIN(FIND("F",Tasks[[#This Row],[_Pred3Text]]&amp;"F"),FIND("S",Tasks[[#This Row],[_Pred3Text]]&amp;"S"),FIND("+",Tasks[[#This Row],[_Pred3Text]]&amp;"+"),FIND("-",Tasks[[#This Row],[_Pred3Text]]&amp;"-"))-1)),""))</f>
        <v/>
      </c>
      <c r="DE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3" t="str">
        <f aca="false">IF(Tasks[[#This Row],[_Pred3Text]]="","",TRIM(MID(SUBSTITUTE(SUBSTITUTE(SUBSTITUTE(UPPER(Tasks[[#This Row],[_Predecessors]]),";",",")," ",""),",",REPT(" ",99)),298,99)))</f>
        <v/>
      </c>
      <c r="DH23" s="43" t="str">
        <f aca="false">IF(Tasks[[#This Row],[_Pred4Text]]="","",IFERROR(VALUE(LEFT(Tasks[[#This Row],[_Pred4Text]],MIN(FIND("F",Tasks[[#This Row],[_Pred4Text]]&amp;"F"),FIND("S",Tasks[[#This Row],[_Pred4Text]]&amp;"S"),FIND("+",Tasks[[#This Row],[_Pred4Text]]&amp;"+"),FIND("-",Tasks[[#This Row],[_Pred4Text]]&amp;"-"))-1)),""))</f>
        <v/>
      </c>
      <c r="DI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3" t="str">
        <f aca="false">IF(OR(Tasks[[#This Row],[Task Name]]="",Tasks[[#This Row],[_Resources]]=""),"",TRIM(MID(SUBSTITUTE(Tasks[[#This Row],[_Resources]],",",REPT(" ",99)),1,99)))</f>
        <v/>
      </c>
      <c r="DL23" s="43" t="str">
        <f aca="false">IF(Tasks[[#This Row],[_Res1Text]]="","",TRIM(MID(SUBSTITUTE(Tasks[[#This Row],[_Resources]],",",REPT(" ",99)),100,99)))</f>
        <v/>
      </c>
      <c r="DM23" s="43" t="str">
        <f aca="false">IF(Tasks[[#This Row],[_Res2Text]]="","",TRIM(MID(SUBSTITUTE(Tasks[[#This Row],[_Resources]],",",REPT(" ",99)),199,99)))</f>
        <v/>
      </c>
      <c r="DN23" s="43" t="str">
        <f aca="false">IF(Tasks[[#This Row],[_Res3Text]]="","",TRIM(MID(SUBSTITUTE(Tasks[[#This Row],[_Resources]],",",REPT(" ",99)),298,99)))</f>
        <v/>
      </c>
      <c r="DO23" s="43" t="n">
        <f aca="false">IF(Tasks[[#This Row],[_Res1Text]]="",0,IFERROR(MATCH(TRIM(LEFT(Tasks[[#This Row],[_Res1Text]],FIND("[",Tasks[[#This Row],[_Res1Text]]&amp;"[")-1)),res_Name,0),IFERROR(MATCH(TRIM(LEFT(Tasks[[#This Row],[_Res1Text]],FIND("[",Tasks[[#This Row],[_Res1Text]]&amp;"[")-1)),res_Initials,0),0)))</f>
        <v>0</v>
      </c>
      <c r="DP23" s="43" t="n">
        <f aca="false">IF(Tasks[[#This Row],[_Res2Text]]="",0,IFERROR(MATCH(TRIM(LEFT(Tasks[[#This Row],[_Res2Text]],FIND("[",Tasks[[#This Row],[_Res2Text]]&amp;"[")-1)),res_Name,0),IFERROR(MATCH(TRIM(LEFT(Tasks[[#This Row],[_Res2Text]],FIND("[",Tasks[[#This Row],[_Res2Text]]&amp;"[")-1)),res_Initials,0),0)))</f>
        <v>0</v>
      </c>
      <c r="DQ23" s="43" t="n">
        <f aca="false">IF(Tasks[[#This Row],[_Res3Text]]="",0,IFERROR(MATCH(TRIM(LEFT(Tasks[[#This Row],[_Res3Text]],FIND("[",Tasks[[#This Row],[_Res3Text]]&amp;"[")-1)),res_Name,0),IFERROR(MATCH(TRIM(LEFT(Tasks[[#This Row],[_Res3Text]],FIND("[",Tasks[[#This Row],[_Res3Text]]&amp;"[")-1)),res_Initials,0),0)))</f>
        <v>0</v>
      </c>
      <c r="DR23" s="43" t="n">
        <f aca="false">IF(Tasks[[#This Row],[_Res4Text]]="",0,IFERROR(MATCH(TRIM(LEFT(Tasks[[#This Row],[_Res4Text]],FIND("[",Tasks[[#This Row],[_Res4Text]]&amp;"[")-1)),res_Name,0),IFERROR(MATCH(TRIM(LEFT(Tasks[[#This Row],[_Res4Text]],FIND("[",Tasks[[#This Row],[_Res4Text]]&amp;"[")-1)),res_Initials,0),0)))</f>
        <v>0</v>
      </c>
      <c r="DS23" s="43" t="str">
        <f aca="false">IF(Tasks[[#This Row],[_Res1Text]]="","",IF(Tasks[[#This Row],[_Res1Row]]&gt;0,INDEX(res_Name,Tasks[[#This Row],[_Res1Row]]),TRIM(LEFT(Tasks[[#This Row],[_Res1Text]],FIND("[",Tasks[[#This Row],[_Res1Text]]&amp;"[")-1))))</f>
        <v/>
      </c>
      <c r="DT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3" t="n">
        <f aca="false">IF(NOT(Tasks[[#This Row],[_IsLeaf]]=1),0,(Tasks[[#This Row],[_Resource1]]&lt;&gt;"")+(Tasks[[#This Row],[_Res2]]&lt;&gt;"")+(Tasks[[#This Row],[_Res3]]&lt;&gt;"")+(Tasks[[#This Row],[_Res4]]&lt;&gt;""))</f>
        <v>0</v>
      </c>
      <c r="DV23" s="43" t="str">
        <f aca="false">IF(Tasks[[#This Row],[_Res2Text]]="","",IF(Tasks[[#This Row],[_Res2Row]]&gt;0,INDEX(res_Name,Tasks[[#This Row],[_Res2Row]]),TRIM(LEFT(Tasks[[#This Row],[_Res2Text]],FIND("[",Tasks[[#This Row],[_Res2Text]]&amp;"[")-1))))</f>
        <v/>
      </c>
      <c r="DW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3" t="n">
        <f aca="false">IF(OR(NOT(Tasks[[#This Row],[_IsLeaf]]=1),Tasks[[#This Row],[_Res2Row]]=0),0,N(Tasks[[#This Row],[_Days]])*HoursPerDay*IF(Tasks[[#This Row],[_Res2Units]]="",DefaultUnits,Tasks[[#This Row],[_Res2Units]]))</f>
        <v>0</v>
      </c>
      <c r="DY23" s="43" t="n">
        <f aca="false">IF(AND(AND(Tasks[[#This Row],[_IsLeaf]]=1,Tasks[[#This Row],[_LeafTotalWork]]&gt;0),Tasks[[#This Row],[_Res2Work]]&gt;0),Tasks[[#This Row],[_Res2Work]]/(Tasks[[#This Row],[_FinishWorkday]]-Tasks[[#This Row],[_StartWorkday]]+1),0)</f>
        <v>0</v>
      </c>
      <c r="DZ23" s="43" t="n">
        <f aca="false">Tasks[[#This Row],[_Res2WorkPerWD]]*MAX(0,Tasks[[#This Row],[_StartWorkday]]-1)</f>
        <v>0</v>
      </c>
      <c r="EA23" s="43" t="n">
        <f aca="false">Tasks[[#This Row],[_Res2Work]]*Tasks[[#This Row],[_LeafProgress]]</f>
        <v>0</v>
      </c>
      <c r="EB23" s="43" t="str">
        <f aca="false">IF(Tasks[[#This Row],[_Res3Text]]="","",IF(Tasks[[#This Row],[_Res3Row]]&gt;0,INDEX(res_Name,Tasks[[#This Row],[_Res3Row]]),TRIM(LEFT(Tasks[[#This Row],[_Res3Text]],FIND("[",Tasks[[#This Row],[_Res3Text]]&amp;"[")-1))))</f>
        <v/>
      </c>
      <c r="EC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3" t="n">
        <f aca="false">IF(OR(NOT(Tasks[[#This Row],[_IsLeaf]]=1),Tasks[[#This Row],[_Res3Row]]=0),0,N(Tasks[[#This Row],[_Days]])*HoursPerDay*IF(Tasks[[#This Row],[_Res3Units]]="",DefaultUnits,Tasks[[#This Row],[_Res3Units]]))</f>
        <v>0</v>
      </c>
      <c r="EE23" s="43" t="n">
        <f aca="false">IF(AND(AND(Tasks[[#This Row],[_IsLeaf]]=1,Tasks[[#This Row],[_LeafTotalWork]]&gt;0),Tasks[[#This Row],[_Res3Work]]&gt;0),Tasks[[#This Row],[_Res3Work]]/(Tasks[[#This Row],[_FinishWorkday]]-Tasks[[#This Row],[_StartWorkday]]+1),0)</f>
        <v>0</v>
      </c>
      <c r="EF23" s="43" t="n">
        <f aca="false">Tasks[[#This Row],[_Res3WorkPerWD]]*MAX(0,Tasks[[#This Row],[_StartWorkday]]-1)</f>
        <v>0</v>
      </c>
      <c r="EG23" s="43" t="n">
        <f aca="false">Tasks[[#This Row],[_Res3Work]]*Tasks[[#This Row],[_LeafProgress]]</f>
        <v>0</v>
      </c>
      <c r="EH23" s="43" t="str">
        <f aca="false">IF(Tasks[[#This Row],[_Res4Text]]="","",IF(Tasks[[#This Row],[_Res4Row]]&gt;0,INDEX(res_Name,Tasks[[#This Row],[_Res4Row]]),TRIM(LEFT(Tasks[[#This Row],[_Res4Text]],FIND("[",Tasks[[#This Row],[_Res4Text]]&amp;"[")-1))))</f>
        <v/>
      </c>
      <c r="EI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3" t="n">
        <f aca="false">IF(OR(NOT(Tasks[[#This Row],[_IsLeaf]]=1),Tasks[[#This Row],[_Res4Row]]=0),0,N(Tasks[[#This Row],[_Days]])*HoursPerDay*IF(Tasks[[#This Row],[_Res4Units]]="",DefaultUnits,Tasks[[#This Row],[_Res4Units]]))</f>
        <v>0</v>
      </c>
      <c r="EK23" s="43" t="n">
        <f aca="false">IF(AND(AND(Tasks[[#This Row],[_IsLeaf]]=1,Tasks[[#This Row],[_LeafTotalWork]]&gt;0),Tasks[[#This Row],[_Res4Work]]&gt;0),Tasks[[#This Row],[_Res4Work]]/(Tasks[[#This Row],[_FinishWorkday]]-Tasks[[#This Row],[_StartWorkday]]+1),0)</f>
        <v>0</v>
      </c>
      <c r="EL23" s="43" t="n">
        <f aca="false">Tasks[[#This Row],[_Res4WorkPerWD]]*MAX(0,Tasks[[#This Row],[_StartWorkday]]-1)</f>
        <v>0</v>
      </c>
      <c r="EM23" s="43" t="n">
        <f aca="false">Tasks[[#This Row],[_Res4Work]]*Tasks[[#This Row],[_LeafProgress]]</f>
        <v>0</v>
      </c>
      <c r="EN23" s="43" t="n">
        <f aca="false">IF(ISNUMBER(Tasks[[#This Row],[% Complete]]),Tasks[[#This Row],[% Complete]],IF(Tasks[[#This Row],[Stage]]="",0,IFERROR(INDEX(stg_Pct,MATCH(Tasks[[#This Row],[Stage]],stg_Name,0)),0)))</f>
        <v>0</v>
      </c>
      <c r="EO23" s="43" t="n">
        <f aca="false">IF(NOT(Tasks[[#This Row],[_IsLeaf]]=1),0,IF(N(Tasks[[#This Row],[Actual Finish]])&gt;0,1,MIN(1,Tasks[[#This Row],[_Pct]])))</f>
        <v>0</v>
      </c>
      <c r="EP23" s="43" t="n">
        <f aca="false">IF(OR(NOT(Tasks[[#This Row],[_IsLeaf]]=1),Tasks[[#This Row],[_Res1Row]]=0),0,N(Tasks[[#This Row],[_Days]])*HoursPerDay*IF(Tasks[[#This Row],[_Units1]]="",DefaultUnits,Tasks[[#This Row],[_Units1]]))</f>
        <v>0</v>
      </c>
      <c r="EQ23" s="43" t="n">
        <f aca="false">Tasks[[#This Row],[_LeafWork]]+Tasks[[#This Row],[_Res2Work]]+Tasks[[#This Row],[_Res3Work]]+Tasks[[#This Row],[_Res4Work]]</f>
        <v>0</v>
      </c>
      <c r="ER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3" t="n">
        <f aca="false">IF(NOT(Tasks[[#This Row],[_IsLeaf]]=1),0,MAX(_xlfn.MAXIFS(Tasks[_Row],Tasks[_Pred1UID],Tasks[[#This Row],[UID]]),_xlfn.MAXIFS(Tasks[_Row],Tasks[_Pred2UID],Tasks[[#This Row],[UID]]),_xlfn.MAXIFS(Tasks[_Row],Tasks[_Pred3UID],Tasks[[#This Row],[UID]]),_xlfn.MAXIFS(Tasks[_Row],Tasks[_Pred4UID],Tasks[[#This Row],[UID]])))</f>
        <v>0</v>
      </c>
      <c r="FA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91" t="str">
        <f aca="false">IF(NOT(Tasks[[#This Row],[_IsLeaf]]=1),"",IF(N(Tasks[[#This Row],[_Days]])&lt;=0,Tasks[[#This Row],[_LeafLateFinish]],WORKDAY.INTL(Tasks[[#This Row],[_LeafLateFinish]],-(Tasks[[#This Row],[_Days]]-1),WorkWeek,Holidays)))</f>
        <v/>
      </c>
      <c r="FD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3" s="90" t="b">
        <f aca="false">AND(Tasks[[#This Row],[_IsLeaf]]=1,Tasks[[#This Row],[_LeafProgress]]&lt;1,N(Tasks[[#This Row],[_LeafTotalSlack]])&lt;=CriticalSlackDays)</f>
        <v>0</v>
      </c>
      <c r="FF23" s="43" t="n">
        <f aca="false">IF(AND(Tasks[[#This Row],[_IsLeaf]]=1,Tasks[[#This Row],[_ConstraintCode]]=1,Tasks[[#This Row],[Mode]]&lt;&gt;"Manual",N(Tasks[[#This Row],[Actual Start]])=0),MAX(0,N(Tasks[[#This Row],[Free Slack]])),0)</f>
        <v>0</v>
      </c>
      <c r="FG23" s="91" t="str">
        <f aca="false">IF(NOT(Tasks[[#This Row],[_IsLeaf]]=1),"",IF(Tasks[[#This Row],[_AlapShift]]=0,Tasks[[#This Row],[_LeafCalcStart]],WORKDAY.INTL(Tasks[[#This Row],[_LeafCalcStart]],Tasks[[#This Row],[_AlapShift]],WorkWeek,Holidays)))</f>
        <v/>
      </c>
      <c r="FH23" s="91" t="str">
        <f aca="false">IF(NOT(Tasks[[#This Row],[_IsLeaf]]=1),"",IF(Tasks[[#This Row],[_AlapShift]]=0,Tasks[[#This Row],[_LeafCalcFinish]],WORKDAY.INTL(Tasks[[#This Row],[_LeafCalcFinish]],Tasks[[#This Row],[_AlapShift]],WorkWeek,Holidays)))</f>
        <v/>
      </c>
      <c r="FI23" s="91" t="str">
        <f aca="false">IF(NOT(Tasks[[#This Row],[_IsLeaf]]=1),"",IF(Tasks[[#This Row],[_AlapShift]]=0,Tasks[[#This Row],[_LeafFcstStart]],WORKDAY.INTL(Tasks[[#This Row],[_LeafFcstStart]],Tasks[[#This Row],[_AlapShift]],WorkWeek,Holidays)))</f>
        <v/>
      </c>
      <c r="FJ23" s="91" t="str">
        <f aca="false">IF(NOT(Tasks[[#This Row],[_IsLeaf]]=1),"",IF(Tasks[[#This Row],[_AlapShift]]=0,Tasks[[#This Row],[_LeafFcstFinish]],WORKDAY.INTL(Tasks[[#This Row],[_LeafFcstFinish]],Tasks[[#This Row],[_AlapShift]],WorkWeek,Holidays)))</f>
        <v/>
      </c>
      <c r="FK23" s="91" t="str">
        <f aca="false">IF(Tasks[[#This Row],[Task Name]]="","",IF(Tasks[[#This Row],[_IsSummary]],MIN(INDEX(Tasks[_ShownCalcStart],Tasks[[#This Row],[_Row]]+1):INDEX(Tasks[_ShownCalcStart],Tasks[[#This Row],[_Row]]+Tasks[[#This Row],[_Descendants]])),Tasks[[#This Row],[_ShownCalcStart]]))</f>
        <v/>
      </c>
      <c r="FL23" s="91" t="str">
        <f aca="false">IF(Tasks[[#This Row],[Task Name]]="","",IF(Tasks[[#This Row],[_IsSummary]],MAX(INDEX(Tasks[_ShownCalcFinish],Tasks[[#This Row],[_Row]]+1):INDEX(Tasks[_ShownCalcFinish],Tasks[[#This Row],[_Row]]+Tasks[[#This Row],[_Descendants]])),Tasks[[#This Row],[_ShownCalcFinish]]))</f>
        <v/>
      </c>
      <c r="FM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3" s="43" t="n">
        <f aca="false">IF(AND(Tasks[[#This Row],[_IsLeaf]]=1,Tasks[[#This Row],[_LeafTotalWork]]&gt;0),NETWORKDAYS.INTL(ProjectStart,Tasks[[#This Row],[_ShownFcstStart]],WorkWeek,Holidays),0)</f>
        <v>0</v>
      </c>
      <c r="FZ23" s="43" t="n">
        <f aca="false">IF(AND(Tasks[[#This Row],[_IsLeaf]]=1,Tasks[[#This Row],[_LeafTotalWork]]&gt;0),MAX(Tasks[[#This Row],[_StartWorkday]],NETWORKDAYS.INTL(ProjectStart,Tasks[[#This Row],[_ShownFcstFinish]],WorkWeek,Holidays)),0)</f>
        <v>0</v>
      </c>
      <c r="GA23" s="43" t="n">
        <f aca="false">IF(AND(Tasks[[#This Row],[_IsLeaf]]=1,Tasks[[#This Row],[_LeafTotalWork]]&gt;0),Tasks[[#This Row],[_LeafWork]]/(Tasks[[#This Row],[_FinishWorkday]]-Tasks[[#This Row],[_StartWorkday]]+1),0)</f>
        <v>0</v>
      </c>
      <c r="GB23" s="43" t="n">
        <f aca="false">Tasks[[#This Row],[_WorkPerWorkday]]*(Tasks[[#This Row],[_StartWorkday]]-1)</f>
        <v>-0</v>
      </c>
      <c r="GC23" s="43" t="n">
        <f aca="false">IF(Tasks[[#This Row],[_IsLeaf]]=1,MAX(N(Tasks[[#This Row],[_Days]]),0.1),0)</f>
        <v>0</v>
      </c>
      <c r="GD23" s="43" t="n">
        <f aca="false">Tasks[[#This Row],[_WeightDur]]*Tasks[[#This Row],[_LeafProgress]]</f>
        <v>0</v>
      </c>
      <c r="GE23" s="43" t="n">
        <f aca="false">Tasks[[#This Row],[_WeightDur]]*Tasks[[#This Row],[_PlannedPct]]</f>
        <v>0</v>
      </c>
      <c r="GF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3" t="str">
        <f aca="false">IF(AND(Tasks[[#This Row],[_IsLeaf]]=1,N(Tasks[[#This Row],[_Days]])=0,Tasks[[#This Row],[_LeafProgress]]&lt;1),Tasks[[#This Row],[_ShownFcstFinish]]+Tasks[[#This Row],[_Row]]/100000,"")</f>
        <v/>
      </c>
      <c r="GH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3" s="43" t="str">
        <f aca="false">IF(Tasks[[#This Row],[Task Name]]="","",LEFT(Tasks[[#This Row],[WBS]],FIND(".",Tasks[[#This Row],[WBS]]&amp;".")-1))</f>
        <v/>
      </c>
      <c r="GJ23" s="43" t="str">
        <f aca="false">IF(AND(Tasks[[#This Row],[Task Name]]&lt;&gt;"",Tasks[[#This Row],[_Level]]=1),Tasks[[#This Row],[_Row]],"")</f>
        <v/>
      </c>
      <c r="GK23" s="43" t="str">
        <f aca="false">IF(AND(Tasks[[#This Row],[_IsLeaf]]=1,N(Tasks[[#This Row],[_Days]])=0),Tasks[[#This Row],[Planned Finish]]+Tasks[[#This Row],[_Row]]/100000,"")</f>
        <v/>
      </c>
      <c r="GL23" s="43" t="str">
        <f aca="false">IF(AND(Tasks[[#This Row],[_IsLeaf]]=1,Tasks[[#This Row],[_LeafProgress]]&lt;1,OR(N(Tasks[[#This Row],[Finish Var]])&gt;0,Tasks[[#This Row],[Status]]="Late Start")),MAX(0,Tasks[[#This Row],[Finish Var]])+1-Tasks[[#This Row],[_Row]]/1000000,"")</f>
        <v/>
      </c>
      <c r="GM23" s="43" t="str">
        <f aca="false">IF(AND(Tasks[[#This Row],[_IsLeaf]]=1,N(Tasks[[#This Row],[Actual Start]])=0,Tasks[[#This Row],[_ShownFcstStart]]&gt;=StatusDate,Tasks[[#This Row],[_ShownFcstStart]]&lt;=LookaheadEnd),Tasks[[#This Row],[_ShownFcstStart]]+Tasks[[#This Row],[_Row]]/100000,"")</f>
        <v/>
      </c>
      <c r="GN23" s="43" t="str">
        <f aca="false">IF(AND(Tasks[[#This Row],[_IsLeaf]]=1,Tasks[[#This Row],[_LeafProgress]]&lt;1,Tasks[[#This Row],[_ShownFcstFinish]]&gt;=StatusDate,Tasks[[#This Row],[_ShownFcstFinish]]&lt;=LookaheadEnd),Tasks[[#This Row],[_ShownFcstFinish]]+Tasks[[#This Row],[_Row]]/100000,"")</f>
        <v/>
      </c>
      <c r="GO23" s="43" t="str">
        <f aca="false">IF(Tasks[[#This Row],[_LeafCritical]],Tasks[[#This Row],[_ShownFcstStart]]+Tasks[[#This Row],[_Row]]/100000,"")</f>
        <v/>
      </c>
      <c r="GP23" s="43" t="n">
        <f aca="false">Tasks[[#This Row],[_LeafWork]]*Tasks[[#This Row],[_LeafProgress]]</f>
        <v>0</v>
      </c>
      <c r="GQ23" s="91" t="str">
        <f aca="false">IF(AND(Tasks[[#This Row],[_IsLeaf]]=1,Tasks[[#This Row],[_LeafProgress]]&gt;=1),IF(N(Tasks[[#This Row],[Actual Finish]])&gt;0,Tasks[[#This Row],[Actual Finish]],Tasks[[#This Row],[_ShownFcstFinish]]),"")</f>
        <v/>
      </c>
      <c r="GR23" s="43" t="n">
        <f aca="false">IF(Tasks[[#This Row],[_IsLeaf]]=1,N(Tasks[[#This Row],[Story Points]]),0)</f>
        <v>0</v>
      </c>
      <c r="GS23" s="43" t="str">
        <f aca="false">""</f>
        <v/>
      </c>
      <c r="GT23" s="90" t="b">
        <f aca="false">IF(Tasks[[#This Row],[Task Name]]="",FALSE(),AND(Tasks[[#This Row],[_IsLeaf]]=1,N(Tasks[[#This Row],[_Days]])=0))</f>
        <v>0</v>
      </c>
      <c r="GU23" s="91" t="n">
        <f aca="false">IF(Tasks[[#This Row],[Task Name]]="",0,IF(AND(Tasks[[#This Row],[_IsLeaf]]=1,NOT(Tasks[[#This Row],[_IsMilestone]]),N(Tasks[[#This Row],[Progress]])&gt;0),Tasks[[#This Row],[Start]],0))</f>
        <v>0</v>
      </c>
      <c r="GV23" s="91" t="n">
        <f aca="false">IF(Tasks[[#This Row],[_DoneFrom]]=0,0,IF(Tasks[[#This Row],[Progress]]&gt;=1,Tasks[[#This Row],[Finish]],MAX(Tasks[[#This Row],[_DoneFrom]],Tasks[[#This Row],[Start]]+ROUND((Tasks[[#This Row],[Finish]]-Tasks[[#This Row],[Start]]+1)*Tasks[[#This Row],[Progress]],0)-1)))</f>
        <v>0</v>
      </c>
      <c r="GW23" s="91" t="n">
        <f aca="false">IF(Tasks[[#This Row],[Task Name]]="",0,IF(OR(NOT(Tasks[[#This Row],[_IsLeaf]]=1),Tasks[[#This Row],[_IsMilestone]],N(Tasks[[#This Row],[Progress]])&gt;=1),0,IF(Tasks[[#This Row],[_DoneTo]]&gt;0,Tasks[[#This Row],[_DoneTo]]+1,Tasks[[#This Row],[Start]])))</f>
        <v>0</v>
      </c>
      <c r="GX23" s="91" t="n">
        <f aca="false">IF(Tasks[[#This Row],[_RemFrom]]=0,0,Tasks[[#This Row],[Finish]])</f>
        <v>0</v>
      </c>
      <c r="GY23" s="90" t="b">
        <f aca="false">IF(Tasks[[#This Row],[Task Name]]="",FALSE(),OR(NOT(BaselineSet),N(Tasks[[#This Row],[Baseline Start]])&gt;0))</f>
        <v>0</v>
      </c>
      <c r="GZ2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92" t="str">
        <f aca="false">IF(Tasks[[#This Row],[_IsLeaf]]=1,Tasks[[#This Row],[_Row]],"")</f>
        <v/>
      </c>
      <c r="HD23" s="92" t="str">
        <f aca="false">IFERROR(INDEX(Tasks[UID],SMALL(Tasks[_PickKey],Tasks[[#This Row],[_Row]]))&amp;" "&amp;INDEX(Tasks[Task Name],SMALL(Tasks[_PickKey],Tasks[[#This Row],[_Row]])),"")</f>
        <v/>
      </c>
      <c r="HE23" s="43" t="str">
        <f aca="false">IF(Tasks[[#This Row],[Task Name]]="","",IF(Tasks[[#This Row],[_IsSummary]],NETWORKDAYS.INTL(Tasks[[#This Row],[Start]],Tasks[[#This Row],[Finish]],WorkWeek,Holidays),N(Tasks[[#This Row],[_Days]])))</f>
        <v/>
      </c>
      <c r="HF23" s="43" t="n">
        <f aca="false">IF(Tasks[[#This Row],[Expected]]="",0,((Tasks[[#This Row],[Pessimistic]]-Tasks[[#This Row],[Optimistic]])/6)^2)</f>
        <v>0</v>
      </c>
      <c r="HG23" s="43" t="n">
        <f aca="false">IF(Tasks[[#This Row],[Expected]]="",0,Tasks[[#This Row],[Expected]]-N(Tasks[[#This Row],[_Days]]))</f>
        <v>0</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4"/>
      <c r="U24" s="23"/>
      <c r="V24" s="84"/>
      <c r="W24" s="23"/>
      <c r="X24" s="84"/>
      <c r="Y24" s="23"/>
      <c r="Z24" s="84"/>
      <c r="AA24" s="23"/>
      <c r="AB24" s="23"/>
      <c r="AC24" s="7"/>
      <c r="AD24" s="7"/>
      <c r="AE24" s="63" t="str">
        <f aca="false">IF(Tasks[[#This Row],[Task Name]]="","",IF(Tasks[[#This Row],[_IsSummary]],MIN(INDEX(Tasks[_ShownFcstStart],Tasks[[#This Row],[_Row]]+1):INDEX(Tasks[_ShownFcstStart],Tasks[[#This Row],[_Row]]+Tasks[[#This Row],[_Descendants]])),Tasks[[#This Row],[_ShownFcstStart]]))</f>
        <v/>
      </c>
      <c r="AF24" s="63"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4" s="7"/>
      <c r="AK24" s="22"/>
      <c r="AL24" s="23"/>
      <c r="AM24" s="7"/>
      <c r="AN24" s="47"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3" t="str">
        <f aca="false">IF(Tasks[[#This Row],[Task Name]]="","",IF(N(Tasks[[#This Row],[Baseline Start]])&gt;0,Tasks[[#This Row],[Baseline Start]],Tasks[[#This Row],[_CalcStart]]))</f>
        <v/>
      </c>
      <c r="AR24" s="63" t="str">
        <f aca="false">IF(Tasks[[#This Row],[Task Name]]="","",IF(N(Tasks[[#This Row],[Baseline Finish]])&gt;0,Tasks[[#This Row],[Baseline Finish]],Tasks[[#This Row],[_CalcFinish]]))</f>
        <v/>
      </c>
      <c r="AS24" s="47" t="str">
        <f aca="false">IF(Tasks[[#This Row],[Task Name]]="","",IF(Tasks[[#This Row],[Start]]&gt;=Tasks[[#This Row],[Planned Start]],NETWORKDAYS.INTL(Tasks[[#This Row],[Planned Start]],Tasks[[#This Row],[Start]],WorkWeek,Holidays)-1,1-NETWORKDAYS.INTL(Tasks[[#This Row],[Start]],Tasks[[#This Row],[Planned Start]],WorkWeek,Holidays)))</f>
        <v/>
      </c>
      <c r="AT24" s="63" t="str">
        <f aca="false">IF(Tasks[[#This Row],[Task Name]]="","",IF(Tasks[[#This Row],[_IsSummary]],MIN(INDEX(Tasks[_LeafLateStart],Tasks[[#This Row],[_Row]]+1):INDEX(Tasks[_LeafLateStart],Tasks[[#This Row],[_Row]]+Tasks[[#This Row],[_Descendants]])),Tasks[[#This Row],[_LeafLateStart]]))</f>
        <v/>
      </c>
      <c r="AU24" s="63" t="str">
        <f aca="false">IF(Tasks[[#This Row],[Task Name]]="","",IF(Tasks[[#This Row],[_IsSummary]],MAX(INDEX(Tasks[_LeafLateFinish],Tasks[[#This Row],[_Row]]+1):INDEX(Tasks[_LeafLateFinish],Tasks[[#This Row],[_Row]]+Tasks[[#This Row],[_Descendants]])),Tasks[[#This Row],[_LeafLateFinish]]))</f>
        <v/>
      </c>
      <c r="AV24" s="47"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5"/>
      <c r="BA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6"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7"/>
      <c r="BJ24" s="22"/>
      <c r="BK24" s="47" t="str">
        <f aca="false">IF(OR(Tasks[[#This Row],[Task Name]]="",Tasks[[#This Row],[Baseline Duration]]=""),"",Tasks[[#This Row],[_SpanDays]]-N(Tasks[[#This Row],[Baseline Duration]]))</f>
        <v/>
      </c>
      <c r="BL24" s="86" t="str">
        <f aca="false">IF(OR(Tasks[[#This Row],[Task Name]]="",Tasks[[#This Row],[Baseline Work]]=""),"",Tasks[[#This Row],[Work]]-N(Tasks[[#This Row],[Baseline Work]]))</f>
        <v/>
      </c>
      <c r="BM24" s="63" t="str">
        <f aca="false">IF(Tasks[[#This Row],[Task Name]]="","",IF(OR(TakeBaseline="Yes",N(Tasks[[#This Row],[Baseline Start]])=0),Tasks[[#This Row],[Start]],Tasks[[#This Row],[Baseline Start]]))</f>
        <v/>
      </c>
      <c r="BN24" s="63" t="str">
        <f aca="false">IF(Tasks[[#This Row],[Task Name]]="","",IF(OR(TakeBaseline="Yes",N(Tasks[[#This Row],[Baseline Finish]])=0),Tasks[[#This Row],[Finish]],Tasks[[#This Row],[Baseline Finish]]))</f>
        <v/>
      </c>
      <c r="BO24" s="21" t="str">
        <f aca="false">IF(Tasks[[#This Row],[Task Name]]="","",IF(OR(TakeBaseline="Yes",N(Tasks[[#This Row],[Baseline Duration]])=0),Tasks[[#This Row],[_SpanDays]],Tasks[[#This Row],[Baseline Duration]]))</f>
        <v/>
      </c>
      <c r="BP24" s="86" t="str">
        <f aca="false">IF(Tasks[[#This Row],[Task Name]]="","",IF(OR(TakeBaseline="Yes",N(Tasks[[#This Row],[Baseline Work]])=0),Tasks[[#This Row],[Work]],Tasks[[#This Row],[Baseline Work]]))</f>
        <v/>
      </c>
      <c r="BQ24" s="7"/>
      <c r="BR24" s="7"/>
      <c r="BS24" s="22"/>
      <c r="BT24" s="88"/>
      <c r="BU24" s="23"/>
      <c r="BV24" s="23"/>
      <c r="BW24" s="23"/>
      <c r="BX24" s="89" t="str">
        <f aca="false">IF(AND(Tasks[[#This Row],[_IsLeaf]]=1,ISNUMBER(Tasks[[#This Row],[Optimistic]]),ISNUMBER(Tasks[[#This Row],[Pessimistic]])),ROUND((Tasks[[#This Row],[Optimistic]]+4*N(Tasks[[#This Row],[_Days]])+Tasks[[#This Row],[Pessimistic]])/6,1),"")</f>
        <v/>
      </c>
      <c r="BY24" s="87"/>
      <c r="BZ24" s="87"/>
      <c r="CA24" s="22"/>
      <c r="CB24" s="43" t="str">
        <f aca="false">IF(Tasks[[#This Row],[Task Name]]="","",MAX(1,N(Tasks[[#This Row],[Level]])))</f>
        <v/>
      </c>
      <c r="CC24" s="43" t="n">
        <f aca="false">ROW()-ROW(Tasks[[#Headers],[ID]])</f>
        <v>19</v>
      </c>
      <c r="CD24" s="43" t="n">
        <f aca="false">IF(OR(Tasks[[#This Row],[Task Name]]="",Tasks[[#This Row],[_Level]]&lt;=1),0,IFERROR(LOOKUP(2,1/(Tasks[[#Headers],[_Level]]:Tasks[[#This Row],[_Level]]=Tasks[[#This Row],[_Level]]-1),ROW(Tasks[[#Headers],[_Level]]:Tasks[[#This Row],[_Level]])),0))</f>
        <v>0</v>
      </c>
      <c r="CE24" s="43" t="n">
        <f aca="false">IFERROR(N(INDEX(Tasks[_Level],Tasks[[#This Row],[_Row]]+1)),0)</f>
        <v>0</v>
      </c>
      <c r="CF24" s="90" t="b">
        <f aca="false">AND(Tasks[[#This Row],[Task Name]]&lt;&gt;"",Tasks[[#This Row],[_NextLevel]]&gt;Tasks[[#This Row],[_Level]])</f>
        <v>0</v>
      </c>
      <c r="CG24" s="43" t="n">
        <f aca="false">IF(Tasks[[#This Row],[_IsSummary]],COUNTIF(Tasks[WBS],Tasks[[#This Row],[WBS]]&amp;".*"),0)</f>
        <v>0</v>
      </c>
      <c r="CH24" s="43" t="n">
        <f aca="false">IF(AND(Tasks[[#This Row],[Task Name]]&lt;&gt;"",NOT(Tasks[[#This Row],[_IsSummary]])),1,0)</f>
        <v>0</v>
      </c>
      <c r="CI24" s="43" t="n">
        <f aca="false">IF(N(Tasks[[#This Row],[_Pred1UID]])=0,0,IFERROR(MATCH(Tasks[[#This Row],[_Pred1UID]],Tasks[UID],0),-1))</f>
        <v>0</v>
      </c>
      <c r="CJ24" s="43" t="n">
        <f aca="false">IF(N(Tasks[[#This Row],[_Pred2UID]])=0,0,IFERROR(MATCH(Tasks[[#This Row],[_Pred2UID]],Tasks[UID],0),-1))</f>
        <v>0</v>
      </c>
      <c r="CK24" s="43" t="n">
        <f aca="false">IF(N(Tasks[[#This Row],[_Pred3UID]])=0,0,IFERROR(MATCH(Tasks[[#This Row],[_Pred3UID]],Tasks[UID],0),-1))</f>
        <v>0</v>
      </c>
      <c r="CL24" s="43" t="n">
        <f aca="false">IF(N(Tasks[[#This Row],[_Pred4UID]])=0,0,IFERROR(MATCH(Tasks[[#This Row],[_Pred4UID]],Tasks[UID],0),-1))</f>
        <v>0</v>
      </c>
      <c r="CM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4" s="91" t="n">
        <f aca="false">IF(OR(Tasks[[#This Row],[_ConstraintCode]]=2,Tasks[[#This Row],[_ConstraintCode]]=3,Tasks[[#This Row],[_ConstraintCode]]=4,Tasks[[#This Row],[_ConstraintCode]]=6),Tasks[[#This Row],[_ConstraintStart]],0)</f>
        <v>0</v>
      </c>
      <c r="CP24" s="91" t="n">
        <f aca="false">IF(OR(Tasks[[#This Row],[_ConstraintCode]]=2,Tasks[[#This Row],[_ConstraintCode]]=3,Tasks[[#This Row],[_ConstraintCode]]=5,Tasks[[#This Row],[_ConstraintCode]]=7),Tasks[[#This Row],[_ConstraintStart]],2958465)</f>
        <v>2958465</v>
      </c>
      <c r="CQ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91" t="str">
        <f aca="false">IF(NOT(Tasks[[#This Row],[_IsLeaf]]=1),"",IF(N(Tasks[[#This Row],[_Days]])&lt;=0,Tasks[[#This Row],[_LeafCalcStart]],WORKDAY.INTL(Tasks[[#This Row],[_LeafCalcStart]],Tasks[[#This Row],[_Days]]-1,WorkWeek,Holidays)))</f>
        <v/>
      </c>
      <c r="CS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3" t="str">
        <f aca="false">IF(Tasks[[#This Row],[_Predecessors]]="","",TRIM(MID(SUBSTITUTE(SUBSTITUTE(SUBSTITUTE(UPPER(Tasks[[#This Row],[_Predecessors]]),";",",")," ",""),",",REPT(" ",99)),1,99)))</f>
        <v/>
      </c>
      <c r="CV24" s="43" t="str">
        <f aca="false">IF(Tasks[[#This Row],[_Pred1Text]]="","",IFERROR(VALUE(LEFT(Tasks[[#This Row],[_Pred1Text]],MIN(FIND("F",Tasks[[#This Row],[_Pred1Text]]&amp;"F"),FIND("S",Tasks[[#This Row],[_Pred1Text]]&amp;"S"),FIND("+",Tasks[[#This Row],[_Pred1Text]]&amp;"+"),FIND("-",Tasks[[#This Row],[_Pred1Text]]&amp;"-"))-1)),""))</f>
        <v/>
      </c>
      <c r="CW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3" t="str">
        <f aca="false">IF(Tasks[[#This Row],[_Pred1Text]]="","",TRIM(MID(SUBSTITUTE(SUBSTITUTE(SUBSTITUTE(UPPER(Tasks[[#This Row],[_Predecessors]]),";",",")," ",""),",",REPT(" ",99)),100,99)))</f>
        <v/>
      </c>
      <c r="CZ24" s="43" t="str">
        <f aca="false">IF(Tasks[[#This Row],[_Pred2Text]]="","",IFERROR(VALUE(LEFT(Tasks[[#This Row],[_Pred2Text]],MIN(FIND("F",Tasks[[#This Row],[_Pred2Text]]&amp;"F"),FIND("S",Tasks[[#This Row],[_Pred2Text]]&amp;"S"),FIND("+",Tasks[[#This Row],[_Pred2Text]]&amp;"+"),FIND("-",Tasks[[#This Row],[_Pred2Text]]&amp;"-"))-1)),""))</f>
        <v/>
      </c>
      <c r="DA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3" t="str">
        <f aca="false">IF(Tasks[[#This Row],[_Pred2Text]]="","",TRIM(MID(SUBSTITUTE(SUBSTITUTE(SUBSTITUTE(UPPER(Tasks[[#This Row],[_Predecessors]]),";",",")," ",""),",",REPT(" ",99)),199,99)))</f>
        <v/>
      </c>
      <c r="DD24" s="43" t="str">
        <f aca="false">IF(Tasks[[#This Row],[_Pred3Text]]="","",IFERROR(VALUE(LEFT(Tasks[[#This Row],[_Pred3Text]],MIN(FIND("F",Tasks[[#This Row],[_Pred3Text]]&amp;"F"),FIND("S",Tasks[[#This Row],[_Pred3Text]]&amp;"S"),FIND("+",Tasks[[#This Row],[_Pred3Text]]&amp;"+"),FIND("-",Tasks[[#This Row],[_Pred3Text]]&amp;"-"))-1)),""))</f>
        <v/>
      </c>
      <c r="DE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3" t="str">
        <f aca="false">IF(Tasks[[#This Row],[_Pred3Text]]="","",TRIM(MID(SUBSTITUTE(SUBSTITUTE(SUBSTITUTE(UPPER(Tasks[[#This Row],[_Predecessors]]),";",",")," ",""),",",REPT(" ",99)),298,99)))</f>
        <v/>
      </c>
      <c r="DH24" s="43" t="str">
        <f aca="false">IF(Tasks[[#This Row],[_Pred4Text]]="","",IFERROR(VALUE(LEFT(Tasks[[#This Row],[_Pred4Text]],MIN(FIND("F",Tasks[[#This Row],[_Pred4Text]]&amp;"F"),FIND("S",Tasks[[#This Row],[_Pred4Text]]&amp;"S"),FIND("+",Tasks[[#This Row],[_Pred4Text]]&amp;"+"),FIND("-",Tasks[[#This Row],[_Pred4Text]]&amp;"-"))-1)),""))</f>
        <v/>
      </c>
      <c r="DI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3" t="str">
        <f aca="false">IF(OR(Tasks[[#This Row],[Task Name]]="",Tasks[[#This Row],[_Resources]]=""),"",TRIM(MID(SUBSTITUTE(Tasks[[#This Row],[_Resources]],",",REPT(" ",99)),1,99)))</f>
        <v/>
      </c>
      <c r="DL24" s="43" t="str">
        <f aca="false">IF(Tasks[[#This Row],[_Res1Text]]="","",TRIM(MID(SUBSTITUTE(Tasks[[#This Row],[_Resources]],",",REPT(" ",99)),100,99)))</f>
        <v/>
      </c>
      <c r="DM24" s="43" t="str">
        <f aca="false">IF(Tasks[[#This Row],[_Res2Text]]="","",TRIM(MID(SUBSTITUTE(Tasks[[#This Row],[_Resources]],",",REPT(" ",99)),199,99)))</f>
        <v/>
      </c>
      <c r="DN24" s="43" t="str">
        <f aca="false">IF(Tasks[[#This Row],[_Res3Text]]="","",TRIM(MID(SUBSTITUTE(Tasks[[#This Row],[_Resources]],",",REPT(" ",99)),298,99)))</f>
        <v/>
      </c>
      <c r="DO24" s="43" t="n">
        <f aca="false">IF(Tasks[[#This Row],[_Res1Text]]="",0,IFERROR(MATCH(TRIM(LEFT(Tasks[[#This Row],[_Res1Text]],FIND("[",Tasks[[#This Row],[_Res1Text]]&amp;"[")-1)),res_Name,0),IFERROR(MATCH(TRIM(LEFT(Tasks[[#This Row],[_Res1Text]],FIND("[",Tasks[[#This Row],[_Res1Text]]&amp;"[")-1)),res_Initials,0),0)))</f>
        <v>0</v>
      </c>
      <c r="DP24" s="43" t="n">
        <f aca="false">IF(Tasks[[#This Row],[_Res2Text]]="",0,IFERROR(MATCH(TRIM(LEFT(Tasks[[#This Row],[_Res2Text]],FIND("[",Tasks[[#This Row],[_Res2Text]]&amp;"[")-1)),res_Name,0),IFERROR(MATCH(TRIM(LEFT(Tasks[[#This Row],[_Res2Text]],FIND("[",Tasks[[#This Row],[_Res2Text]]&amp;"[")-1)),res_Initials,0),0)))</f>
        <v>0</v>
      </c>
      <c r="DQ24" s="43" t="n">
        <f aca="false">IF(Tasks[[#This Row],[_Res3Text]]="",0,IFERROR(MATCH(TRIM(LEFT(Tasks[[#This Row],[_Res3Text]],FIND("[",Tasks[[#This Row],[_Res3Text]]&amp;"[")-1)),res_Name,0),IFERROR(MATCH(TRIM(LEFT(Tasks[[#This Row],[_Res3Text]],FIND("[",Tasks[[#This Row],[_Res3Text]]&amp;"[")-1)),res_Initials,0),0)))</f>
        <v>0</v>
      </c>
      <c r="DR24" s="43" t="n">
        <f aca="false">IF(Tasks[[#This Row],[_Res4Text]]="",0,IFERROR(MATCH(TRIM(LEFT(Tasks[[#This Row],[_Res4Text]],FIND("[",Tasks[[#This Row],[_Res4Text]]&amp;"[")-1)),res_Name,0),IFERROR(MATCH(TRIM(LEFT(Tasks[[#This Row],[_Res4Text]],FIND("[",Tasks[[#This Row],[_Res4Text]]&amp;"[")-1)),res_Initials,0),0)))</f>
        <v>0</v>
      </c>
      <c r="DS24" s="43" t="str">
        <f aca="false">IF(Tasks[[#This Row],[_Res1Text]]="","",IF(Tasks[[#This Row],[_Res1Row]]&gt;0,INDEX(res_Name,Tasks[[#This Row],[_Res1Row]]),TRIM(LEFT(Tasks[[#This Row],[_Res1Text]],FIND("[",Tasks[[#This Row],[_Res1Text]]&amp;"[")-1))))</f>
        <v/>
      </c>
      <c r="DT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3" t="n">
        <f aca="false">IF(NOT(Tasks[[#This Row],[_IsLeaf]]=1),0,(Tasks[[#This Row],[_Resource1]]&lt;&gt;"")+(Tasks[[#This Row],[_Res2]]&lt;&gt;"")+(Tasks[[#This Row],[_Res3]]&lt;&gt;"")+(Tasks[[#This Row],[_Res4]]&lt;&gt;""))</f>
        <v>0</v>
      </c>
      <c r="DV24" s="43" t="str">
        <f aca="false">IF(Tasks[[#This Row],[_Res2Text]]="","",IF(Tasks[[#This Row],[_Res2Row]]&gt;0,INDEX(res_Name,Tasks[[#This Row],[_Res2Row]]),TRIM(LEFT(Tasks[[#This Row],[_Res2Text]],FIND("[",Tasks[[#This Row],[_Res2Text]]&amp;"[")-1))))</f>
        <v/>
      </c>
      <c r="DW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3" t="n">
        <f aca="false">IF(OR(NOT(Tasks[[#This Row],[_IsLeaf]]=1),Tasks[[#This Row],[_Res2Row]]=0),0,N(Tasks[[#This Row],[_Days]])*HoursPerDay*IF(Tasks[[#This Row],[_Res2Units]]="",DefaultUnits,Tasks[[#This Row],[_Res2Units]]))</f>
        <v>0</v>
      </c>
      <c r="DY24" s="43" t="n">
        <f aca="false">IF(AND(AND(Tasks[[#This Row],[_IsLeaf]]=1,Tasks[[#This Row],[_LeafTotalWork]]&gt;0),Tasks[[#This Row],[_Res2Work]]&gt;0),Tasks[[#This Row],[_Res2Work]]/(Tasks[[#This Row],[_FinishWorkday]]-Tasks[[#This Row],[_StartWorkday]]+1),0)</f>
        <v>0</v>
      </c>
      <c r="DZ24" s="43" t="n">
        <f aca="false">Tasks[[#This Row],[_Res2WorkPerWD]]*MAX(0,Tasks[[#This Row],[_StartWorkday]]-1)</f>
        <v>0</v>
      </c>
      <c r="EA24" s="43" t="n">
        <f aca="false">Tasks[[#This Row],[_Res2Work]]*Tasks[[#This Row],[_LeafProgress]]</f>
        <v>0</v>
      </c>
      <c r="EB24" s="43" t="str">
        <f aca="false">IF(Tasks[[#This Row],[_Res3Text]]="","",IF(Tasks[[#This Row],[_Res3Row]]&gt;0,INDEX(res_Name,Tasks[[#This Row],[_Res3Row]]),TRIM(LEFT(Tasks[[#This Row],[_Res3Text]],FIND("[",Tasks[[#This Row],[_Res3Text]]&amp;"[")-1))))</f>
        <v/>
      </c>
      <c r="EC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3" t="n">
        <f aca="false">IF(OR(NOT(Tasks[[#This Row],[_IsLeaf]]=1),Tasks[[#This Row],[_Res3Row]]=0),0,N(Tasks[[#This Row],[_Days]])*HoursPerDay*IF(Tasks[[#This Row],[_Res3Units]]="",DefaultUnits,Tasks[[#This Row],[_Res3Units]]))</f>
        <v>0</v>
      </c>
      <c r="EE24" s="43" t="n">
        <f aca="false">IF(AND(AND(Tasks[[#This Row],[_IsLeaf]]=1,Tasks[[#This Row],[_LeafTotalWork]]&gt;0),Tasks[[#This Row],[_Res3Work]]&gt;0),Tasks[[#This Row],[_Res3Work]]/(Tasks[[#This Row],[_FinishWorkday]]-Tasks[[#This Row],[_StartWorkday]]+1),0)</f>
        <v>0</v>
      </c>
      <c r="EF24" s="43" t="n">
        <f aca="false">Tasks[[#This Row],[_Res3WorkPerWD]]*MAX(0,Tasks[[#This Row],[_StartWorkday]]-1)</f>
        <v>0</v>
      </c>
      <c r="EG24" s="43" t="n">
        <f aca="false">Tasks[[#This Row],[_Res3Work]]*Tasks[[#This Row],[_LeafProgress]]</f>
        <v>0</v>
      </c>
      <c r="EH24" s="43" t="str">
        <f aca="false">IF(Tasks[[#This Row],[_Res4Text]]="","",IF(Tasks[[#This Row],[_Res4Row]]&gt;0,INDEX(res_Name,Tasks[[#This Row],[_Res4Row]]),TRIM(LEFT(Tasks[[#This Row],[_Res4Text]],FIND("[",Tasks[[#This Row],[_Res4Text]]&amp;"[")-1))))</f>
        <v/>
      </c>
      <c r="EI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3" t="n">
        <f aca="false">IF(OR(NOT(Tasks[[#This Row],[_IsLeaf]]=1),Tasks[[#This Row],[_Res4Row]]=0),0,N(Tasks[[#This Row],[_Days]])*HoursPerDay*IF(Tasks[[#This Row],[_Res4Units]]="",DefaultUnits,Tasks[[#This Row],[_Res4Units]]))</f>
        <v>0</v>
      </c>
      <c r="EK24" s="43" t="n">
        <f aca="false">IF(AND(AND(Tasks[[#This Row],[_IsLeaf]]=1,Tasks[[#This Row],[_LeafTotalWork]]&gt;0),Tasks[[#This Row],[_Res4Work]]&gt;0),Tasks[[#This Row],[_Res4Work]]/(Tasks[[#This Row],[_FinishWorkday]]-Tasks[[#This Row],[_StartWorkday]]+1),0)</f>
        <v>0</v>
      </c>
      <c r="EL24" s="43" t="n">
        <f aca="false">Tasks[[#This Row],[_Res4WorkPerWD]]*MAX(0,Tasks[[#This Row],[_StartWorkday]]-1)</f>
        <v>0</v>
      </c>
      <c r="EM24" s="43" t="n">
        <f aca="false">Tasks[[#This Row],[_Res4Work]]*Tasks[[#This Row],[_LeafProgress]]</f>
        <v>0</v>
      </c>
      <c r="EN24" s="43" t="n">
        <f aca="false">IF(ISNUMBER(Tasks[[#This Row],[% Complete]]),Tasks[[#This Row],[% Complete]],IF(Tasks[[#This Row],[Stage]]="",0,IFERROR(INDEX(stg_Pct,MATCH(Tasks[[#This Row],[Stage]],stg_Name,0)),0)))</f>
        <v>0</v>
      </c>
      <c r="EO24" s="43" t="n">
        <f aca="false">IF(NOT(Tasks[[#This Row],[_IsLeaf]]=1),0,IF(N(Tasks[[#This Row],[Actual Finish]])&gt;0,1,MIN(1,Tasks[[#This Row],[_Pct]])))</f>
        <v>0</v>
      </c>
      <c r="EP24" s="43" t="n">
        <f aca="false">IF(OR(NOT(Tasks[[#This Row],[_IsLeaf]]=1),Tasks[[#This Row],[_Res1Row]]=0),0,N(Tasks[[#This Row],[_Days]])*HoursPerDay*IF(Tasks[[#This Row],[_Units1]]="",DefaultUnits,Tasks[[#This Row],[_Units1]]))</f>
        <v>0</v>
      </c>
      <c r="EQ24" s="43" t="n">
        <f aca="false">Tasks[[#This Row],[_LeafWork]]+Tasks[[#This Row],[_Res2Work]]+Tasks[[#This Row],[_Res3Work]]+Tasks[[#This Row],[_Res4Work]]</f>
        <v>0</v>
      </c>
      <c r="ER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3" t="n">
        <f aca="false">IF(NOT(Tasks[[#This Row],[_IsLeaf]]=1),0,MAX(_xlfn.MAXIFS(Tasks[_Row],Tasks[_Pred1UID],Tasks[[#This Row],[UID]]),_xlfn.MAXIFS(Tasks[_Row],Tasks[_Pred2UID],Tasks[[#This Row],[UID]]),_xlfn.MAXIFS(Tasks[_Row],Tasks[_Pred3UID],Tasks[[#This Row],[UID]]),_xlfn.MAXIFS(Tasks[_Row],Tasks[_Pred4UID],Tasks[[#This Row],[UID]])))</f>
        <v>0</v>
      </c>
      <c r="FA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91" t="str">
        <f aca="false">IF(NOT(Tasks[[#This Row],[_IsLeaf]]=1),"",IF(N(Tasks[[#This Row],[_Days]])&lt;=0,Tasks[[#This Row],[_LeafLateFinish]],WORKDAY.INTL(Tasks[[#This Row],[_LeafLateFinish]],-(Tasks[[#This Row],[_Days]]-1),WorkWeek,Holidays)))</f>
        <v/>
      </c>
      <c r="FD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4" s="90" t="b">
        <f aca="false">AND(Tasks[[#This Row],[_IsLeaf]]=1,Tasks[[#This Row],[_LeafProgress]]&lt;1,N(Tasks[[#This Row],[_LeafTotalSlack]])&lt;=CriticalSlackDays)</f>
        <v>0</v>
      </c>
      <c r="FF24" s="43" t="n">
        <f aca="false">IF(AND(Tasks[[#This Row],[_IsLeaf]]=1,Tasks[[#This Row],[_ConstraintCode]]=1,Tasks[[#This Row],[Mode]]&lt;&gt;"Manual",N(Tasks[[#This Row],[Actual Start]])=0),MAX(0,N(Tasks[[#This Row],[Free Slack]])),0)</f>
        <v>0</v>
      </c>
      <c r="FG24" s="91" t="str">
        <f aca="false">IF(NOT(Tasks[[#This Row],[_IsLeaf]]=1),"",IF(Tasks[[#This Row],[_AlapShift]]=0,Tasks[[#This Row],[_LeafCalcStart]],WORKDAY.INTL(Tasks[[#This Row],[_LeafCalcStart]],Tasks[[#This Row],[_AlapShift]],WorkWeek,Holidays)))</f>
        <v/>
      </c>
      <c r="FH24" s="91" t="str">
        <f aca="false">IF(NOT(Tasks[[#This Row],[_IsLeaf]]=1),"",IF(Tasks[[#This Row],[_AlapShift]]=0,Tasks[[#This Row],[_LeafCalcFinish]],WORKDAY.INTL(Tasks[[#This Row],[_LeafCalcFinish]],Tasks[[#This Row],[_AlapShift]],WorkWeek,Holidays)))</f>
        <v/>
      </c>
      <c r="FI24" s="91" t="str">
        <f aca="false">IF(NOT(Tasks[[#This Row],[_IsLeaf]]=1),"",IF(Tasks[[#This Row],[_AlapShift]]=0,Tasks[[#This Row],[_LeafFcstStart]],WORKDAY.INTL(Tasks[[#This Row],[_LeafFcstStart]],Tasks[[#This Row],[_AlapShift]],WorkWeek,Holidays)))</f>
        <v/>
      </c>
      <c r="FJ24" s="91" t="str">
        <f aca="false">IF(NOT(Tasks[[#This Row],[_IsLeaf]]=1),"",IF(Tasks[[#This Row],[_AlapShift]]=0,Tasks[[#This Row],[_LeafFcstFinish]],WORKDAY.INTL(Tasks[[#This Row],[_LeafFcstFinish]],Tasks[[#This Row],[_AlapShift]],WorkWeek,Holidays)))</f>
        <v/>
      </c>
      <c r="FK24" s="91" t="str">
        <f aca="false">IF(Tasks[[#This Row],[Task Name]]="","",IF(Tasks[[#This Row],[_IsSummary]],MIN(INDEX(Tasks[_ShownCalcStart],Tasks[[#This Row],[_Row]]+1):INDEX(Tasks[_ShownCalcStart],Tasks[[#This Row],[_Row]]+Tasks[[#This Row],[_Descendants]])),Tasks[[#This Row],[_ShownCalcStart]]))</f>
        <v/>
      </c>
      <c r="FL24" s="91" t="str">
        <f aca="false">IF(Tasks[[#This Row],[Task Name]]="","",IF(Tasks[[#This Row],[_IsSummary]],MAX(INDEX(Tasks[_ShownCalcFinish],Tasks[[#This Row],[_Row]]+1):INDEX(Tasks[_ShownCalcFinish],Tasks[[#This Row],[_Row]]+Tasks[[#This Row],[_Descendants]])),Tasks[[#This Row],[_ShownCalcFinish]]))</f>
        <v/>
      </c>
      <c r="FM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4" s="43" t="n">
        <f aca="false">IF(AND(Tasks[[#This Row],[_IsLeaf]]=1,Tasks[[#This Row],[_LeafTotalWork]]&gt;0),NETWORKDAYS.INTL(ProjectStart,Tasks[[#This Row],[_ShownFcstStart]],WorkWeek,Holidays),0)</f>
        <v>0</v>
      </c>
      <c r="FZ24" s="43" t="n">
        <f aca="false">IF(AND(Tasks[[#This Row],[_IsLeaf]]=1,Tasks[[#This Row],[_LeafTotalWork]]&gt;0),MAX(Tasks[[#This Row],[_StartWorkday]],NETWORKDAYS.INTL(ProjectStart,Tasks[[#This Row],[_ShownFcstFinish]],WorkWeek,Holidays)),0)</f>
        <v>0</v>
      </c>
      <c r="GA24" s="43" t="n">
        <f aca="false">IF(AND(Tasks[[#This Row],[_IsLeaf]]=1,Tasks[[#This Row],[_LeafTotalWork]]&gt;0),Tasks[[#This Row],[_LeafWork]]/(Tasks[[#This Row],[_FinishWorkday]]-Tasks[[#This Row],[_StartWorkday]]+1),0)</f>
        <v>0</v>
      </c>
      <c r="GB24" s="43" t="n">
        <f aca="false">Tasks[[#This Row],[_WorkPerWorkday]]*(Tasks[[#This Row],[_StartWorkday]]-1)</f>
        <v>-0</v>
      </c>
      <c r="GC24" s="43" t="n">
        <f aca="false">IF(Tasks[[#This Row],[_IsLeaf]]=1,MAX(N(Tasks[[#This Row],[_Days]]),0.1),0)</f>
        <v>0</v>
      </c>
      <c r="GD24" s="43" t="n">
        <f aca="false">Tasks[[#This Row],[_WeightDur]]*Tasks[[#This Row],[_LeafProgress]]</f>
        <v>0</v>
      </c>
      <c r="GE24" s="43" t="n">
        <f aca="false">Tasks[[#This Row],[_WeightDur]]*Tasks[[#This Row],[_PlannedPct]]</f>
        <v>0</v>
      </c>
      <c r="GF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3" t="str">
        <f aca="false">IF(AND(Tasks[[#This Row],[_IsLeaf]]=1,N(Tasks[[#This Row],[_Days]])=0,Tasks[[#This Row],[_LeafProgress]]&lt;1),Tasks[[#This Row],[_ShownFcstFinish]]+Tasks[[#This Row],[_Row]]/100000,"")</f>
        <v/>
      </c>
      <c r="GH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4" s="43" t="str">
        <f aca="false">IF(Tasks[[#This Row],[Task Name]]="","",LEFT(Tasks[[#This Row],[WBS]],FIND(".",Tasks[[#This Row],[WBS]]&amp;".")-1))</f>
        <v/>
      </c>
      <c r="GJ24" s="43" t="str">
        <f aca="false">IF(AND(Tasks[[#This Row],[Task Name]]&lt;&gt;"",Tasks[[#This Row],[_Level]]=1),Tasks[[#This Row],[_Row]],"")</f>
        <v/>
      </c>
      <c r="GK24" s="43" t="str">
        <f aca="false">IF(AND(Tasks[[#This Row],[_IsLeaf]]=1,N(Tasks[[#This Row],[_Days]])=0),Tasks[[#This Row],[Planned Finish]]+Tasks[[#This Row],[_Row]]/100000,"")</f>
        <v/>
      </c>
      <c r="GL24" s="43" t="str">
        <f aca="false">IF(AND(Tasks[[#This Row],[_IsLeaf]]=1,Tasks[[#This Row],[_LeafProgress]]&lt;1,OR(N(Tasks[[#This Row],[Finish Var]])&gt;0,Tasks[[#This Row],[Status]]="Late Start")),MAX(0,Tasks[[#This Row],[Finish Var]])+1-Tasks[[#This Row],[_Row]]/1000000,"")</f>
        <v/>
      </c>
      <c r="GM24" s="43" t="str">
        <f aca="false">IF(AND(Tasks[[#This Row],[_IsLeaf]]=1,N(Tasks[[#This Row],[Actual Start]])=0,Tasks[[#This Row],[_ShownFcstStart]]&gt;=StatusDate,Tasks[[#This Row],[_ShownFcstStart]]&lt;=LookaheadEnd),Tasks[[#This Row],[_ShownFcstStart]]+Tasks[[#This Row],[_Row]]/100000,"")</f>
        <v/>
      </c>
      <c r="GN24" s="43" t="str">
        <f aca="false">IF(AND(Tasks[[#This Row],[_IsLeaf]]=1,Tasks[[#This Row],[_LeafProgress]]&lt;1,Tasks[[#This Row],[_ShownFcstFinish]]&gt;=StatusDate,Tasks[[#This Row],[_ShownFcstFinish]]&lt;=LookaheadEnd),Tasks[[#This Row],[_ShownFcstFinish]]+Tasks[[#This Row],[_Row]]/100000,"")</f>
        <v/>
      </c>
      <c r="GO24" s="43" t="str">
        <f aca="false">IF(Tasks[[#This Row],[_LeafCritical]],Tasks[[#This Row],[_ShownFcstStart]]+Tasks[[#This Row],[_Row]]/100000,"")</f>
        <v/>
      </c>
      <c r="GP24" s="43" t="n">
        <f aca="false">Tasks[[#This Row],[_LeafWork]]*Tasks[[#This Row],[_LeafProgress]]</f>
        <v>0</v>
      </c>
      <c r="GQ24" s="91" t="str">
        <f aca="false">IF(AND(Tasks[[#This Row],[_IsLeaf]]=1,Tasks[[#This Row],[_LeafProgress]]&gt;=1),IF(N(Tasks[[#This Row],[Actual Finish]])&gt;0,Tasks[[#This Row],[Actual Finish]],Tasks[[#This Row],[_ShownFcstFinish]]),"")</f>
        <v/>
      </c>
      <c r="GR24" s="43" t="n">
        <f aca="false">IF(Tasks[[#This Row],[_IsLeaf]]=1,N(Tasks[[#This Row],[Story Points]]),0)</f>
        <v>0</v>
      </c>
      <c r="GS24" s="43" t="str">
        <f aca="false">""</f>
        <v/>
      </c>
      <c r="GT24" s="90" t="b">
        <f aca="false">IF(Tasks[[#This Row],[Task Name]]="",FALSE(),AND(Tasks[[#This Row],[_IsLeaf]]=1,N(Tasks[[#This Row],[_Days]])=0))</f>
        <v>0</v>
      </c>
      <c r="GU24" s="91" t="n">
        <f aca="false">IF(Tasks[[#This Row],[Task Name]]="",0,IF(AND(Tasks[[#This Row],[_IsLeaf]]=1,NOT(Tasks[[#This Row],[_IsMilestone]]),N(Tasks[[#This Row],[Progress]])&gt;0),Tasks[[#This Row],[Start]],0))</f>
        <v>0</v>
      </c>
      <c r="GV24" s="91" t="n">
        <f aca="false">IF(Tasks[[#This Row],[_DoneFrom]]=0,0,IF(Tasks[[#This Row],[Progress]]&gt;=1,Tasks[[#This Row],[Finish]],MAX(Tasks[[#This Row],[_DoneFrom]],Tasks[[#This Row],[Start]]+ROUND((Tasks[[#This Row],[Finish]]-Tasks[[#This Row],[Start]]+1)*Tasks[[#This Row],[Progress]],0)-1)))</f>
        <v>0</v>
      </c>
      <c r="GW24" s="91" t="n">
        <f aca="false">IF(Tasks[[#This Row],[Task Name]]="",0,IF(OR(NOT(Tasks[[#This Row],[_IsLeaf]]=1),Tasks[[#This Row],[_IsMilestone]],N(Tasks[[#This Row],[Progress]])&gt;=1),0,IF(Tasks[[#This Row],[_DoneTo]]&gt;0,Tasks[[#This Row],[_DoneTo]]+1,Tasks[[#This Row],[Start]])))</f>
        <v>0</v>
      </c>
      <c r="GX24" s="91" t="n">
        <f aca="false">IF(Tasks[[#This Row],[_RemFrom]]=0,0,Tasks[[#This Row],[Finish]])</f>
        <v>0</v>
      </c>
      <c r="GY24" s="90" t="b">
        <f aca="false">IF(Tasks[[#This Row],[Task Name]]="",FALSE(),OR(NOT(BaselineSet),N(Tasks[[#This Row],[Baseline Start]])&gt;0))</f>
        <v>0</v>
      </c>
      <c r="GZ2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92" t="str">
        <f aca="false">IF(Tasks[[#This Row],[_IsLeaf]]=1,Tasks[[#This Row],[_Row]],"")</f>
        <v/>
      </c>
      <c r="HD24" s="92" t="str">
        <f aca="false">IFERROR(INDEX(Tasks[UID],SMALL(Tasks[_PickKey],Tasks[[#This Row],[_Row]]))&amp;" "&amp;INDEX(Tasks[Task Name],SMALL(Tasks[_PickKey],Tasks[[#This Row],[_Row]])),"")</f>
        <v/>
      </c>
      <c r="HE24" s="43" t="str">
        <f aca="false">IF(Tasks[[#This Row],[Task Name]]="","",IF(Tasks[[#This Row],[_IsSummary]],NETWORKDAYS.INTL(Tasks[[#This Row],[Start]],Tasks[[#This Row],[Finish]],WorkWeek,Holidays),N(Tasks[[#This Row],[_Days]])))</f>
        <v/>
      </c>
      <c r="HF24" s="43" t="n">
        <f aca="false">IF(Tasks[[#This Row],[Expected]]="",0,((Tasks[[#This Row],[Pessimistic]]-Tasks[[#This Row],[Optimistic]])/6)^2)</f>
        <v>0</v>
      </c>
      <c r="HG24" s="43" t="n">
        <f aca="false">IF(Tasks[[#This Row],[Expected]]="",0,Tasks[[#This Row],[Expected]]-N(Tasks[[#This Row],[_Days]]))</f>
        <v>0</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4"/>
      <c r="U25" s="23"/>
      <c r="V25" s="84"/>
      <c r="W25" s="23"/>
      <c r="X25" s="84"/>
      <c r="Y25" s="23"/>
      <c r="Z25" s="84"/>
      <c r="AA25" s="23"/>
      <c r="AB25" s="23"/>
      <c r="AC25" s="7"/>
      <c r="AD25" s="7"/>
      <c r="AE25" s="63" t="str">
        <f aca="false">IF(Tasks[[#This Row],[Task Name]]="","",IF(Tasks[[#This Row],[_IsSummary]],MIN(INDEX(Tasks[_ShownFcstStart],Tasks[[#This Row],[_Row]]+1):INDEX(Tasks[_ShownFcstStart],Tasks[[#This Row],[_Row]]+Tasks[[#This Row],[_Descendants]])),Tasks[[#This Row],[_ShownFcstStart]]))</f>
        <v/>
      </c>
      <c r="AF25" s="63"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5" s="7"/>
      <c r="AK25" s="22"/>
      <c r="AL25" s="23"/>
      <c r="AM25" s="7"/>
      <c r="AN25" s="47"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3" t="str">
        <f aca="false">IF(Tasks[[#This Row],[Task Name]]="","",IF(N(Tasks[[#This Row],[Baseline Start]])&gt;0,Tasks[[#This Row],[Baseline Start]],Tasks[[#This Row],[_CalcStart]]))</f>
        <v/>
      </c>
      <c r="AR25" s="63" t="str">
        <f aca="false">IF(Tasks[[#This Row],[Task Name]]="","",IF(N(Tasks[[#This Row],[Baseline Finish]])&gt;0,Tasks[[#This Row],[Baseline Finish]],Tasks[[#This Row],[_CalcFinish]]))</f>
        <v/>
      </c>
      <c r="AS25" s="47" t="str">
        <f aca="false">IF(Tasks[[#This Row],[Task Name]]="","",IF(Tasks[[#This Row],[Start]]&gt;=Tasks[[#This Row],[Planned Start]],NETWORKDAYS.INTL(Tasks[[#This Row],[Planned Start]],Tasks[[#This Row],[Start]],WorkWeek,Holidays)-1,1-NETWORKDAYS.INTL(Tasks[[#This Row],[Start]],Tasks[[#This Row],[Planned Start]],WorkWeek,Holidays)))</f>
        <v/>
      </c>
      <c r="AT25" s="63" t="str">
        <f aca="false">IF(Tasks[[#This Row],[Task Name]]="","",IF(Tasks[[#This Row],[_IsSummary]],MIN(INDEX(Tasks[_LeafLateStart],Tasks[[#This Row],[_Row]]+1):INDEX(Tasks[_LeafLateStart],Tasks[[#This Row],[_Row]]+Tasks[[#This Row],[_Descendants]])),Tasks[[#This Row],[_LeafLateStart]]))</f>
        <v/>
      </c>
      <c r="AU25" s="63" t="str">
        <f aca="false">IF(Tasks[[#This Row],[Task Name]]="","",IF(Tasks[[#This Row],[_IsSummary]],MAX(INDEX(Tasks[_LeafLateFinish],Tasks[[#This Row],[_Row]]+1):INDEX(Tasks[_LeafLateFinish],Tasks[[#This Row],[_Row]]+Tasks[[#This Row],[_Descendants]])),Tasks[[#This Row],[_LeafLateFinish]]))</f>
        <v/>
      </c>
      <c r="AV25" s="47"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5"/>
      <c r="BA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6"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7"/>
      <c r="BJ25" s="22"/>
      <c r="BK25" s="47" t="str">
        <f aca="false">IF(OR(Tasks[[#This Row],[Task Name]]="",Tasks[[#This Row],[Baseline Duration]]=""),"",Tasks[[#This Row],[_SpanDays]]-N(Tasks[[#This Row],[Baseline Duration]]))</f>
        <v/>
      </c>
      <c r="BL25" s="86" t="str">
        <f aca="false">IF(OR(Tasks[[#This Row],[Task Name]]="",Tasks[[#This Row],[Baseline Work]]=""),"",Tasks[[#This Row],[Work]]-N(Tasks[[#This Row],[Baseline Work]]))</f>
        <v/>
      </c>
      <c r="BM25" s="63" t="str">
        <f aca="false">IF(Tasks[[#This Row],[Task Name]]="","",IF(OR(TakeBaseline="Yes",N(Tasks[[#This Row],[Baseline Start]])=0),Tasks[[#This Row],[Start]],Tasks[[#This Row],[Baseline Start]]))</f>
        <v/>
      </c>
      <c r="BN25" s="63" t="str">
        <f aca="false">IF(Tasks[[#This Row],[Task Name]]="","",IF(OR(TakeBaseline="Yes",N(Tasks[[#This Row],[Baseline Finish]])=0),Tasks[[#This Row],[Finish]],Tasks[[#This Row],[Baseline Finish]]))</f>
        <v/>
      </c>
      <c r="BO25" s="21" t="str">
        <f aca="false">IF(Tasks[[#This Row],[Task Name]]="","",IF(OR(TakeBaseline="Yes",N(Tasks[[#This Row],[Baseline Duration]])=0),Tasks[[#This Row],[_SpanDays]],Tasks[[#This Row],[Baseline Duration]]))</f>
        <v/>
      </c>
      <c r="BP25" s="86" t="str">
        <f aca="false">IF(Tasks[[#This Row],[Task Name]]="","",IF(OR(TakeBaseline="Yes",N(Tasks[[#This Row],[Baseline Work]])=0),Tasks[[#This Row],[Work]],Tasks[[#This Row],[Baseline Work]]))</f>
        <v/>
      </c>
      <c r="BQ25" s="7"/>
      <c r="BR25" s="7"/>
      <c r="BS25" s="22"/>
      <c r="BT25" s="88"/>
      <c r="BU25" s="23"/>
      <c r="BV25" s="23"/>
      <c r="BW25" s="23"/>
      <c r="BX25" s="89" t="str">
        <f aca="false">IF(AND(Tasks[[#This Row],[_IsLeaf]]=1,ISNUMBER(Tasks[[#This Row],[Optimistic]]),ISNUMBER(Tasks[[#This Row],[Pessimistic]])),ROUND((Tasks[[#This Row],[Optimistic]]+4*N(Tasks[[#This Row],[_Days]])+Tasks[[#This Row],[Pessimistic]])/6,1),"")</f>
        <v/>
      </c>
      <c r="BY25" s="87"/>
      <c r="BZ25" s="87"/>
      <c r="CA25" s="22"/>
      <c r="CB25" s="43" t="str">
        <f aca="false">IF(Tasks[[#This Row],[Task Name]]="","",MAX(1,N(Tasks[[#This Row],[Level]])))</f>
        <v/>
      </c>
      <c r="CC25" s="43" t="n">
        <f aca="false">ROW()-ROW(Tasks[[#Headers],[ID]])</f>
        <v>20</v>
      </c>
      <c r="CD25" s="43" t="n">
        <f aca="false">IF(OR(Tasks[[#This Row],[Task Name]]="",Tasks[[#This Row],[_Level]]&lt;=1),0,IFERROR(LOOKUP(2,1/(Tasks[[#Headers],[_Level]]:Tasks[[#This Row],[_Level]]=Tasks[[#This Row],[_Level]]-1),ROW(Tasks[[#Headers],[_Level]]:Tasks[[#This Row],[_Level]])),0))</f>
        <v>0</v>
      </c>
      <c r="CE25" s="43" t="n">
        <f aca="false">IFERROR(N(INDEX(Tasks[_Level],Tasks[[#This Row],[_Row]]+1)),0)</f>
        <v>0</v>
      </c>
      <c r="CF25" s="90" t="b">
        <f aca="false">AND(Tasks[[#This Row],[Task Name]]&lt;&gt;"",Tasks[[#This Row],[_NextLevel]]&gt;Tasks[[#This Row],[_Level]])</f>
        <v>0</v>
      </c>
      <c r="CG25" s="43" t="n">
        <f aca="false">IF(Tasks[[#This Row],[_IsSummary]],COUNTIF(Tasks[WBS],Tasks[[#This Row],[WBS]]&amp;".*"),0)</f>
        <v>0</v>
      </c>
      <c r="CH25" s="43" t="n">
        <f aca="false">IF(AND(Tasks[[#This Row],[Task Name]]&lt;&gt;"",NOT(Tasks[[#This Row],[_IsSummary]])),1,0)</f>
        <v>0</v>
      </c>
      <c r="CI25" s="43" t="n">
        <f aca="false">IF(N(Tasks[[#This Row],[_Pred1UID]])=0,0,IFERROR(MATCH(Tasks[[#This Row],[_Pred1UID]],Tasks[UID],0),-1))</f>
        <v>0</v>
      </c>
      <c r="CJ25" s="43" t="n">
        <f aca="false">IF(N(Tasks[[#This Row],[_Pred2UID]])=0,0,IFERROR(MATCH(Tasks[[#This Row],[_Pred2UID]],Tasks[UID],0),-1))</f>
        <v>0</v>
      </c>
      <c r="CK25" s="43" t="n">
        <f aca="false">IF(N(Tasks[[#This Row],[_Pred3UID]])=0,0,IFERROR(MATCH(Tasks[[#This Row],[_Pred3UID]],Tasks[UID],0),-1))</f>
        <v>0</v>
      </c>
      <c r="CL25" s="43" t="n">
        <f aca="false">IF(N(Tasks[[#This Row],[_Pred4UID]])=0,0,IFERROR(MATCH(Tasks[[#This Row],[_Pred4UID]],Tasks[UID],0),-1))</f>
        <v>0</v>
      </c>
      <c r="CM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5" s="91" t="n">
        <f aca="false">IF(OR(Tasks[[#This Row],[_ConstraintCode]]=2,Tasks[[#This Row],[_ConstraintCode]]=3,Tasks[[#This Row],[_ConstraintCode]]=4,Tasks[[#This Row],[_ConstraintCode]]=6),Tasks[[#This Row],[_ConstraintStart]],0)</f>
        <v>0</v>
      </c>
      <c r="CP25" s="91" t="n">
        <f aca="false">IF(OR(Tasks[[#This Row],[_ConstraintCode]]=2,Tasks[[#This Row],[_ConstraintCode]]=3,Tasks[[#This Row],[_ConstraintCode]]=5,Tasks[[#This Row],[_ConstraintCode]]=7),Tasks[[#This Row],[_ConstraintStart]],2958465)</f>
        <v>2958465</v>
      </c>
      <c r="CQ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91" t="str">
        <f aca="false">IF(NOT(Tasks[[#This Row],[_IsLeaf]]=1),"",IF(N(Tasks[[#This Row],[_Days]])&lt;=0,Tasks[[#This Row],[_LeafCalcStart]],WORKDAY.INTL(Tasks[[#This Row],[_LeafCalcStart]],Tasks[[#This Row],[_Days]]-1,WorkWeek,Holidays)))</f>
        <v/>
      </c>
      <c r="CS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3" t="str">
        <f aca="false">IF(Tasks[[#This Row],[_Predecessors]]="","",TRIM(MID(SUBSTITUTE(SUBSTITUTE(SUBSTITUTE(UPPER(Tasks[[#This Row],[_Predecessors]]),";",",")," ",""),",",REPT(" ",99)),1,99)))</f>
        <v/>
      </c>
      <c r="CV25" s="43" t="str">
        <f aca="false">IF(Tasks[[#This Row],[_Pred1Text]]="","",IFERROR(VALUE(LEFT(Tasks[[#This Row],[_Pred1Text]],MIN(FIND("F",Tasks[[#This Row],[_Pred1Text]]&amp;"F"),FIND("S",Tasks[[#This Row],[_Pred1Text]]&amp;"S"),FIND("+",Tasks[[#This Row],[_Pred1Text]]&amp;"+"),FIND("-",Tasks[[#This Row],[_Pred1Text]]&amp;"-"))-1)),""))</f>
        <v/>
      </c>
      <c r="CW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3" t="str">
        <f aca="false">IF(Tasks[[#This Row],[_Pred1Text]]="","",TRIM(MID(SUBSTITUTE(SUBSTITUTE(SUBSTITUTE(UPPER(Tasks[[#This Row],[_Predecessors]]),";",",")," ",""),",",REPT(" ",99)),100,99)))</f>
        <v/>
      </c>
      <c r="CZ25" s="43" t="str">
        <f aca="false">IF(Tasks[[#This Row],[_Pred2Text]]="","",IFERROR(VALUE(LEFT(Tasks[[#This Row],[_Pred2Text]],MIN(FIND("F",Tasks[[#This Row],[_Pred2Text]]&amp;"F"),FIND("S",Tasks[[#This Row],[_Pred2Text]]&amp;"S"),FIND("+",Tasks[[#This Row],[_Pred2Text]]&amp;"+"),FIND("-",Tasks[[#This Row],[_Pred2Text]]&amp;"-"))-1)),""))</f>
        <v/>
      </c>
      <c r="DA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3" t="str">
        <f aca="false">IF(Tasks[[#This Row],[_Pred2Text]]="","",TRIM(MID(SUBSTITUTE(SUBSTITUTE(SUBSTITUTE(UPPER(Tasks[[#This Row],[_Predecessors]]),";",",")," ",""),",",REPT(" ",99)),199,99)))</f>
        <v/>
      </c>
      <c r="DD25" s="43" t="str">
        <f aca="false">IF(Tasks[[#This Row],[_Pred3Text]]="","",IFERROR(VALUE(LEFT(Tasks[[#This Row],[_Pred3Text]],MIN(FIND("F",Tasks[[#This Row],[_Pred3Text]]&amp;"F"),FIND("S",Tasks[[#This Row],[_Pred3Text]]&amp;"S"),FIND("+",Tasks[[#This Row],[_Pred3Text]]&amp;"+"),FIND("-",Tasks[[#This Row],[_Pred3Text]]&amp;"-"))-1)),""))</f>
        <v/>
      </c>
      <c r="DE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3" t="str">
        <f aca="false">IF(Tasks[[#This Row],[_Pred3Text]]="","",TRIM(MID(SUBSTITUTE(SUBSTITUTE(SUBSTITUTE(UPPER(Tasks[[#This Row],[_Predecessors]]),";",",")," ",""),",",REPT(" ",99)),298,99)))</f>
        <v/>
      </c>
      <c r="DH25" s="43" t="str">
        <f aca="false">IF(Tasks[[#This Row],[_Pred4Text]]="","",IFERROR(VALUE(LEFT(Tasks[[#This Row],[_Pred4Text]],MIN(FIND("F",Tasks[[#This Row],[_Pred4Text]]&amp;"F"),FIND("S",Tasks[[#This Row],[_Pred4Text]]&amp;"S"),FIND("+",Tasks[[#This Row],[_Pred4Text]]&amp;"+"),FIND("-",Tasks[[#This Row],[_Pred4Text]]&amp;"-"))-1)),""))</f>
        <v/>
      </c>
      <c r="DI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3" t="str">
        <f aca="false">IF(OR(Tasks[[#This Row],[Task Name]]="",Tasks[[#This Row],[_Resources]]=""),"",TRIM(MID(SUBSTITUTE(Tasks[[#This Row],[_Resources]],",",REPT(" ",99)),1,99)))</f>
        <v/>
      </c>
      <c r="DL25" s="43" t="str">
        <f aca="false">IF(Tasks[[#This Row],[_Res1Text]]="","",TRIM(MID(SUBSTITUTE(Tasks[[#This Row],[_Resources]],",",REPT(" ",99)),100,99)))</f>
        <v/>
      </c>
      <c r="DM25" s="43" t="str">
        <f aca="false">IF(Tasks[[#This Row],[_Res2Text]]="","",TRIM(MID(SUBSTITUTE(Tasks[[#This Row],[_Resources]],",",REPT(" ",99)),199,99)))</f>
        <v/>
      </c>
      <c r="DN25" s="43" t="str">
        <f aca="false">IF(Tasks[[#This Row],[_Res3Text]]="","",TRIM(MID(SUBSTITUTE(Tasks[[#This Row],[_Resources]],",",REPT(" ",99)),298,99)))</f>
        <v/>
      </c>
      <c r="DO25" s="43" t="n">
        <f aca="false">IF(Tasks[[#This Row],[_Res1Text]]="",0,IFERROR(MATCH(TRIM(LEFT(Tasks[[#This Row],[_Res1Text]],FIND("[",Tasks[[#This Row],[_Res1Text]]&amp;"[")-1)),res_Name,0),IFERROR(MATCH(TRIM(LEFT(Tasks[[#This Row],[_Res1Text]],FIND("[",Tasks[[#This Row],[_Res1Text]]&amp;"[")-1)),res_Initials,0),0)))</f>
        <v>0</v>
      </c>
      <c r="DP25" s="43" t="n">
        <f aca="false">IF(Tasks[[#This Row],[_Res2Text]]="",0,IFERROR(MATCH(TRIM(LEFT(Tasks[[#This Row],[_Res2Text]],FIND("[",Tasks[[#This Row],[_Res2Text]]&amp;"[")-1)),res_Name,0),IFERROR(MATCH(TRIM(LEFT(Tasks[[#This Row],[_Res2Text]],FIND("[",Tasks[[#This Row],[_Res2Text]]&amp;"[")-1)),res_Initials,0),0)))</f>
        <v>0</v>
      </c>
      <c r="DQ25" s="43" t="n">
        <f aca="false">IF(Tasks[[#This Row],[_Res3Text]]="",0,IFERROR(MATCH(TRIM(LEFT(Tasks[[#This Row],[_Res3Text]],FIND("[",Tasks[[#This Row],[_Res3Text]]&amp;"[")-1)),res_Name,0),IFERROR(MATCH(TRIM(LEFT(Tasks[[#This Row],[_Res3Text]],FIND("[",Tasks[[#This Row],[_Res3Text]]&amp;"[")-1)),res_Initials,0),0)))</f>
        <v>0</v>
      </c>
      <c r="DR25" s="43" t="n">
        <f aca="false">IF(Tasks[[#This Row],[_Res4Text]]="",0,IFERROR(MATCH(TRIM(LEFT(Tasks[[#This Row],[_Res4Text]],FIND("[",Tasks[[#This Row],[_Res4Text]]&amp;"[")-1)),res_Name,0),IFERROR(MATCH(TRIM(LEFT(Tasks[[#This Row],[_Res4Text]],FIND("[",Tasks[[#This Row],[_Res4Text]]&amp;"[")-1)),res_Initials,0),0)))</f>
        <v>0</v>
      </c>
      <c r="DS25" s="43" t="str">
        <f aca="false">IF(Tasks[[#This Row],[_Res1Text]]="","",IF(Tasks[[#This Row],[_Res1Row]]&gt;0,INDEX(res_Name,Tasks[[#This Row],[_Res1Row]]),TRIM(LEFT(Tasks[[#This Row],[_Res1Text]],FIND("[",Tasks[[#This Row],[_Res1Text]]&amp;"[")-1))))</f>
        <v/>
      </c>
      <c r="DT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3" t="n">
        <f aca="false">IF(NOT(Tasks[[#This Row],[_IsLeaf]]=1),0,(Tasks[[#This Row],[_Resource1]]&lt;&gt;"")+(Tasks[[#This Row],[_Res2]]&lt;&gt;"")+(Tasks[[#This Row],[_Res3]]&lt;&gt;"")+(Tasks[[#This Row],[_Res4]]&lt;&gt;""))</f>
        <v>0</v>
      </c>
      <c r="DV25" s="43" t="str">
        <f aca="false">IF(Tasks[[#This Row],[_Res2Text]]="","",IF(Tasks[[#This Row],[_Res2Row]]&gt;0,INDEX(res_Name,Tasks[[#This Row],[_Res2Row]]),TRIM(LEFT(Tasks[[#This Row],[_Res2Text]],FIND("[",Tasks[[#This Row],[_Res2Text]]&amp;"[")-1))))</f>
        <v/>
      </c>
      <c r="DW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3" t="n">
        <f aca="false">IF(OR(NOT(Tasks[[#This Row],[_IsLeaf]]=1),Tasks[[#This Row],[_Res2Row]]=0),0,N(Tasks[[#This Row],[_Days]])*HoursPerDay*IF(Tasks[[#This Row],[_Res2Units]]="",DefaultUnits,Tasks[[#This Row],[_Res2Units]]))</f>
        <v>0</v>
      </c>
      <c r="DY25" s="43" t="n">
        <f aca="false">IF(AND(AND(Tasks[[#This Row],[_IsLeaf]]=1,Tasks[[#This Row],[_LeafTotalWork]]&gt;0),Tasks[[#This Row],[_Res2Work]]&gt;0),Tasks[[#This Row],[_Res2Work]]/(Tasks[[#This Row],[_FinishWorkday]]-Tasks[[#This Row],[_StartWorkday]]+1),0)</f>
        <v>0</v>
      </c>
      <c r="DZ25" s="43" t="n">
        <f aca="false">Tasks[[#This Row],[_Res2WorkPerWD]]*MAX(0,Tasks[[#This Row],[_StartWorkday]]-1)</f>
        <v>0</v>
      </c>
      <c r="EA25" s="43" t="n">
        <f aca="false">Tasks[[#This Row],[_Res2Work]]*Tasks[[#This Row],[_LeafProgress]]</f>
        <v>0</v>
      </c>
      <c r="EB25" s="43" t="str">
        <f aca="false">IF(Tasks[[#This Row],[_Res3Text]]="","",IF(Tasks[[#This Row],[_Res3Row]]&gt;0,INDEX(res_Name,Tasks[[#This Row],[_Res3Row]]),TRIM(LEFT(Tasks[[#This Row],[_Res3Text]],FIND("[",Tasks[[#This Row],[_Res3Text]]&amp;"[")-1))))</f>
        <v/>
      </c>
      <c r="EC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3" t="n">
        <f aca="false">IF(OR(NOT(Tasks[[#This Row],[_IsLeaf]]=1),Tasks[[#This Row],[_Res3Row]]=0),0,N(Tasks[[#This Row],[_Days]])*HoursPerDay*IF(Tasks[[#This Row],[_Res3Units]]="",DefaultUnits,Tasks[[#This Row],[_Res3Units]]))</f>
        <v>0</v>
      </c>
      <c r="EE25" s="43" t="n">
        <f aca="false">IF(AND(AND(Tasks[[#This Row],[_IsLeaf]]=1,Tasks[[#This Row],[_LeafTotalWork]]&gt;0),Tasks[[#This Row],[_Res3Work]]&gt;0),Tasks[[#This Row],[_Res3Work]]/(Tasks[[#This Row],[_FinishWorkday]]-Tasks[[#This Row],[_StartWorkday]]+1),0)</f>
        <v>0</v>
      </c>
      <c r="EF25" s="43" t="n">
        <f aca="false">Tasks[[#This Row],[_Res3WorkPerWD]]*MAX(0,Tasks[[#This Row],[_StartWorkday]]-1)</f>
        <v>0</v>
      </c>
      <c r="EG25" s="43" t="n">
        <f aca="false">Tasks[[#This Row],[_Res3Work]]*Tasks[[#This Row],[_LeafProgress]]</f>
        <v>0</v>
      </c>
      <c r="EH25" s="43" t="str">
        <f aca="false">IF(Tasks[[#This Row],[_Res4Text]]="","",IF(Tasks[[#This Row],[_Res4Row]]&gt;0,INDEX(res_Name,Tasks[[#This Row],[_Res4Row]]),TRIM(LEFT(Tasks[[#This Row],[_Res4Text]],FIND("[",Tasks[[#This Row],[_Res4Text]]&amp;"[")-1))))</f>
        <v/>
      </c>
      <c r="EI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3" t="n">
        <f aca="false">IF(OR(NOT(Tasks[[#This Row],[_IsLeaf]]=1),Tasks[[#This Row],[_Res4Row]]=0),0,N(Tasks[[#This Row],[_Days]])*HoursPerDay*IF(Tasks[[#This Row],[_Res4Units]]="",DefaultUnits,Tasks[[#This Row],[_Res4Units]]))</f>
        <v>0</v>
      </c>
      <c r="EK25" s="43" t="n">
        <f aca="false">IF(AND(AND(Tasks[[#This Row],[_IsLeaf]]=1,Tasks[[#This Row],[_LeafTotalWork]]&gt;0),Tasks[[#This Row],[_Res4Work]]&gt;0),Tasks[[#This Row],[_Res4Work]]/(Tasks[[#This Row],[_FinishWorkday]]-Tasks[[#This Row],[_StartWorkday]]+1),0)</f>
        <v>0</v>
      </c>
      <c r="EL25" s="43" t="n">
        <f aca="false">Tasks[[#This Row],[_Res4WorkPerWD]]*MAX(0,Tasks[[#This Row],[_StartWorkday]]-1)</f>
        <v>0</v>
      </c>
      <c r="EM25" s="43" t="n">
        <f aca="false">Tasks[[#This Row],[_Res4Work]]*Tasks[[#This Row],[_LeafProgress]]</f>
        <v>0</v>
      </c>
      <c r="EN25" s="43" t="n">
        <f aca="false">IF(ISNUMBER(Tasks[[#This Row],[% Complete]]),Tasks[[#This Row],[% Complete]],IF(Tasks[[#This Row],[Stage]]="",0,IFERROR(INDEX(stg_Pct,MATCH(Tasks[[#This Row],[Stage]],stg_Name,0)),0)))</f>
        <v>0</v>
      </c>
      <c r="EO25" s="43" t="n">
        <f aca="false">IF(NOT(Tasks[[#This Row],[_IsLeaf]]=1),0,IF(N(Tasks[[#This Row],[Actual Finish]])&gt;0,1,MIN(1,Tasks[[#This Row],[_Pct]])))</f>
        <v>0</v>
      </c>
      <c r="EP25" s="43" t="n">
        <f aca="false">IF(OR(NOT(Tasks[[#This Row],[_IsLeaf]]=1),Tasks[[#This Row],[_Res1Row]]=0),0,N(Tasks[[#This Row],[_Days]])*HoursPerDay*IF(Tasks[[#This Row],[_Units1]]="",DefaultUnits,Tasks[[#This Row],[_Units1]]))</f>
        <v>0</v>
      </c>
      <c r="EQ25" s="43" t="n">
        <f aca="false">Tasks[[#This Row],[_LeafWork]]+Tasks[[#This Row],[_Res2Work]]+Tasks[[#This Row],[_Res3Work]]+Tasks[[#This Row],[_Res4Work]]</f>
        <v>0</v>
      </c>
      <c r="ER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3" t="n">
        <f aca="false">IF(NOT(Tasks[[#This Row],[_IsLeaf]]=1),0,MAX(_xlfn.MAXIFS(Tasks[_Row],Tasks[_Pred1UID],Tasks[[#This Row],[UID]]),_xlfn.MAXIFS(Tasks[_Row],Tasks[_Pred2UID],Tasks[[#This Row],[UID]]),_xlfn.MAXIFS(Tasks[_Row],Tasks[_Pred3UID],Tasks[[#This Row],[UID]]),_xlfn.MAXIFS(Tasks[_Row],Tasks[_Pred4UID],Tasks[[#This Row],[UID]])))</f>
        <v>0</v>
      </c>
      <c r="FA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91" t="str">
        <f aca="false">IF(NOT(Tasks[[#This Row],[_IsLeaf]]=1),"",IF(N(Tasks[[#This Row],[_Days]])&lt;=0,Tasks[[#This Row],[_LeafLateFinish]],WORKDAY.INTL(Tasks[[#This Row],[_LeafLateFinish]],-(Tasks[[#This Row],[_Days]]-1),WorkWeek,Holidays)))</f>
        <v/>
      </c>
      <c r="FD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5" s="90" t="b">
        <f aca="false">AND(Tasks[[#This Row],[_IsLeaf]]=1,Tasks[[#This Row],[_LeafProgress]]&lt;1,N(Tasks[[#This Row],[_LeafTotalSlack]])&lt;=CriticalSlackDays)</f>
        <v>0</v>
      </c>
      <c r="FF25" s="43" t="n">
        <f aca="false">IF(AND(Tasks[[#This Row],[_IsLeaf]]=1,Tasks[[#This Row],[_ConstraintCode]]=1,Tasks[[#This Row],[Mode]]&lt;&gt;"Manual",N(Tasks[[#This Row],[Actual Start]])=0),MAX(0,N(Tasks[[#This Row],[Free Slack]])),0)</f>
        <v>0</v>
      </c>
      <c r="FG25" s="91" t="str">
        <f aca="false">IF(NOT(Tasks[[#This Row],[_IsLeaf]]=1),"",IF(Tasks[[#This Row],[_AlapShift]]=0,Tasks[[#This Row],[_LeafCalcStart]],WORKDAY.INTL(Tasks[[#This Row],[_LeafCalcStart]],Tasks[[#This Row],[_AlapShift]],WorkWeek,Holidays)))</f>
        <v/>
      </c>
      <c r="FH25" s="91" t="str">
        <f aca="false">IF(NOT(Tasks[[#This Row],[_IsLeaf]]=1),"",IF(Tasks[[#This Row],[_AlapShift]]=0,Tasks[[#This Row],[_LeafCalcFinish]],WORKDAY.INTL(Tasks[[#This Row],[_LeafCalcFinish]],Tasks[[#This Row],[_AlapShift]],WorkWeek,Holidays)))</f>
        <v/>
      </c>
      <c r="FI25" s="91" t="str">
        <f aca="false">IF(NOT(Tasks[[#This Row],[_IsLeaf]]=1),"",IF(Tasks[[#This Row],[_AlapShift]]=0,Tasks[[#This Row],[_LeafFcstStart]],WORKDAY.INTL(Tasks[[#This Row],[_LeafFcstStart]],Tasks[[#This Row],[_AlapShift]],WorkWeek,Holidays)))</f>
        <v/>
      </c>
      <c r="FJ25" s="91" t="str">
        <f aca="false">IF(NOT(Tasks[[#This Row],[_IsLeaf]]=1),"",IF(Tasks[[#This Row],[_AlapShift]]=0,Tasks[[#This Row],[_LeafFcstFinish]],WORKDAY.INTL(Tasks[[#This Row],[_LeafFcstFinish]],Tasks[[#This Row],[_AlapShift]],WorkWeek,Holidays)))</f>
        <v/>
      </c>
      <c r="FK25" s="91" t="str">
        <f aca="false">IF(Tasks[[#This Row],[Task Name]]="","",IF(Tasks[[#This Row],[_IsSummary]],MIN(INDEX(Tasks[_ShownCalcStart],Tasks[[#This Row],[_Row]]+1):INDEX(Tasks[_ShownCalcStart],Tasks[[#This Row],[_Row]]+Tasks[[#This Row],[_Descendants]])),Tasks[[#This Row],[_ShownCalcStart]]))</f>
        <v/>
      </c>
      <c r="FL25" s="91" t="str">
        <f aca="false">IF(Tasks[[#This Row],[Task Name]]="","",IF(Tasks[[#This Row],[_IsSummary]],MAX(INDEX(Tasks[_ShownCalcFinish],Tasks[[#This Row],[_Row]]+1):INDEX(Tasks[_ShownCalcFinish],Tasks[[#This Row],[_Row]]+Tasks[[#This Row],[_Descendants]])),Tasks[[#This Row],[_ShownCalcFinish]]))</f>
        <v/>
      </c>
      <c r="FM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5" s="43" t="n">
        <f aca="false">IF(AND(Tasks[[#This Row],[_IsLeaf]]=1,Tasks[[#This Row],[_LeafTotalWork]]&gt;0),NETWORKDAYS.INTL(ProjectStart,Tasks[[#This Row],[_ShownFcstStart]],WorkWeek,Holidays),0)</f>
        <v>0</v>
      </c>
      <c r="FZ25" s="43" t="n">
        <f aca="false">IF(AND(Tasks[[#This Row],[_IsLeaf]]=1,Tasks[[#This Row],[_LeafTotalWork]]&gt;0),MAX(Tasks[[#This Row],[_StartWorkday]],NETWORKDAYS.INTL(ProjectStart,Tasks[[#This Row],[_ShownFcstFinish]],WorkWeek,Holidays)),0)</f>
        <v>0</v>
      </c>
      <c r="GA25" s="43" t="n">
        <f aca="false">IF(AND(Tasks[[#This Row],[_IsLeaf]]=1,Tasks[[#This Row],[_LeafTotalWork]]&gt;0),Tasks[[#This Row],[_LeafWork]]/(Tasks[[#This Row],[_FinishWorkday]]-Tasks[[#This Row],[_StartWorkday]]+1),0)</f>
        <v>0</v>
      </c>
      <c r="GB25" s="43" t="n">
        <f aca="false">Tasks[[#This Row],[_WorkPerWorkday]]*(Tasks[[#This Row],[_StartWorkday]]-1)</f>
        <v>-0</v>
      </c>
      <c r="GC25" s="43" t="n">
        <f aca="false">IF(Tasks[[#This Row],[_IsLeaf]]=1,MAX(N(Tasks[[#This Row],[_Days]]),0.1),0)</f>
        <v>0</v>
      </c>
      <c r="GD25" s="43" t="n">
        <f aca="false">Tasks[[#This Row],[_WeightDur]]*Tasks[[#This Row],[_LeafProgress]]</f>
        <v>0</v>
      </c>
      <c r="GE25" s="43" t="n">
        <f aca="false">Tasks[[#This Row],[_WeightDur]]*Tasks[[#This Row],[_PlannedPct]]</f>
        <v>0</v>
      </c>
      <c r="GF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3" t="str">
        <f aca="false">IF(AND(Tasks[[#This Row],[_IsLeaf]]=1,N(Tasks[[#This Row],[_Days]])=0,Tasks[[#This Row],[_LeafProgress]]&lt;1),Tasks[[#This Row],[_ShownFcstFinish]]+Tasks[[#This Row],[_Row]]/100000,"")</f>
        <v/>
      </c>
      <c r="GH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5" s="43" t="str">
        <f aca="false">IF(Tasks[[#This Row],[Task Name]]="","",LEFT(Tasks[[#This Row],[WBS]],FIND(".",Tasks[[#This Row],[WBS]]&amp;".")-1))</f>
        <v/>
      </c>
      <c r="GJ25" s="43" t="str">
        <f aca="false">IF(AND(Tasks[[#This Row],[Task Name]]&lt;&gt;"",Tasks[[#This Row],[_Level]]=1),Tasks[[#This Row],[_Row]],"")</f>
        <v/>
      </c>
      <c r="GK25" s="43" t="str">
        <f aca="false">IF(AND(Tasks[[#This Row],[_IsLeaf]]=1,N(Tasks[[#This Row],[_Days]])=0),Tasks[[#This Row],[Planned Finish]]+Tasks[[#This Row],[_Row]]/100000,"")</f>
        <v/>
      </c>
      <c r="GL25" s="43" t="str">
        <f aca="false">IF(AND(Tasks[[#This Row],[_IsLeaf]]=1,Tasks[[#This Row],[_LeafProgress]]&lt;1,OR(N(Tasks[[#This Row],[Finish Var]])&gt;0,Tasks[[#This Row],[Status]]="Late Start")),MAX(0,Tasks[[#This Row],[Finish Var]])+1-Tasks[[#This Row],[_Row]]/1000000,"")</f>
        <v/>
      </c>
      <c r="GM25" s="43" t="str">
        <f aca="false">IF(AND(Tasks[[#This Row],[_IsLeaf]]=1,N(Tasks[[#This Row],[Actual Start]])=0,Tasks[[#This Row],[_ShownFcstStart]]&gt;=StatusDate,Tasks[[#This Row],[_ShownFcstStart]]&lt;=LookaheadEnd),Tasks[[#This Row],[_ShownFcstStart]]+Tasks[[#This Row],[_Row]]/100000,"")</f>
        <v/>
      </c>
      <c r="GN25" s="43" t="str">
        <f aca="false">IF(AND(Tasks[[#This Row],[_IsLeaf]]=1,Tasks[[#This Row],[_LeafProgress]]&lt;1,Tasks[[#This Row],[_ShownFcstFinish]]&gt;=StatusDate,Tasks[[#This Row],[_ShownFcstFinish]]&lt;=LookaheadEnd),Tasks[[#This Row],[_ShownFcstFinish]]+Tasks[[#This Row],[_Row]]/100000,"")</f>
        <v/>
      </c>
      <c r="GO25" s="43" t="str">
        <f aca="false">IF(Tasks[[#This Row],[_LeafCritical]],Tasks[[#This Row],[_ShownFcstStart]]+Tasks[[#This Row],[_Row]]/100000,"")</f>
        <v/>
      </c>
      <c r="GP25" s="43" t="n">
        <f aca="false">Tasks[[#This Row],[_LeafWork]]*Tasks[[#This Row],[_LeafProgress]]</f>
        <v>0</v>
      </c>
      <c r="GQ25" s="91" t="str">
        <f aca="false">IF(AND(Tasks[[#This Row],[_IsLeaf]]=1,Tasks[[#This Row],[_LeafProgress]]&gt;=1),IF(N(Tasks[[#This Row],[Actual Finish]])&gt;0,Tasks[[#This Row],[Actual Finish]],Tasks[[#This Row],[_ShownFcstFinish]]),"")</f>
        <v/>
      </c>
      <c r="GR25" s="43" t="n">
        <f aca="false">IF(Tasks[[#This Row],[_IsLeaf]]=1,N(Tasks[[#This Row],[Story Points]]),0)</f>
        <v>0</v>
      </c>
      <c r="GS25" s="43" t="str">
        <f aca="false">""</f>
        <v/>
      </c>
      <c r="GT25" s="90" t="b">
        <f aca="false">IF(Tasks[[#This Row],[Task Name]]="",FALSE(),AND(Tasks[[#This Row],[_IsLeaf]]=1,N(Tasks[[#This Row],[_Days]])=0))</f>
        <v>0</v>
      </c>
      <c r="GU25" s="91" t="n">
        <f aca="false">IF(Tasks[[#This Row],[Task Name]]="",0,IF(AND(Tasks[[#This Row],[_IsLeaf]]=1,NOT(Tasks[[#This Row],[_IsMilestone]]),N(Tasks[[#This Row],[Progress]])&gt;0),Tasks[[#This Row],[Start]],0))</f>
        <v>0</v>
      </c>
      <c r="GV25" s="91" t="n">
        <f aca="false">IF(Tasks[[#This Row],[_DoneFrom]]=0,0,IF(Tasks[[#This Row],[Progress]]&gt;=1,Tasks[[#This Row],[Finish]],MAX(Tasks[[#This Row],[_DoneFrom]],Tasks[[#This Row],[Start]]+ROUND((Tasks[[#This Row],[Finish]]-Tasks[[#This Row],[Start]]+1)*Tasks[[#This Row],[Progress]],0)-1)))</f>
        <v>0</v>
      </c>
      <c r="GW25" s="91" t="n">
        <f aca="false">IF(Tasks[[#This Row],[Task Name]]="",0,IF(OR(NOT(Tasks[[#This Row],[_IsLeaf]]=1),Tasks[[#This Row],[_IsMilestone]],N(Tasks[[#This Row],[Progress]])&gt;=1),0,IF(Tasks[[#This Row],[_DoneTo]]&gt;0,Tasks[[#This Row],[_DoneTo]]+1,Tasks[[#This Row],[Start]])))</f>
        <v>0</v>
      </c>
      <c r="GX25" s="91" t="n">
        <f aca="false">IF(Tasks[[#This Row],[_RemFrom]]=0,0,Tasks[[#This Row],[Finish]])</f>
        <v>0</v>
      </c>
      <c r="GY25" s="90" t="b">
        <f aca="false">IF(Tasks[[#This Row],[Task Name]]="",FALSE(),OR(NOT(BaselineSet),N(Tasks[[#This Row],[Baseline Start]])&gt;0))</f>
        <v>0</v>
      </c>
      <c r="GZ2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92" t="str">
        <f aca="false">IF(Tasks[[#This Row],[_IsLeaf]]=1,Tasks[[#This Row],[_Row]],"")</f>
        <v/>
      </c>
      <c r="HD25" s="92" t="str">
        <f aca="false">IFERROR(INDEX(Tasks[UID],SMALL(Tasks[_PickKey],Tasks[[#This Row],[_Row]]))&amp;" "&amp;INDEX(Tasks[Task Name],SMALL(Tasks[_PickKey],Tasks[[#This Row],[_Row]])),"")</f>
        <v/>
      </c>
      <c r="HE25" s="43" t="str">
        <f aca="false">IF(Tasks[[#This Row],[Task Name]]="","",IF(Tasks[[#This Row],[_IsSummary]],NETWORKDAYS.INTL(Tasks[[#This Row],[Start]],Tasks[[#This Row],[Finish]],WorkWeek,Holidays),N(Tasks[[#This Row],[_Days]])))</f>
        <v/>
      </c>
      <c r="HF25" s="43" t="n">
        <f aca="false">IF(Tasks[[#This Row],[Expected]]="",0,((Tasks[[#This Row],[Pessimistic]]-Tasks[[#This Row],[Optimistic]])/6)^2)</f>
        <v>0</v>
      </c>
      <c r="HG25" s="43" t="n">
        <f aca="false">IF(Tasks[[#This Row],[Expected]]="",0,Tasks[[#This Row],[Expected]]-N(Tasks[[#This Row],[_Days]]))</f>
        <v>0</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4"/>
      <c r="U26" s="23"/>
      <c r="V26" s="84"/>
      <c r="W26" s="23"/>
      <c r="X26" s="84"/>
      <c r="Y26" s="23"/>
      <c r="Z26" s="84"/>
      <c r="AA26" s="23"/>
      <c r="AB26" s="23"/>
      <c r="AC26" s="7"/>
      <c r="AD26" s="7"/>
      <c r="AE26" s="63" t="str">
        <f aca="false">IF(Tasks[[#This Row],[Task Name]]="","",IF(Tasks[[#This Row],[_IsSummary]],MIN(INDEX(Tasks[_ShownFcstStart],Tasks[[#This Row],[_Row]]+1):INDEX(Tasks[_ShownFcstStart],Tasks[[#This Row],[_Row]]+Tasks[[#This Row],[_Descendants]])),Tasks[[#This Row],[_ShownFcstStart]]))</f>
        <v/>
      </c>
      <c r="AF26" s="63"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6" s="7"/>
      <c r="AK26" s="22"/>
      <c r="AL26" s="23"/>
      <c r="AM26" s="7"/>
      <c r="AN26" s="47"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3" t="str">
        <f aca="false">IF(Tasks[[#This Row],[Task Name]]="","",IF(N(Tasks[[#This Row],[Baseline Start]])&gt;0,Tasks[[#This Row],[Baseline Start]],Tasks[[#This Row],[_CalcStart]]))</f>
        <v/>
      </c>
      <c r="AR26" s="63" t="str">
        <f aca="false">IF(Tasks[[#This Row],[Task Name]]="","",IF(N(Tasks[[#This Row],[Baseline Finish]])&gt;0,Tasks[[#This Row],[Baseline Finish]],Tasks[[#This Row],[_CalcFinish]]))</f>
        <v/>
      </c>
      <c r="AS26" s="47" t="str">
        <f aca="false">IF(Tasks[[#This Row],[Task Name]]="","",IF(Tasks[[#This Row],[Start]]&gt;=Tasks[[#This Row],[Planned Start]],NETWORKDAYS.INTL(Tasks[[#This Row],[Planned Start]],Tasks[[#This Row],[Start]],WorkWeek,Holidays)-1,1-NETWORKDAYS.INTL(Tasks[[#This Row],[Start]],Tasks[[#This Row],[Planned Start]],WorkWeek,Holidays)))</f>
        <v/>
      </c>
      <c r="AT26" s="63" t="str">
        <f aca="false">IF(Tasks[[#This Row],[Task Name]]="","",IF(Tasks[[#This Row],[_IsSummary]],MIN(INDEX(Tasks[_LeafLateStart],Tasks[[#This Row],[_Row]]+1):INDEX(Tasks[_LeafLateStart],Tasks[[#This Row],[_Row]]+Tasks[[#This Row],[_Descendants]])),Tasks[[#This Row],[_LeafLateStart]]))</f>
        <v/>
      </c>
      <c r="AU26" s="63" t="str">
        <f aca="false">IF(Tasks[[#This Row],[Task Name]]="","",IF(Tasks[[#This Row],[_IsSummary]],MAX(INDEX(Tasks[_LeafLateFinish],Tasks[[#This Row],[_Row]]+1):INDEX(Tasks[_LeafLateFinish],Tasks[[#This Row],[_Row]]+Tasks[[#This Row],[_Descendants]])),Tasks[[#This Row],[_LeafLateFinish]]))</f>
        <v/>
      </c>
      <c r="AV26" s="47"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5"/>
      <c r="BA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6"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7"/>
      <c r="BJ26" s="22"/>
      <c r="BK26" s="47" t="str">
        <f aca="false">IF(OR(Tasks[[#This Row],[Task Name]]="",Tasks[[#This Row],[Baseline Duration]]=""),"",Tasks[[#This Row],[_SpanDays]]-N(Tasks[[#This Row],[Baseline Duration]]))</f>
        <v/>
      </c>
      <c r="BL26" s="86" t="str">
        <f aca="false">IF(OR(Tasks[[#This Row],[Task Name]]="",Tasks[[#This Row],[Baseline Work]]=""),"",Tasks[[#This Row],[Work]]-N(Tasks[[#This Row],[Baseline Work]]))</f>
        <v/>
      </c>
      <c r="BM26" s="63" t="str">
        <f aca="false">IF(Tasks[[#This Row],[Task Name]]="","",IF(OR(TakeBaseline="Yes",N(Tasks[[#This Row],[Baseline Start]])=0),Tasks[[#This Row],[Start]],Tasks[[#This Row],[Baseline Start]]))</f>
        <v/>
      </c>
      <c r="BN26" s="63" t="str">
        <f aca="false">IF(Tasks[[#This Row],[Task Name]]="","",IF(OR(TakeBaseline="Yes",N(Tasks[[#This Row],[Baseline Finish]])=0),Tasks[[#This Row],[Finish]],Tasks[[#This Row],[Baseline Finish]]))</f>
        <v/>
      </c>
      <c r="BO26" s="21" t="str">
        <f aca="false">IF(Tasks[[#This Row],[Task Name]]="","",IF(OR(TakeBaseline="Yes",N(Tasks[[#This Row],[Baseline Duration]])=0),Tasks[[#This Row],[_SpanDays]],Tasks[[#This Row],[Baseline Duration]]))</f>
        <v/>
      </c>
      <c r="BP26" s="86" t="str">
        <f aca="false">IF(Tasks[[#This Row],[Task Name]]="","",IF(OR(TakeBaseline="Yes",N(Tasks[[#This Row],[Baseline Work]])=0),Tasks[[#This Row],[Work]],Tasks[[#This Row],[Baseline Work]]))</f>
        <v/>
      </c>
      <c r="BQ26" s="7"/>
      <c r="BR26" s="7"/>
      <c r="BS26" s="22"/>
      <c r="BT26" s="88"/>
      <c r="BU26" s="23"/>
      <c r="BV26" s="23"/>
      <c r="BW26" s="23"/>
      <c r="BX26" s="89" t="str">
        <f aca="false">IF(AND(Tasks[[#This Row],[_IsLeaf]]=1,ISNUMBER(Tasks[[#This Row],[Optimistic]]),ISNUMBER(Tasks[[#This Row],[Pessimistic]])),ROUND((Tasks[[#This Row],[Optimistic]]+4*N(Tasks[[#This Row],[_Days]])+Tasks[[#This Row],[Pessimistic]])/6,1),"")</f>
        <v/>
      </c>
      <c r="BY26" s="87"/>
      <c r="BZ26" s="87"/>
      <c r="CA26" s="22"/>
      <c r="CB26" s="43" t="str">
        <f aca="false">IF(Tasks[[#This Row],[Task Name]]="","",MAX(1,N(Tasks[[#This Row],[Level]])))</f>
        <v/>
      </c>
      <c r="CC26" s="43" t="n">
        <f aca="false">ROW()-ROW(Tasks[[#Headers],[ID]])</f>
        <v>21</v>
      </c>
      <c r="CD26" s="43" t="n">
        <f aca="false">IF(OR(Tasks[[#This Row],[Task Name]]="",Tasks[[#This Row],[_Level]]&lt;=1),0,IFERROR(LOOKUP(2,1/(Tasks[[#Headers],[_Level]]:Tasks[[#This Row],[_Level]]=Tasks[[#This Row],[_Level]]-1),ROW(Tasks[[#Headers],[_Level]]:Tasks[[#This Row],[_Level]])),0))</f>
        <v>0</v>
      </c>
      <c r="CE26" s="43" t="n">
        <f aca="false">IFERROR(N(INDEX(Tasks[_Level],Tasks[[#This Row],[_Row]]+1)),0)</f>
        <v>0</v>
      </c>
      <c r="CF26" s="90" t="b">
        <f aca="false">AND(Tasks[[#This Row],[Task Name]]&lt;&gt;"",Tasks[[#This Row],[_NextLevel]]&gt;Tasks[[#This Row],[_Level]])</f>
        <v>0</v>
      </c>
      <c r="CG26" s="43" t="n">
        <f aca="false">IF(Tasks[[#This Row],[_IsSummary]],COUNTIF(Tasks[WBS],Tasks[[#This Row],[WBS]]&amp;".*"),0)</f>
        <v>0</v>
      </c>
      <c r="CH26" s="43" t="n">
        <f aca="false">IF(AND(Tasks[[#This Row],[Task Name]]&lt;&gt;"",NOT(Tasks[[#This Row],[_IsSummary]])),1,0)</f>
        <v>0</v>
      </c>
      <c r="CI26" s="43" t="n">
        <f aca="false">IF(N(Tasks[[#This Row],[_Pred1UID]])=0,0,IFERROR(MATCH(Tasks[[#This Row],[_Pred1UID]],Tasks[UID],0),-1))</f>
        <v>0</v>
      </c>
      <c r="CJ26" s="43" t="n">
        <f aca="false">IF(N(Tasks[[#This Row],[_Pred2UID]])=0,0,IFERROR(MATCH(Tasks[[#This Row],[_Pred2UID]],Tasks[UID],0),-1))</f>
        <v>0</v>
      </c>
      <c r="CK26" s="43" t="n">
        <f aca="false">IF(N(Tasks[[#This Row],[_Pred3UID]])=0,0,IFERROR(MATCH(Tasks[[#This Row],[_Pred3UID]],Tasks[UID],0),-1))</f>
        <v>0</v>
      </c>
      <c r="CL26" s="43" t="n">
        <f aca="false">IF(N(Tasks[[#This Row],[_Pred4UID]])=0,0,IFERROR(MATCH(Tasks[[#This Row],[_Pred4UID]],Tasks[UID],0),-1))</f>
        <v>0</v>
      </c>
      <c r="CM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6" s="91" t="n">
        <f aca="false">IF(OR(Tasks[[#This Row],[_ConstraintCode]]=2,Tasks[[#This Row],[_ConstraintCode]]=3,Tasks[[#This Row],[_ConstraintCode]]=4,Tasks[[#This Row],[_ConstraintCode]]=6),Tasks[[#This Row],[_ConstraintStart]],0)</f>
        <v>0</v>
      </c>
      <c r="CP26" s="91" t="n">
        <f aca="false">IF(OR(Tasks[[#This Row],[_ConstraintCode]]=2,Tasks[[#This Row],[_ConstraintCode]]=3,Tasks[[#This Row],[_ConstraintCode]]=5,Tasks[[#This Row],[_ConstraintCode]]=7),Tasks[[#This Row],[_ConstraintStart]],2958465)</f>
        <v>2958465</v>
      </c>
      <c r="CQ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91" t="str">
        <f aca="false">IF(NOT(Tasks[[#This Row],[_IsLeaf]]=1),"",IF(N(Tasks[[#This Row],[_Days]])&lt;=0,Tasks[[#This Row],[_LeafCalcStart]],WORKDAY.INTL(Tasks[[#This Row],[_LeafCalcStart]],Tasks[[#This Row],[_Days]]-1,WorkWeek,Holidays)))</f>
        <v/>
      </c>
      <c r="CS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3" t="str">
        <f aca="false">IF(Tasks[[#This Row],[_Predecessors]]="","",TRIM(MID(SUBSTITUTE(SUBSTITUTE(SUBSTITUTE(UPPER(Tasks[[#This Row],[_Predecessors]]),";",",")," ",""),",",REPT(" ",99)),1,99)))</f>
        <v/>
      </c>
      <c r="CV26" s="43" t="str">
        <f aca="false">IF(Tasks[[#This Row],[_Pred1Text]]="","",IFERROR(VALUE(LEFT(Tasks[[#This Row],[_Pred1Text]],MIN(FIND("F",Tasks[[#This Row],[_Pred1Text]]&amp;"F"),FIND("S",Tasks[[#This Row],[_Pred1Text]]&amp;"S"),FIND("+",Tasks[[#This Row],[_Pred1Text]]&amp;"+"),FIND("-",Tasks[[#This Row],[_Pred1Text]]&amp;"-"))-1)),""))</f>
        <v/>
      </c>
      <c r="CW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3" t="str">
        <f aca="false">IF(Tasks[[#This Row],[_Pred1Text]]="","",TRIM(MID(SUBSTITUTE(SUBSTITUTE(SUBSTITUTE(UPPER(Tasks[[#This Row],[_Predecessors]]),";",",")," ",""),",",REPT(" ",99)),100,99)))</f>
        <v/>
      </c>
      <c r="CZ26" s="43" t="str">
        <f aca="false">IF(Tasks[[#This Row],[_Pred2Text]]="","",IFERROR(VALUE(LEFT(Tasks[[#This Row],[_Pred2Text]],MIN(FIND("F",Tasks[[#This Row],[_Pred2Text]]&amp;"F"),FIND("S",Tasks[[#This Row],[_Pred2Text]]&amp;"S"),FIND("+",Tasks[[#This Row],[_Pred2Text]]&amp;"+"),FIND("-",Tasks[[#This Row],[_Pred2Text]]&amp;"-"))-1)),""))</f>
        <v/>
      </c>
      <c r="DA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3" t="str">
        <f aca="false">IF(Tasks[[#This Row],[_Pred2Text]]="","",TRIM(MID(SUBSTITUTE(SUBSTITUTE(SUBSTITUTE(UPPER(Tasks[[#This Row],[_Predecessors]]),";",",")," ",""),",",REPT(" ",99)),199,99)))</f>
        <v/>
      </c>
      <c r="DD26" s="43" t="str">
        <f aca="false">IF(Tasks[[#This Row],[_Pred3Text]]="","",IFERROR(VALUE(LEFT(Tasks[[#This Row],[_Pred3Text]],MIN(FIND("F",Tasks[[#This Row],[_Pred3Text]]&amp;"F"),FIND("S",Tasks[[#This Row],[_Pred3Text]]&amp;"S"),FIND("+",Tasks[[#This Row],[_Pred3Text]]&amp;"+"),FIND("-",Tasks[[#This Row],[_Pred3Text]]&amp;"-"))-1)),""))</f>
        <v/>
      </c>
      <c r="DE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3" t="str">
        <f aca="false">IF(Tasks[[#This Row],[_Pred3Text]]="","",TRIM(MID(SUBSTITUTE(SUBSTITUTE(SUBSTITUTE(UPPER(Tasks[[#This Row],[_Predecessors]]),";",",")," ",""),",",REPT(" ",99)),298,99)))</f>
        <v/>
      </c>
      <c r="DH26" s="43" t="str">
        <f aca="false">IF(Tasks[[#This Row],[_Pred4Text]]="","",IFERROR(VALUE(LEFT(Tasks[[#This Row],[_Pred4Text]],MIN(FIND("F",Tasks[[#This Row],[_Pred4Text]]&amp;"F"),FIND("S",Tasks[[#This Row],[_Pred4Text]]&amp;"S"),FIND("+",Tasks[[#This Row],[_Pred4Text]]&amp;"+"),FIND("-",Tasks[[#This Row],[_Pred4Text]]&amp;"-"))-1)),""))</f>
        <v/>
      </c>
      <c r="DI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3" t="str">
        <f aca="false">IF(OR(Tasks[[#This Row],[Task Name]]="",Tasks[[#This Row],[_Resources]]=""),"",TRIM(MID(SUBSTITUTE(Tasks[[#This Row],[_Resources]],",",REPT(" ",99)),1,99)))</f>
        <v/>
      </c>
      <c r="DL26" s="43" t="str">
        <f aca="false">IF(Tasks[[#This Row],[_Res1Text]]="","",TRIM(MID(SUBSTITUTE(Tasks[[#This Row],[_Resources]],",",REPT(" ",99)),100,99)))</f>
        <v/>
      </c>
      <c r="DM26" s="43" t="str">
        <f aca="false">IF(Tasks[[#This Row],[_Res2Text]]="","",TRIM(MID(SUBSTITUTE(Tasks[[#This Row],[_Resources]],",",REPT(" ",99)),199,99)))</f>
        <v/>
      </c>
      <c r="DN26" s="43" t="str">
        <f aca="false">IF(Tasks[[#This Row],[_Res3Text]]="","",TRIM(MID(SUBSTITUTE(Tasks[[#This Row],[_Resources]],",",REPT(" ",99)),298,99)))</f>
        <v/>
      </c>
      <c r="DO26" s="43" t="n">
        <f aca="false">IF(Tasks[[#This Row],[_Res1Text]]="",0,IFERROR(MATCH(TRIM(LEFT(Tasks[[#This Row],[_Res1Text]],FIND("[",Tasks[[#This Row],[_Res1Text]]&amp;"[")-1)),res_Name,0),IFERROR(MATCH(TRIM(LEFT(Tasks[[#This Row],[_Res1Text]],FIND("[",Tasks[[#This Row],[_Res1Text]]&amp;"[")-1)),res_Initials,0),0)))</f>
        <v>0</v>
      </c>
      <c r="DP26" s="43" t="n">
        <f aca="false">IF(Tasks[[#This Row],[_Res2Text]]="",0,IFERROR(MATCH(TRIM(LEFT(Tasks[[#This Row],[_Res2Text]],FIND("[",Tasks[[#This Row],[_Res2Text]]&amp;"[")-1)),res_Name,0),IFERROR(MATCH(TRIM(LEFT(Tasks[[#This Row],[_Res2Text]],FIND("[",Tasks[[#This Row],[_Res2Text]]&amp;"[")-1)),res_Initials,0),0)))</f>
        <v>0</v>
      </c>
      <c r="DQ26" s="43" t="n">
        <f aca="false">IF(Tasks[[#This Row],[_Res3Text]]="",0,IFERROR(MATCH(TRIM(LEFT(Tasks[[#This Row],[_Res3Text]],FIND("[",Tasks[[#This Row],[_Res3Text]]&amp;"[")-1)),res_Name,0),IFERROR(MATCH(TRIM(LEFT(Tasks[[#This Row],[_Res3Text]],FIND("[",Tasks[[#This Row],[_Res3Text]]&amp;"[")-1)),res_Initials,0),0)))</f>
        <v>0</v>
      </c>
      <c r="DR26" s="43" t="n">
        <f aca="false">IF(Tasks[[#This Row],[_Res4Text]]="",0,IFERROR(MATCH(TRIM(LEFT(Tasks[[#This Row],[_Res4Text]],FIND("[",Tasks[[#This Row],[_Res4Text]]&amp;"[")-1)),res_Name,0),IFERROR(MATCH(TRIM(LEFT(Tasks[[#This Row],[_Res4Text]],FIND("[",Tasks[[#This Row],[_Res4Text]]&amp;"[")-1)),res_Initials,0),0)))</f>
        <v>0</v>
      </c>
      <c r="DS26" s="43" t="str">
        <f aca="false">IF(Tasks[[#This Row],[_Res1Text]]="","",IF(Tasks[[#This Row],[_Res1Row]]&gt;0,INDEX(res_Name,Tasks[[#This Row],[_Res1Row]]),TRIM(LEFT(Tasks[[#This Row],[_Res1Text]],FIND("[",Tasks[[#This Row],[_Res1Text]]&amp;"[")-1))))</f>
        <v/>
      </c>
      <c r="DT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3" t="n">
        <f aca="false">IF(NOT(Tasks[[#This Row],[_IsLeaf]]=1),0,(Tasks[[#This Row],[_Resource1]]&lt;&gt;"")+(Tasks[[#This Row],[_Res2]]&lt;&gt;"")+(Tasks[[#This Row],[_Res3]]&lt;&gt;"")+(Tasks[[#This Row],[_Res4]]&lt;&gt;""))</f>
        <v>0</v>
      </c>
      <c r="DV26" s="43" t="str">
        <f aca="false">IF(Tasks[[#This Row],[_Res2Text]]="","",IF(Tasks[[#This Row],[_Res2Row]]&gt;0,INDEX(res_Name,Tasks[[#This Row],[_Res2Row]]),TRIM(LEFT(Tasks[[#This Row],[_Res2Text]],FIND("[",Tasks[[#This Row],[_Res2Text]]&amp;"[")-1))))</f>
        <v/>
      </c>
      <c r="DW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3" t="n">
        <f aca="false">IF(OR(NOT(Tasks[[#This Row],[_IsLeaf]]=1),Tasks[[#This Row],[_Res2Row]]=0),0,N(Tasks[[#This Row],[_Days]])*HoursPerDay*IF(Tasks[[#This Row],[_Res2Units]]="",DefaultUnits,Tasks[[#This Row],[_Res2Units]]))</f>
        <v>0</v>
      </c>
      <c r="DY26" s="43" t="n">
        <f aca="false">IF(AND(AND(Tasks[[#This Row],[_IsLeaf]]=1,Tasks[[#This Row],[_LeafTotalWork]]&gt;0),Tasks[[#This Row],[_Res2Work]]&gt;0),Tasks[[#This Row],[_Res2Work]]/(Tasks[[#This Row],[_FinishWorkday]]-Tasks[[#This Row],[_StartWorkday]]+1),0)</f>
        <v>0</v>
      </c>
      <c r="DZ26" s="43" t="n">
        <f aca="false">Tasks[[#This Row],[_Res2WorkPerWD]]*MAX(0,Tasks[[#This Row],[_StartWorkday]]-1)</f>
        <v>0</v>
      </c>
      <c r="EA26" s="43" t="n">
        <f aca="false">Tasks[[#This Row],[_Res2Work]]*Tasks[[#This Row],[_LeafProgress]]</f>
        <v>0</v>
      </c>
      <c r="EB26" s="43" t="str">
        <f aca="false">IF(Tasks[[#This Row],[_Res3Text]]="","",IF(Tasks[[#This Row],[_Res3Row]]&gt;0,INDEX(res_Name,Tasks[[#This Row],[_Res3Row]]),TRIM(LEFT(Tasks[[#This Row],[_Res3Text]],FIND("[",Tasks[[#This Row],[_Res3Text]]&amp;"[")-1))))</f>
        <v/>
      </c>
      <c r="EC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3" t="n">
        <f aca="false">IF(OR(NOT(Tasks[[#This Row],[_IsLeaf]]=1),Tasks[[#This Row],[_Res3Row]]=0),0,N(Tasks[[#This Row],[_Days]])*HoursPerDay*IF(Tasks[[#This Row],[_Res3Units]]="",DefaultUnits,Tasks[[#This Row],[_Res3Units]]))</f>
        <v>0</v>
      </c>
      <c r="EE26" s="43" t="n">
        <f aca="false">IF(AND(AND(Tasks[[#This Row],[_IsLeaf]]=1,Tasks[[#This Row],[_LeafTotalWork]]&gt;0),Tasks[[#This Row],[_Res3Work]]&gt;0),Tasks[[#This Row],[_Res3Work]]/(Tasks[[#This Row],[_FinishWorkday]]-Tasks[[#This Row],[_StartWorkday]]+1),0)</f>
        <v>0</v>
      </c>
      <c r="EF26" s="43" t="n">
        <f aca="false">Tasks[[#This Row],[_Res3WorkPerWD]]*MAX(0,Tasks[[#This Row],[_StartWorkday]]-1)</f>
        <v>0</v>
      </c>
      <c r="EG26" s="43" t="n">
        <f aca="false">Tasks[[#This Row],[_Res3Work]]*Tasks[[#This Row],[_LeafProgress]]</f>
        <v>0</v>
      </c>
      <c r="EH26" s="43" t="str">
        <f aca="false">IF(Tasks[[#This Row],[_Res4Text]]="","",IF(Tasks[[#This Row],[_Res4Row]]&gt;0,INDEX(res_Name,Tasks[[#This Row],[_Res4Row]]),TRIM(LEFT(Tasks[[#This Row],[_Res4Text]],FIND("[",Tasks[[#This Row],[_Res4Text]]&amp;"[")-1))))</f>
        <v/>
      </c>
      <c r="EI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3" t="n">
        <f aca="false">IF(OR(NOT(Tasks[[#This Row],[_IsLeaf]]=1),Tasks[[#This Row],[_Res4Row]]=0),0,N(Tasks[[#This Row],[_Days]])*HoursPerDay*IF(Tasks[[#This Row],[_Res4Units]]="",DefaultUnits,Tasks[[#This Row],[_Res4Units]]))</f>
        <v>0</v>
      </c>
      <c r="EK26" s="43" t="n">
        <f aca="false">IF(AND(AND(Tasks[[#This Row],[_IsLeaf]]=1,Tasks[[#This Row],[_LeafTotalWork]]&gt;0),Tasks[[#This Row],[_Res4Work]]&gt;0),Tasks[[#This Row],[_Res4Work]]/(Tasks[[#This Row],[_FinishWorkday]]-Tasks[[#This Row],[_StartWorkday]]+1),0)</f>
        <v>0</v>
      </c>
      <c r="EL26" s="43" t="n">
        <f aca="false">Tasks[[#This Row],[_Res4WorkPerWD]]*MAX(0,Tasks[[#This Row],[_StartWorkday]]-1)</f>
        <v>0</v>
      </c>
      <c r="EM26" s="43" t="n">
        <f aca="false">Tasks[[#This Row],[_Res4Work]]*Tasks[[#This Row],[_LeafProgress]]</f>
        <v>0</v>
      </c>
      <c r="EN26" s="43" t="n">
        <f aca="false">IF(ISNUMBER(Tasks[[#This Row],[% Complete]]),Tasks[[#This Row],[% Complete]],IF(Tasks[[#This Row],[Stage]]="",0,IFERROR(INDEX(stg_Pct,MATCH(Tasks[[#This Row],[Stage]],stg_Name,0)),0)))</f>
        <v>0</v>
      </c>
      <c r="EO26" s="43" t="n">
        <f aca="false">IF(NOT(Tasks[[#This Row],[_IsLeaf]]=1),0,IF(N(Tasks[[#This Row],[Actual Finish]])&gt;0,1,MIN(1,Tasks[[#This Row],[_Pct]])))</f>
        <v>0</v>
      </c>
      <c r="EP26" s="43" t="n">
        <f aca="false">IF(OR(NOT(Tasks[[#This Row],[_IsLeaf]]=1),Tasks[[#This Row],[_Res1Row]]=0),0,N(Tasks[[#This Row],[_Days]])*HoursPerDay*IF(Tasks[[#This Row],[_Units1]]="",DefaultUnits,Tasks[[#This Row],[_Units1]]))</f>
        <v>0</v>
      </c>
      <c r="EQ26" s="43" t="n">
        <f aca="false">Tasks[[#This Row],[_LeafWork]]+Tasks[[#This Row],[_Res2Work]]+Tasks[[#This Row],[_Res3Work]]+Tasks[[#This Row],[_Res4Work]]</f>
        <v>0</v>
      </c>
      <c r="ER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3" t="n">
        <f aca="false">IF(NOT(Tasks[[#This Row],[_IsLeaf]]=1),0,MAX(_xlfn.MAXIFS(Tasks[_Row],Tasks[_Pred1UID],Tasks[[#This Row],[UID]]),_xlfn.MAXIFS(Tasks[_Row],Tasks[_Pred2UID],Tasks[[#This Row],[UID]]),_xlfn.MAXIFS(Tasks[_Row],Tasks[_Pred3UID],Tasks[[#This Row],[UID]]),_xlfn.MAXIFS(Tasks[_Row],Tasks[_Pred4UID],Tasks[[#This Row],[UID]])))</f>
        <v>0</v>
      </c>
      <c r="FA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91" t="str">
        <f aca="false">IF(NOT(Tasks[[#This Row],[_IsLeaf]]=1),"",IF(N(Tasks[[#This Row],[_Days]])&lt;=0,Tasks[[#This Row],[_LeafLateFinish]],WORKDAY.INTL(Tasks[[#This Row],[_LeafLateFinish]],-(Tasks[[#This Row],[_Days]]-1),WorkWeek,Holidays)))</f>
        <v/>
      </c>
      <c r="FD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6" s="90" t="b">
        <f aca="false">AND(Tasks[[#This Row],[_IsLeaf]]=1,Tasks[[#This Row],[_LeafProgress]]&lt;1,N(Tasks[[#This Row],[_LeafTotalSlack]])&lt;=CriticalSlackDays)</f>
        <v>0</v>
      </c>
      <c r="FF26" s="43" t="n">
        <f aca="false">IF(AND(Tasks[[#This Row],[_IsLeaf]]=1,Tasks[[#This Row],[_ConstraintCode]]=1,Tasks[[#This Row],[Mode]]&lt;&gt;"Manual",N(Tasks[[#This Row],[Actual Start]])=0),MAX(0,N(Tasks[[#This Row],[Free Slack]])),0)</f>
        <v>0</v>
      </c>
      <c r="FG26" s="91" t="str">
        <f aca="false">IF(NOT(Tasks[[#This Row],[_IsLeaf]]=1),"",IF(Tasks[[#This Row],[_AlapShift]]=0,Tasks[[#This Row],[_LeafCalcStart]],WORKDAY.INTL(Tasks[[#This Row],[_LeafCalcStart]],Tasks[[#This Row],[_AlapShift]],WorkWeek,Holidays)))</f>
        <v/>
      </c>
      <c r="FH26" s="91" t="str">
        <f aca="false">IF(NOT(Tasks[[#This Row],[_IsLeaf]]=1),"",IF(Tasks[[#This Row],[_AlapShift]]=0,Tasks[[#This Row],[_LeafCalcFinish]],WORKDAY.INTL(Tasks[[#This Row],[_LeafCalcFinish]],Tasks[[#This Row],[_AlapShift]],WorkWeek,Holidays)))</f>
        <v/>
      </c>
      <c r="FI26" s="91" t="str">
        <f aca="false">IF(NOT(Tasks[[#This Row],[_IsLeaf]]=1),"",IF(Tasks[[#This Row],[_AlapShift]]=0,Tasks[[#This Row],[_LeafFcstStart]],WORKDAY.INTL(Tasks[[#This Row],[_LeafFcstStart]],Tasks[[#This Row],[_AlapShift]],WorkWeek,Holidays)))</f>
        <v/>
      </c>
      <c r="FJ26" s="91" t="str">
        <f aca="false">IF(NOT(Tasks[[#This Row],[_IsLeaf]]=1),"",IF(Tasks[[#This Row],[_AlapShift]]=0,Tasks[[#This Row],[_LeafFcstFinish]],WORKDAY.INTL(Tasks[[#This Row],[_LeafFcstFinish]],Tasks[[#This Row],[_AlapShift]],WorkWeek,Holidays)))</f>
        <v/>
      </c>
      <c r="FK26" s="91" t="str">
        <f aca="false">IF(Tasks[[#This Row],[Task Name]]="","",IF(Tasks[[#This Row],[_IsSummary]],MIN(INDEX(Tasks[_ShownCalcStart],Tasks[[#This Row],[_Row]]+1):INDEX(Tasks[_ShownCalcStart],Tasks[[#This Row],[_Row]]+Tasks[[#This Row],[_Descendants]])),Tasks[[#This Row],[_ShownCalcStart]]))</f>
        <v/>
      </c>
      <c r="FL26" s="91" t="str">
        <f aca="false">IF(Tasks[[#This Row],[Task Name]]="","",IF(Tasks[[#This Row],[_IsSummary]],MAX(INDEX(Tasks[_ShownCalcFinish],Tasks[[#This Row],[_Row]]+1):INDEX(Tasks[_ShownCalcFinish],Tasks[[#This Row],[_Row]]+Tasks[[#This Row],[_Descendants]])),Tasks[[#This Row],[_ShownCalcFinish]]))</f>
        <v/>
      </c>
      <c r="FM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6" s="43" t="n">
        <f aca="false">IF(AND(Tasks[[#This Row],[_IsLeaf]]=1,Tasks[[#This Row],[_LeafTotalWork]]&gt;0),NETWORKDAYS.INTL(ProjectStart,Tasks[[#This Row],[_ShownFcstStart]],WorkWeek,Holidays),0)</f>
        <v>0</v>
      </c>
      <c r="FZ26" s="43" t="n">
        <f aca="false">IF(AND(Tasks[[#This Row],[_IsLeaf]]=1,Tasks[[#This Row],[_LeafTotalWork]]&gt;0),MAX(Tasks[[#This Row],[_StartWorkday]],NETWORKDAYS.INTL(ProjectStart,Tasks[[#This Row],[_ShownFcstFinish]],WorkWeek,Holidays)),0)</f>
        <v>0</v>
      </c>
      <c r="GA26" s="43" t="n">
        <f aca="false">IF(AND(Tasks[[#This Row],[_IsLeaf]]=1,Tasks[[#This Row],[_LeafTotalWork]]&gt;0),Tasks[[#This Row],[_LeafWork]]/(Tasks[[#This Row],[_FinishWorkday]]-Tasks[[#This Row],[_StartWorkday]]+1),0)</f>
        <v>0</v>
      </c>
      <c r="GB26" s="43" t="n">
        <f aca="false">Tasks[[#This Row],[_WorkPerWorkday]]*(Tasks[[#This Row],[_StartWorkday]]-1)</f>
        <v>-0</v>
      </c>
      <c r="GC26" s="43" t="n">
        <f aca="false">IF(Tasks[[#This Row],[_IsLeaf]]=1,MAX(N(Tasks[[#This Row],[_Days]]),0.1),0)</f>
        <v>0</v>
      </c>
      <c r="GD26" s="43" t="n">
        <f aca="false">Tasks[[#This Row],[_WeightDur]]*Tasks[[#This Row],[_LeafProgress]]</f>
        <v>0</v>
      </c>
      <c r="GE26" s="43" t="n">
        <f aca="false">Tasks[[#This Row],[_WeightDur]]*Tasks[[#This Row],[_PlannedPct]]</f>
        <v>0</v>
      </c>
      <c r="GF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3" t="str">
        <f aca="false">IF(AND(Tasks[[#This Row],[_IsLeaf]]=1,N(Tasks[[#This Row],[_Days]])=0,Tasks[[#This Row],[_LeafProgress]]&lt;1),Tasks[[#This Row],[_ShownFcstFinish]]+Tasks[[#This Row],[_Row]]/100000,"")</f>
        <v/>
      </c>
      <c r="GH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6" s="43" t="str">
        <f aca="false">IF(Tasks[[#This Row],[Task Name]]="","",LEFT(Tasks[[#This Row],[WBS]],FIND(".",Tasks[[#This Row],[WBS]]&amp;".")-1))</f>
        <v/>
      </c>
      <c r="GJ26" s="43" t="str">
        <f aca="false">IF(AND(Tasks[[#This Row],[Task Name]]&lt;&gt;"",Tasks[[#This Row],[_Level]]=1),Tasks[[#This Row],[_Row]],"")</f>
        <v/>
      </c>
      <c r="GK26" s="43" t="str">
        <f aca="false">IF(AND(Tasks[[#This Row],[_IsLeaf]]=1,N(Tasks[[#This Row],[_Days]])=0),Tasks[[#This Row],[Planned Finish]]+Tasks[[#This Row],[_Row]]/100000,"")</f>
        <v/>
      </c>
      <c r="GL26" s="43" t="str">
        <f aca="false">IF(AND(Tasks[[#This Row],[_IsLeaf]]=1,Tasks[[#This Row],[_LeafProgress]]&lt;1,OR(N(Tasks[[#This Row],[Finish Var]])&gt;0,Tasks[[#This Row],[Status]]="Late Start")),MAX(0,Tasks[[#This Row],[Finish Var]])+1-Tasks[[#This Row],[_Row]]/1000000,"")</f>
        <v/>
      </c>
      <c r="GM26" s="43" t="str">
        <f aca="false">IF(AND(Tasks[[#This Row],[_IsLeaf]]=1,N(Tasks[[#This Row],[Actual Start]])=0,Tasks[[#This Row],[_ShownFcstStart]]&gt;=StatusDate,Tasks[[#This Row],[_ShownFcstStart]]&lt;=LookaheadEnd),Tasks[[#This Row],[_ShownFcstStart]]+Tasks[[#This Row],[_Row]]/100000,"")</f>
        <v/>
      </c>
      <c r="GN26" s="43" t="str">
        <f aca="false">IF(AND(Tasks[[#This Row],[_IsLeaf]]=1,Tasks[[#This Row],[_LeafProgress]]&lt;1,Tasks[[#This Row],[_ShownFcstFinish]]&gt;=StatusDate,Tasks[[#This Row],[_ShownFcstFinish]]&lt;=LookaheadEnd),Tasks[[#This Row],[_ShownFcstFinish]]+Tasks[[#This Row],[_Row]]/100000,"")</f>
        <v/>
      </c>
      <c r="GO26" s="43" t="str">
        <f aca="false">IF(Tasks[[#This Row],[_LeafCritical]],Tasks[[#This Row],[_ShownFcstStart]]+Tasks[[#This Row],[_Row]]/100000,"")</f>
        <v/>
      </c>
      <c r="GP26" s="43" t="n">
        <f aca="false">Tasks[[#This Row],[_LeafWork]]*Tasks[[#This Row],[_LeafProgress]]</f>
        <v>0</v>
      </c>
      <c r="GQ26" s="91" t="str">
        <f aca="false">IF(AND(Tasks[[#This Row],[_IsLeaf]]=1,Tasks[[#This Row],[_LeafProgress]]&gt;=1),IF(N(Tasks[[#This Row],[Actual Finish]])&gt;0,Tasks[[#This Row],[Actual Finish]],Tasks[[#This Row],[_ShownFcstFinish]]),"")</f>
        <v/>
      </c>
      <c r="GR26" s="43" t="n">
        <f aca="false">IF(Tasks[[#This Row],[_IsLeaf]]=1,N(Tasks[[#This Row],[Story Points]]),0)</f>
        <v>0</v>
      </c>
      <c r="GS26" s="43" t="str">
        <f aca="false">""</f>
        <v/>
      </c>
      <c r="GT26" s="90" t="b">
        <f aca="false">IF(Tasks[[#This Row],[Task Name]]="",FALSE(),AND(Tasks[[#This Row],[_IsLeaf]]=1,N(Tasks[[#This Row],[_Days]])=0))</f>
        <v>0</v>
      </c>
      <c r="GU26" s="91" t="n">
        <f aca="false">IF(Tasks[[#This Row],[Task Name]]="",0,IF(AND(Tasks[[#This Row],[_IsLeaf]]=1,NOT(Tasks[[#This Row],[_IsMilestone]]),N(Tasks[[#This Row],[Progress]])&gt;0),Tasks[[#This Row],[Start]],0))</f>
        <v>0</v>
      </c>
      <c r="GV26" s="91" t="n">
        <f aca="false">IF(Tasks[[#This Row],[_DoneFrom]]=0,0,IF(Tasks[[#This Row],[Progress]]&gt;=1,Tasks[[#This Row],[Finish]],MAX(Tasks[[#This Row],[_DoneFrom]],Tasks[[#This Row],[Start]]+ROUND((Tasks[[#This Row],[Finish]]-Tasks[[#This Row],[Start]]+1)*Tasks[[#This Row],[Progress]],0)-1)))</f>
        <v>0</v>
      </c>
      <c r="GW26" s="91" t="n">
        <f aca="false">IF(Tasks[[#This Row],[Task Name]]="",0,IF(OR(NOT(Tasks[[#This Row],[_IsLeaf]]=1),Tasks[[#This Row],[_IsMilestone]],N(Tasks[[#This Row],[Progress]])&gt;=1),0,IF(Tasks[[#This Row],[_DoneTo]]&gt;0,Tasks[[#This Row],[_DoneTo]]+1,Tasks[[#This Row],[Start]])))</f>
        <v>0</v>
      </c>
      <c r="GX26" s="91" t="n">
        <f aca="false">IF(Tasks[[#This Row],[_RemFrom]]=0,0,Tasks[[#This Row],[Finish]])</f>
        <v>0</v>
      </c>
      <c r="GY26" s="90" t="b">
        <f aca="false">IF(Tasks[[#This Row],[Task Name]]="",FALSE(),OR(NOT(BaselineSet),N(Tasks[[#This Row],[Baseline Start]])&gt;0))</f>
        <v>0</v>
      </c>
      <c r="GZ2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92" t="str">
        <f aca="false">IF(Tasks[[#This Row],[_IsLeaf]]=1,Tasks[[#This Row],[_Row]],"")</f>
        <v/>
      </c>
      <c r="HD26" s="92" t="str">
        <f aca="false">IFERROR(INDEX(Tasks[UID],SMALL(Tasks[_PickKey],Tasks[[#This Row],[_Row]]))&amp;" "&amp;INDEX(Tasks[Task Name],SMALL(Tasks[_PickKey],Tasks[[#This Row],[_Row]])),"")</f>
        <v/>
      </c>
      <c r="HE26" s="43" t="str">
        <f aca="false">IF(Tasks[[#This Row],[Task Name]]="","",IF(Tasks[[#This Row],[_IsSummary]],NETWORKDAYS.INTL(Tasks[[#This Row],[Start]],Tasks[[#This Row],[Finish]],WorkWeek,Holidays),N(Tasks[[#This Row],[_Days]])))</f>
        <v/>
      </c>
      <c r="HF26" s="43" t="n">
        <f aca="false">IF(Tasks[[#This Row],[Expected]]="",0,((Tasks[[#This Row],[Pessimistic]]-Tasks[[#This Row],[Optimistic]])/6)^2)</f>
        <v>0</v>
      </c>
      <c r="HG26" s="43" t="n">
        <f aca="false">IF(Tasks[[#This Row],[Expected]]="",0,Tasks[[#This Row],[Expected]]-N(Tasks[[#This Row],[_Days]]))</f>
        <v>0</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4"/>
      <c r="U27" s="23"/>
      <c r="V27" s="84"/>
      <c r="W27" s="23"/>
      <c r="X27" s="84"/>
      <c r="Y27" s="23"/>
      <c r="Z27" s="84"/>
      <c r="AA27" s="23"/>
      <c r="AB27" s="23"/>
      <c r="AC27" s="7"/>
      <c r="AD27" s="7"/>
      <c r="AE27" s="63" t="str">
        <f aca="false">IF(Tasks[[#This Row],[Task Name]]="","",IF(Tasks[[#This Row],[_IsSummary]],MIN(INDEX(Tasks[_ShownFcstStart],Tasks[[#This Row],[_Row]]+1):INDEX(Tasks[_ShownFcstStart],Tasks[[#This Row],[_Row]]+Tasks[[#This Row],[_Descendants]])),Tasks[[#This Row],[_ShownFcstStart]]))</f>
        <v/>
      </c>
      <c r="AF27" s="63"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7" s="7"/>
      <c r="AK27" s="22"/>
      <c r="AL27" s="23"/>
      <c r="AM27" s="7"/>
      <c r="AN27" s="47"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3" t="str">
        <f aca="false">IF(Tasks[[#This Row],[Task Name]]="","",IF(N(Tasks[[#This Row],[Baseline Start]])&gt;0,Tasks[[#This Row],[Baseline Start]],Tasks[[#This Row],[_CalcStart]]))</f>
        <v/>
      </c>
      <c r="AR27" s="63" t="str">
        <f aca="false">IF(Tasks[[#This Row],[Task Name]]="","",IF(N(Tasks[[#This Row],[Baseline Finish]])&gt;0,Tasks[[#This Row],[Baseline Finish]],Tasks[[#This Row],[_CalcFinish]]))</f>
        <v/>
      </c>
      <c r="AS27" s="47" t="str">
        <f aca="false">IF(Tasks[[#This Row],[Task Name]]="","",IF(Tasks[[#This Row],[Start]]&gt;=Tasks[[#This Row],[Planned Start]],NETWORKDAYS.INTL(Tasks[[#This Row],[Planned Start]],Tasks[[#This Row],[Start]],WorkWeek,Holidays)-1,1-NETWORKDAYS.INTL(Tasks[[#This Row],[Start]],Tasks[[#This Row],[Planned Start]],WorkWeek,Holidays)))</f>
        <v/>
      </c>
      <c r="AT27" s="63" t="str">
        <f aca="false">IF(Tasks[[#This Row],[Task Name]]="","",IF(Tasks[[#This Row],[_IsSummary]],MIN(INDEX(Tasks[_LeafLateStart],Tasks[[#This Row],[_Row]]+1):INDEX(Tasks[_LeafLateStart],Tasks[[#This Row],[_Row]]+Tasks[[#This Row],[_Descendants]])),Tasks[[#This Row],[_LeafLateStart]]))</f>
        <v/>
      </c>
      <c r="AU27" s="63" t="str">
        <f aca="false">IF(Tasks[[#This Row],[Task Name]]="","",IF(Tasks[[#This Row],[_IsSummary]],MAX(INDEX(Tasks[_LeafLateFinish],Tasks[[#This Row],[_Row]]+1):INDEX(Tasks[_LeafLateFinish],Tasks[[#This Row],[_Row]]+Tasks[[#This Row],[_Descendants]])),Tasks[[#This Row],[_LeafLateFinish]]))</f>
        <v/>
      </c>
      <c r="AV27" s="47"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5"/>
      <c r="BA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6"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7"/>
      <c r="BJ27" s="22"/>
      <c r="BK27" s="47" t="str">
        <f aca="false">IF(OR(Tasks[[#This Row],[Task Name]]="",Tasks[[#This Row],[Baseline Duration]]=""),"",Tasks[[#This Row],[_SpanDays]]-N(Tasks[[#This Row],[Baseline Duration]]))</f>
        <v/>
      </c>
      <c r="BL27" s="86" t="str">
        <f aca="false">IF(OR(Tasks[[#This Row],[Task Name]]="",Tasks[[#This Row],[Baseline Work]]=""),"",Tasks[[#This Row],[Work]]-N(Tasks[[#This Row],[Baseline Work]]))</f>
        <v/>
      </c>
      <c r="BM27" s="63" t="str">
        <f aca="false">IF(Tasks[[#This Row],[Task Name]]="","",IF(OR(TakeBaseline="Yes",N(Tasks[[#This Row],[Baseline Start]])=0),Tasks[[#This Row],[Start]],Tasks[[#This Row],[Baseline Start]]))</f>
        <v/>
      </c>
      <c r="BN27" s="63" t="str">
        <f aca="false">IF(Tasks[[#This Row],[Task Name]]="","",IF(OR(TakeBaseline="Yes",N(Tasks[[#This Row],[Baseline Finish]])=0),Tasks[[#This Row],[Finish]],Tasks[[#This Row],[Baseline Finish]]))</f>
        <v/>
      </c>
      <c r="BO27" s="21" t="str">
        <f aca="false">IF(Tasks[[#This Row],[Task Name]]="","",IF(OR(TakeBaseline="Yes",N(Tasks[[#This Row],[Baseline Duration]])=0),Tasks[[#This Row],[_SpanDays]],Tasks[[#This Row],[Baseline Duration]]))</f>
        <v/>
      </c>
      <c r="BP27" s="86" t="str">
        <f aca="false">IF(Tasks[[#This Row],[Task Name]]="","",IF(OR(TakeBaseline="Yes",N(Tasks[[#This Row],[Baseline Work]])=0),Tasks[[#This Row],[Work]],Tasks[[#This Row],[Baseline Work]]))</f>
        <v/>
      </c>
      <c r="BQ27" s="7"/>
      <c r="BR27" s="7"/>
      <c r="BS27" s="22"/>
      <c r="BT27" s="88"/>
      <c r="BU27" s="23"/>
      <c r="BV27" s="23"/>
      <c r="BW27" s="23"/>
      <c r="BX27" s="89" t="str">
        <f aca="false">IF(AND(Tasks[[#This Row],[_IsLeaf]]=1,ISNUMBER(Tasks[[#This Row],[Optimistic]]),ISNUMBER(Tasks[[#This Row],[Pessimistic]])),ROUND((Tasks[[#This Row],[Optimistic]]+4*N(Tasks[[#This Row],[_Days]])+Tasks[[#This Row],[Pessimistic]])/6,1),"")</f>
        <v/>
      </c>
      <c r="BY27" s="87"/>
      <c r="BZ27" s="87"/>
      <c r="CA27" s="22"/>
      <c r="CB27" s="43" t="str">
        <f aca="false">IF(Tasks[[#This Row],[Task Name]]="","",MAX(1,N(Tasks[[#This Row],[Level]])))</f>
        <v/>
      </c>
      <c r="CC27" s="43" t="n">
        <f aca="false">ROW()-ROW(Tasks[[#Headers],[ID]])</f>
        <v>22</v>
      </c>
      <c r="CD27" s="43" t="n">
        <f aca="false">IF(OR(Tasks[[#This Row],[Task Name]]="",Tasks[[#This Row],[_Level]]&lt;=1),0,IFERROR(LOOKUP(2,1/(Tasks[[#Headers],[_Level]]:Tasks[[#This Row],[_Level]]=Tasks[[#This Row],[_Level]]-1),ROW(Tasks[[#Headers],[_Level]]:Tasks[[#This Row],[_Level]])),0))</f>
        <v>0</v>
      </c>
      <c r="CE27" s="43" t="n">
        <f aca="false">IFERROR(N(INDEX(Tasks[_Level],Tasks[[#This Row],[_Row]]+1)),0)</f>
        <v>0</v>
      </c>
      <c r="CF27" s="90" t="b">
        <f aca="false">AND(Tasks[[#This Row],[Task Name]]&lt;&gt;"",Tasks[[#This Row],[_NextLevel]]&gt;Tasks[[#This Row],[_Level]])</f>
        <v>0</v>
      </c>
      <c r="CG27" s="43" t="n">
        <f aca="false">IF(Tasks[[#This Row],[_IsSummary]],COUNTIF(Tasks[WBS],Tasks[[#This Row],[WBS]]&amp;".*"),0)</f>
        <v>0</v>
      </c>
      <c r="CH27" s="43" t="n">
        <f aca="false">IF(AND(Tasks[[#This Row],[Task Name]]&lt;&gt;"",NOT(Tasks[[#This Row],[_IsSummary]])),1,0)</f>
        <v>0</v>
      </c>
      <c r="CI27" s="43" t="n">
        <f aca="false">IF(N(Tasks[[#This Row],[_Pred1UID]])=0,0,IFERROR(MATCH(Tasks[[#This Row],[_Pred1UID]],Tasks[UID],0),-1))</f>
        <v>0</v>
      </c>
      <c r="CJ27" s="43" t="n">
        <f aca="false">IF(N(Tasks[[#This Row],[_Pred2UID]])=0,0,IFERROR(MATCH(Tasks[[#This Row],[_Pred2UID]],Tasks[UID],0),-1))</f>
        <v>0</v>
      </c>
      <c r="CK27" s="43" t="n">
        <f aca="false">IF(N(Tasks[[#This Row],[_Pred3UID]])=0,0,IFERROR(MATCH(Tasks[[#This Row],[_Pred3UID]],Tasks[UID],0),-1))</f>
        <v>0</v>
      </c>
      <c r="CL27" s="43" t="n">
        <f aca="false">IF(N(Tasks[[#This Row],[_Pred4UID]])=0,0,IFERROR(MATCH(Tasks[[#This Row],[_Pred4UID]],Tasks[UID],0),-1))</f>
        <v>0</v>
      </c>
      <c r="CM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7" s="91" t="n">
        <f aca="false">IF(OR(Tasks[[#This Row],[_ConstraintCode]]=2,Tasks[[#This Row],[_ConstraintCode]]=3,Tasks[[#This Row],[_ConstraintCode]]=4,Tasks[[#This Row],[_ConstraintCode]]=6),Tasks[[#This Row],[_ConstraintStart]],0)</f>
        <v>0</v>
      </c>
      <c r="CP27" s="91" t="n">
        <f aca="false">IF(OR(Tasks[[#This Row],[_ConstraintCode]]=2,Tasks[[#This Row],[_ConstraintCode]]=3,Tasks[[#This Row],[_ConstraintCode]]=5,Tasks[[#This Row],[_ConstraintCode]]=7),Tasks[[#This Row],[_ConstraintStart]],2958465)</f>
        <v>2958465</v>
      </c>
      <c r="CQ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91" t="str">
        <f aca="false">IF(NOT(Tasks[[#This Row],[_IsLeaf]]=1),"",IF(N(Tasks[[#This Row],[_Days]])&lt;=0,Tasks[[#This Row],[_LeafCalcStart]],WORKDAY.INTL(Tasks[[#This Row],[_LeafCalcStart]],Tasks[[#This Row],[_Days]]-1,WorkWeek,Holidays)))</f>
        <v/>
      </c>
      <c r="CS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3" t="str">
        <f aca="false">IF(Tasks[[#This Row],[_Predecessors]]="","",TRIM(MID(SUBSTITUTE(SUBSTITUTE(SUBSTITUTE(UPPER(Tasks[[#This Row],[_Predecessors]]),";",",")," ",""),",",REPT(" ",99)),1,99)))</f>
        <v/>
      </c>
      <c r="CV27" s="43" t="str">
        <f aca="false">IF(Tasks[[#This Row],[_Pred1Text]]="","",IFERROR(VALUE(LEFT(Tasks[[#This Row],[_Pred1Text]],MIN(FIND("F",Tasks[[#This Row],[_Pred1Text]]&amp;"F"),FIND("S",Tasks[[#This Row],[_Pred1Text]]&amp;"S"),FIND("+",Tasks[[#This Row],[_Pred1Text]]&amp;"+"),FIND("-",Tasks[[#This Row],[_Pred1Text]]&amp;"-"))-1)),""))</f>
        <v/>
      </c>
      <c r="CW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3" t="str">
        <f aca="false">IF(Tasks[[#This Row],[_Pred1Text]]="","",TRIM(MID(SUBSTITUTE(SUBSTITUTE(SUBSTITUTE(UPPER(Tasks[[#This Row],[_Predecessors]]),";",",")," ",""),",",REPT(" ",99)),100,99)))</f>
        <v/>
      </c>
      <c r="CZ27" s="43" t="str">
        <f aca="false">IF(Tasks[[#This Row],[_Pred2Text]]="","",IFERROR(VALUE(LEFT(Tasks[[#This Row],[_Pred2Text]],MIN(FIND("F",Tasks[[#This Row],[_Pred2Text]]&amp;"F"),FIND("S",Tasks[[#This Row],[_Pred2Text]]&amp;"S"),FIND("+",Tasks[[#This Row],[_Pred2Text]]&amp;"+"),FIND("-",Tasks[[#This Row],[_Pred2Text]]&amp;"-"))-1)),""))</f>
        <v/>
      </c>
      <c r="DA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3" t="str">
        <f aca="false">IF(Tasks[[#This Row],[_Pred2Text]]="","",TRIM(MID(SUBSTITUTE(SUBSTITUTE(SUBSTITUTE(UPPER(Tasks[[#This Row],[_Predecessors]]),";",",")," ",""),",",REPT(" ",99)),199,99)))</f>
        <v/>
      </c>
      <c r="DD27" s="43" t="str">
        <f aca="false">IF(Tasks[[#This Row],[_Pred3Text]]="","",IFERROR(VALUE(LEFT(Tasks[[#This Row],[_Pred3Text]],MIN(FIND("F",Tasks[[#This Row],[_Pred3Text]]&amp;"F"),FIND("S",Tasks[[#This Row],[_Pred3Text]]&amp;"S"),FIND("+",Tasks[[#This Row],[_Pred3Text]]&amp;"+"),FIND("-",Tasks[[#This Row],[_Pred3Text]]&amp;"-"))-1)),""))</f>
        <v/>
      </c>
      <c r="DE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3" t="str">
        <f aca="false">IF(Tasks[[#This Row],[_Pred3Text]]="","",TRIM(MID(SUBSTITUTE(SUBSTITUTE(SUBSTITUTE(UPPER(Tasks[[#This Row],[_Predecessors]]),";",",")," ",""),",",REPT(" ",99)),298,99)))</f>
        <v/>
      </c>
      <c r="DH27" s="43" t="str">
        <f aca="false">IF(Tasks[[#This Row],[_Pred4Text]]="","",IFERROR(VALUE(LEFT(Tasks[[#This Row],[_Pred4Text]],MIN(FIND("F",Tasks[[#This Row],[_Pred4Text]]&amp;"F"),FIND("S",Tasks[[#This Row],[_Pred4Text]]&amp;"S"),FIND("+",Tasks[[#This Row],[_Pred4Text]]&amp;"+"),FIND("-",Tasks[[#This Row],[_Pred4Text]]&amp;"-"))-1)),""))</f>
        <v/>
      </c>
      <c r="DI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3" t="str">
        <f aca="false">IF(OR(Tasks[[#This Row],[Task Name]]="",Tasks[[#This Row],[_Resources]]=""),"",TRIM(MID(SUBSTITUTE(Tasks[[#This Row],[_Resources]],",",REPT(" ",99)),1,99)))</f>
        <v/>
      </c>
      <c r="DL27" s="43" t="str">
        <f aca="false">IF(Tasks[[#This Row],[_Res1Text]]="","",TRIM(MID(SUBSTITUTE(Tasks[[#This Row],[_Resources]],",",REPT(" ",99)),100,99)))</f>
        <v/>
      </c>
      <c r="DM27" s="43" t="str">
        <f aca="false">IF(Tasks[[#This Row],[_Res2Text]]="","",TRIM(MID(SUBSTITUTE(Tasks[[#This Row],[_Resources]],",",REPT(" ",99)),199,99)))</f>
        <v/>
      </c>
      <c r="DN27" s="43" t="str">
        <f aca="false">IF(Tasks[[#This Row],[_Res3Text]]="","",TRIM(MID(SUBSTITUTE(Tasks[[#This Row],[_Resources]],",",REPT(" ",99)),298,99)))</f>
        <v/>
      </c>
      <c r="DO27" s="43" t="n">
        <f aca="false">IF(Tasks[[#This Row],[_Res1Text]]="",0,IFERROR(MATCH(TRIM(LEFT(Tasks[[#This Row],[_Res1Text]],FIND("[",Tasks[[#This Row],[_Res1Text]]&amp;"[")-1)),res_Name,0),IFERROR(MATCH(TRIM(LEFT(Tasks[[#This Row],[_Res1Text]],FIND("[",Tasks[[#This Row],[_Res1Text]]&amp;"[")-1)),res_Initials,0),0)))</f>
        <v>0</v>
      </c>
      <c r="DP27" s="43" t="n">
        <f aca="false">IF(Tasks[[#This Row],[_Res2Text]]="",0,IFERROR(MATCH(TRIM(LEFT(Tasks[[#This Row],[_Res2Text]],FIND("[",Tasks[[#This Row],[_Res2Text]]&amp;"[")-1)),res_Name,0),IFERROR(MATCH(TRIM(LEFT(Tasks[[#This Row],[_Res2Text]],FIND("[",Tasks[[#This Row],[_Res2Text]]&amp;"[")-1)),res_Initials,0),0)))</f>
        <v>0</v>
      </c>
      <c r="DQ27" s="43" t="n">
        <f aca="false">IF(Tasks[[#This Row],[_Res3Text]]="",0,IFERROR(MATCH(TRIM(LEFT(Tasks[[#This Row],[_Res3Text]],FIND("[",Tasks[[#This Row],[_Res3Text]]&amp;"[")-1)),res_Name,0),IFERROR(MATCH(TRIM(LEFT(Tasks[[#This Row],[_Res3Text]],FIND("[",Tasks[[#This Row],[_Res3Text]]&amp;"[")-1)),res_Initials,0),0)))</f>
        <v>0</v>
      </c>
      <c r="DR27" s="43" t="n">
        <f aca="false">IF(Tasks[[#This Row],[_Res4Text]]="",0,IFERROR(MATCH(TRIM(LEFT(Tasks[[#This Row],[_Res4Text]],FIND("[",Tasks[[#This Row],[_Res4Text]]&amp;"[")-1)),res_Name,0),IFERROR(MATCH(TRIM(LEFT(Tasks[[#This Row],[_Res4Text]],FIND("[",Tasks[[#This Row],[_Res4Text]]&amp;"[")-1)),res_Initials,0),0)))</f>
        <v>0</v>
      </c>
      <c r="DS27" s="43" t="str">
        <f aca="false">IF(Tasks[[#This Row],[_Res1Text]]="","",IF(Tasks[[#This Row],[_Res1Row]]&gt;0,INDEX(res_Name,Tasks[[#This Row],[_Res1Row]]),TRIM(LEFT(Tasks[[#This Row],[_Res1Text]],FIND("[",Tasks[[#This Row],[_Res1Text]]&amp;"[")-1))))</f>
        <v/>
      </c>
      <c r="DT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3" t="n">
        <f aca="false">IF(NOT(Tasks[[#This Row],[_IsLeaf]]=1),0,(Tasks[[#This Row],[_Resource1]]&lt;&gt;"")+(Tasks[[#This Row],[_Res2]]&lt;&gt;"")+(Tasks[[#This Row],[_Res3]]&lt;&gt;"")+(Tasks[[#This Row],[_Res4]]&lt;&gt;""))</f>
        <v>0</v>
      </c>
      <c r="DV27" s="43" t="str">
        <f aca="false">IF(Tasks[[#This Row],[_Res2Text]]="","",IF(Tasks[[#This Row],[_Res2Row]]&gt;0,INDEX(res_Name,Tasks[[#This Row],[_Res2Row]]),TRIM(LEFT(Tasks[[#This Row],[_Res2Text]],FIND("[",Tasks[[#This Row],[_Res2Text]]&amp;"[")-1))))</f>
        <v/>
      </c>
      <c r="DW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3" t="n">
        <f aca="false">IF(OR(NOT(Tasks[[#This Row],[_IsLeaf]]=1),Tasks[[#This Row],[_Res2Row]]=0),0,N(Tasks[[#This Row],[_Days]])*HoursPerDay*IF(Tasks[[#This Row],[_Res2Units]]="",DefaultUnits,Tasks[[#This Row],[_Res2Units]]))</f>
        <v>0</v>
      </c>
      <c r="DY27" s="43" t="n">
        <f aca="false">IF(AND(AND(Tasks[[#This Row],[_IsLeaf]]=1,Tasks[[#This Row],[_LeafTotalWork]]&gt;0),Tasks[[#This Row],[_Res2Work]]&gt;0),Tasks[[#This Row],[_Res2Work]]/(Tasks[[#This Row],[_FinishWorkday]]-Tasks[[#This Row],[_StartWorkday]]+1),0)</f>
        <v>0</v>
      </c>
      <c r="DZ27" s="43" t="n">
        <f aca="false">Tasks[[#This Row],[_Res2WorkPerWD]]*MAX(0,Tasks[[#This Row],[_StartWorkday]]-1)</f>
        <v>0</v>
      </c>
      <c r="EA27" s="43" t="n">
        <f aca="false">Tasks[[#This Row],[_Res2Work]]*Tasks[[#This Row],[_LeafProgress]]</f>
        <v>0</v>
      </c>
      <c r="EB27" s="43" t="str">
        <f aca="false">IF(Tasks[[#This Row],[_Res3Text]]="","",IF(Tasks[[#This Row],[_Res3Row]]&gt;0,INDEX(res_Name,Tasks[[#This Row],[_Res3Row]]),TRIM(LEFT(Tasks[[#This Row],[_Res3Text]],FIND("[",Tasks[[#This Row],[_Res3Text]]&amp;"[")-1))))</f>
        <v/>
      </c>
      <c r="EC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3" t="n">
        <f aca="false">IF(OR(NOT(Tasks[[#This Row],[_IsLeaf]]=1),Tasks[[#This Row],[_Res3Row]]=0),0,N(Tasks[[#This Row],[_Days]])*HoursPerDay*IF(Tasks[[#This Row],[_Res3Units]]="",DefaultUnits,Tasks[[#This Row],[_Res3Units]]))</f>
        <v>0</v>
      </c>
      <c r="EE27" s="43" t="n">
        <f aca="false">IF(AND(AND(Tasks[[#This Row],[_IsLeaf]]=1,Tasks[[#This Row],[_LeafTotalWork]]&gt;0),Tasks[[#This Row],[_Res3Work]]&gt;0),Tasks[[#This Row],[_Res3Work]]/(Tasks[[#This Row],[_FinishWorkday]]-Tasks[[#This Row],[_StartWorkday]]+1),0)</f>
        <v>0</v>
      </c>
      <c r="EF27" s="43" t="n">
        <f aca="false">Tasks[[#This Row],[_Res3WorkPerWD]]*MAX(0,Tasks[[#This Row],[_StartWorkday]]-1)</f>
        <v>0</v>
      </c>
      <c r="EG27" s="43" t="n">
        <f aca="false">Tasks[[#This Row],[_Res3Work]]*Tasks[[#This Row],[_LeafProgress]]</f>
        <v>0</v>
      </c>
      <c r="EH27" s="43" t="str">
        <f aca="false">IF(Tasks[[#This Row],[_Res4Text]]="","",IF(Tasks[[#This Row],[_Res4Row]]&gt;0,INDEX(res_Name,Tasks[[#This Row],[_Res4Row]]),TRIM(LEFT(Tasks[[#This Row],[_Res4Text]],FIND("[",Tasks[[#This Row],[_Res4Text]]&amp;"[")-1))))</f>
        <v/>
      </c>
      <c r="EI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3" t="n">
        <f aca="false">IF(OR(NOT(Tasks[[#This Row],[_IsLeaf]]=1),Tasks[[#This Row],[_Res4Row]]=0),0,N(Tasks[[#This Row],[_Days]])*HoursPerDay*IF(Tasks[[#This Row],[_Res4Units]]="",DefaultUnits,Tasks[[#This Row],[_Res4Units]]))</f>
        <v>0</v>
      </c>
      <c r="EK27" s="43" t="n">
        <f aca="false">IF(AND(AND(Tasks[[#This Row],[_IsLeaf]]=1,Tasks[[#This Row],[_LeafTotalWork]]&gt;0),Tasks[[#This Row],[_Res4Work]]&gt;0),Tasks[[#This Row],[_Res4Work]]/(Tasks[[#This Row],[_FinishWorkday]]-Tasks[[#This Row],[_StartWorkday]]+1),0)</f>
        <v>0</v>
      </c>
      <c r="EL27" s="43" t="n">
        <f aca="false">Tasks[[#This Row],[_Res4WorkPerWD]]*MAX(0,Tasks[[#This Row],[_StartWorkday]]-1)</f>
        <v>0</v>
      </c>
      <c r="EM27" s="43" t="n">
        <f aca="false">Tasks[[#This Row],[_Res4Work]]*Tasks[[#This Row],[_LeafProgress]]</f>
        <v>0</v>
      </c>
      <c r="EN27" s="43" t="n">
        <f aca="false">IF(ISNUMBER(Tasks[[#This Row],[% Complete]]),Tasks[[#This Row],[% Complete]],IF(Tasks[[#This Row],[Stage]]="",0,IFERROR(INDEX(stg_Pct,MATCH(Tasks[[#This Row],[Stage]],stg_Name,0)),0)))</f>
        <v>0</v>
      </c>
      <c r="EO27" s="43" t="n">
        <f aca="false">IF(NOT(Tasks[[#This Row],[_IsLeaf]]=1),0,IF(N(Tasks[[#This Row],[Actual Finish]])&gt;0,1,MIN(1,Tasks[[#This Row],[_Pct]])))</f>
        <v>0</v>
      </c>
      <c r="EP27" s="43" t="n">
        <f aca="false">IF(OR(NOT(Tasks[[#This Row],[_IsLeaf]]=1),Tasks[[#This Row],[_Res1Row]]=0),0,N(Tasks[[#This Row],[_Days]])*HoursPerDay*IF(Tasks[[#This Row],[_Units1]]="",DefaultUnits,Tasks[[#This Row],[_Units1]]))</f>
        <v>0</v>
      </c>
      <c r="EQ27" s="43" t="n">
        <f aca="false">Tasks[[#This Row],[_LeafWork]]+Tasks[[#This Row],[_Res2Work]]+Tasks[[#This Row],[_Res3Work]]+Tasks[[#This Row],[_Res4Work]]</f>
        <v>0</v>
      </c>
      <c r="ER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3" t="n">
        <f aca="false">IF(NOT(Tasks[[#This Row],[_IsLeaf]]=1),0,MAX(_xlfn.MAXIFS(Tasks[_Row],Tasks[_Pred1UID],Tasks[[#This Row],[UID]]),_xlfn.MAXIFS(Tasks[_Row],Tasks[_Pred2UID],Tasks[[#This Row],[UID]]),_xlfn.MAXIFS(Tasks[_Row],Tasks[_Pred3UID],Tasks[[#This Row],[UID]]),_xlfn.MAXIFS(Tasks[_Row],Tasks[_Pred4UID],Tasks[[#This Row],[UID]])))</f>
        <v>0</v>
      </c>
      <c r="FA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91" t="str">
        <f aca="false">IF(NOT(Tasks[[#This Row],[_IsLeaf]]=1),"",IF(N(Tasks[[#This Row],[_Days]])&lt;=0,Tasks[[#This Row],[_LeafLateFinish]],WORKDAY.INTL(Tasks[[#This Row],[_LeafLateFinish]],-(Tasks[[#This Row],[_Days]]-1),WorkWeek,Holidays)))</f>
        <v/>
      </c>
      <c r="FD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7" s="90" t="b">
        <f aca="false">AND(Tasks[[#This Row],[_IsLeaf]]=1,Tasks[[#This Row],[_LeafProgress]]&lt;1,N(Tasks[[#This Row],[_LeafTotalSlack]])&lt;=CriticalSlackDays)</f>
        <v>0</v>
      </c>
      <c r="FF27" s="43" t="n">
        <f aca="false">IF(AND(Tasks[[#This Row],[_IsLeaf]]=1,Tasks[[#This Row],[_ConstraintCode]]=1,Tasks[[#This Row],[Mode]]&lt;&gt;"Manual",N(Tasks[[#This Row],[Actual Start]])=0),MAX(0,N(Tasks[[#This Row],[Free Slack]])),0)</f>
        <v>0</v>
      </c>
      <c r="FG27" s="91" t="str">
        <f aca="false">IF(NOT(Tasks[[#This Row],[_IsLeaf]]=1),"",IF(Tasks[[#This Row],[_AlapShift]]=0,Tasks[[#This Row],[_LeafCalcStart]],WORKDAY.INTL(Tasks[[#This Row],[_LeafCalcStart]],Tasks[[#This Row],[_AlapShift]],WorkWeek,Holidays)))</f>
        <v/>
      </c>
      <c r="FH27" s="91" t="str">
        <f aca="false">IF(NOT(Tasks[[#This Row],[_IsLeaf]]=1),"",IF(Tasks[[#This Row],[_AlapShift]]=0,Tasks[[#This Row],[_LeafCalcFinish]],WORKDAY.INTL(Tasks[[#This Row],[_LeafCalcFinish]],Tasks[[#This Row],[_AlapShift]],WorkWeek,Holidays)))</f>
        <v/>
      </c>
      <c r="FI27" s="91" t="str">
        <f aca="false">IF(NOT(Tasks[[#This Row],[_IsLeaf]]=1),"",IF(Tasks[[#This Row],[_AlapShift]]=0,Tasks[[#This Row],[_LeafFcstStart]],WORKDAY.INTL(Tasks[[#This Row],[_LeafFcstStart]],Tasks[[#This Row],[_AlapShift]],WorkWeek,Holidays)))</f>
        <v/>
      </c>
      <c r="FJ27" s="91" t="str">
        <f aca="false">IF(NOT(Tasks[[#This Row],[_IsLeaf]]=1),"",IF(Tasks[[#This Row],[_AlapShift]]=0,Tasks[[#This Row],[_LeafFcstFinish]],WORKDAY.INTL(Tasks[[#This Row],[_LeafFcstFinish]],Tasks[[#This Row],[_AlapShift]],WorkWeek,Holidays)))</f>
        <v/>
      </c>
      <c r="FK27" s="91" t="str">
        <f aca="false">IF(Tasks[[#This Row],[Task Name]]="","",IF(Tasks[[#This Row],[_IsSummary]],MIN(INDEX(Tasks[_ShownCalcStart],Tasks[[#This Row],[_Row]]+1):INDEX(Tasks[_ShownCalcStart],Tasks[[#This Row],[_Row]]+Tasks[[#This Row],[_Descendants]])),Tasks[[#This Row],[_ShownCalcStart]]))</f>
        <v/>
      </c>
      <c r="FL27" s="91" t="str">
        <f aca="false">IF(Tasks[[#This Row],[Task Name]]="","",IF(Tasks[[#This Row],[_IsSummary]],MAX(INDEX(Tasks[_ShownCalcFinish],Tasks[[#This Row],[_Row]]+1):INDEX(Tasks[_ShownCalcFinish],Tasks[[#This Row],[_Row]]+Tasks[[#This Row],[_Descendants]])),Tasks[[#This Row],[_ShownCalcFinish]]))</f>
        <v/>
      </c>
      <c r="FM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7" s="43" t="n">
        <f aca="false">IF(AND(Tasks[[#This Row],[_IsLeaf]]=1,Tasks[[#This Row],[_LeafTotalWork]]&gt;0),NETWORKDAYS.INTL(ProjectStart,Tasks[[#This Row],[_ShownFcstStart]],WorkWeek,Holidays),0)</f>
        <v>0</v>
      </c>
      <c r="FZ27" s="43" t="n">
        <f aca="false">IF(AND(Tasks[[#This Row],[_IsLeaf]]=1,Tasks[[#This Row],[_LeafTotalWork]]&gt;0),MAX(Tasks[[#This Row],[_StartWorkday]],NETWORKDAYS.INTL(ProjectStart,Tasks[[#This Row],[_ShownFcstFinish]],WorkWeek,Holidays)),0)</f>
        <v>0</v>
      </c>
      <c r="GA27" s="43" t="n">
        <f aca="false">IF(AND(Tasks[[#This Row],[_IsLeaf]]=1,Tasks[[#This Row],[_LeafTotalWork]]&gt;0),Tasks[[#This Row],[_LeafWork]]/(Tasks[[#This Row],[_FinishWorkday]]-Tasks[[#This Row],[_StartWorkday]]+1),0)</f>
        <v>0</v>
      </c>
      <c r="GB27" s="43" t="n">
        <f aca="false">Tasks[[#This Row],[_WorkPerWorkday]]*(Tasks[[#This Row],[_StartWorkday]]-1)</f>
        <v>-0</v>
      </c>
      <c r="GC27" s="43" t="n">
        <f aca="false">IF(Tasks[[#This Row],[_IsLeaf]]=1,MAX(N(Tasks[[#This Row],[_Days]]),0.1),0)</f>
        <v>0</v>
      </c>
      <c r="GD27" s="43" t="n">
        <f aca="false">Tasks[[#This Row],[_WeightDur]]*Tasks[[#This Row],[_LeafProgress]]</f>
        <v>0</v>
      </c>
      <c r="GE27" s="43" t="n">
        <f aca="false">Tasks[[#This Row],[_WeightDur]]*Tasks[[#This Row],[_PlannedPct]]</f>
        <v>0</v>
      </c>
      <c r="GF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3" t="str">
        <f aca="false">IF(AND(Tasks[[#This Row],[_IsLeaf]]=1,N(Tasks[[#This Row],[_Days]])=0,Tasks[[#This Row],[_LeafProgress]]&lt;1),Tasks[[#This Row],[_ShownFcstFinish]]+Tasks[[#This Row],[_Row]]/100000,"")</f>
        <v/>
      </c>
      <c r="GH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7" s="43" t="str">
        <f aca="false">IF(Tasks[[#This Row],[Task Name]]="","",LEFT(Tasks[[#This Row],[WBS]],FIND(".",Tasks[[#This Row],[WBS]]&amp;".")-1))</f>
        <v/>
      </c>
      <c r="GJ27" s="43" t="str">
        <f aca="false">IF(AND(Tasks[[#This Row],[Task Name]]&lt;&gt;"",Tasks[[#This Row],[_Level]]=1),Tasks[[#This Row],[_Row]],"")</f>
        <v/>
      </c>
      <c r="GK27" s="43" t="str">
        <f aca="false">IF(AND(Tasks[[#This Row],[_IsLeaf]]=1,N(Tasks[[#This Row],[_Days]])=0),Tasks[[#This Row],[Planned Finish]]+Tasks[[#This Row],[_Row]]/100000,"")</f>
        <v/>
      </c>
      <c r="GL27" s="43" t="str">
        <f aca="false">IF(AND(Tasks[[#This Row],[_IsLeaf]]=1,Tasks[[#This Row],[_LeafProgress]]&lt;1,OR(N(Tasks[[#This Row],[Finish Var]])&gt;0,Tasks[[#This Row],[Status]]="Late Start")),MAX(0,Tasks[[#This Row],[Finish Var]])+1-Tasks[[#This Row],[_Row]]/1000000,"")</f>
        <v/>
      </c>
      <c r="GM27" s="43" t="str">
        <f aca="false">IF(AND(Tasks[[#This Row],[_IsLeaf]]=1,N(Tasks[[#This Row],[Actual Start]])=0,Tasks[[#This Row],[_ShownFcstStart]]&gt;=StatusDate,Tasks[[#This Row],[_ShownFcstStart]]&lt;=LookaheadEnd),Tasks[[#This Row],[_ShownFcstStart]]+Tasks[[#This Row],[_Row]]/100000,"")</f>
        <v/>
      </c>
      <c r="GN27" s="43" t="str">
        <f aca="false">IF(AND(Tasks[[#This Row],[_IsLeaf]]=1,Tasks[[#This Row],[_LeafProgress]]&lt;1,Tasks[[#This Row],[_ShownFcstFinish]]&gt;=StatusDate,Tasks[[#This Row],[_ShownFcstFinish]]&lt;=LookaheadEnd),Tasks[[#This Row],[_ShownFcstFinish]]+Tasks[[#This Row],[_Row]]/100000,"")</f>
        <v/>
      </c>
      <c r="GO27" s="43" t="str">
        <f aca="false">IF(Tasks[[#This Row],[_LeafCritical]],Tasks[[#This Row],[_ShownFcstStart]]+Tasks[[#This Row],[_Row]]/100000,"")</f>
        <v/>
      </c>
      <c r="GP27" s="43" t="n">
        <f aca="false">Tasks[[#This Row],[_LeafWork]]*Tasks[[#This Row],[_LeafProgress]]</f>
        <v>0</v>
      </c>
      <c r="GQ27" s="91" t="str">
        <f aca="false">IF(AND(Tasks[[#This Row],[_IsLeaf]]=1,Tasks[[#This Row],[_LeafProgress]]&gt;=1),IF(N(Tasks[[#This Row],[Actual Finish]])&gt;0,Tasks[[#This Row],[Actual Finish]],Tasks[[#This Row],[_ShownFcstFinish]]),"")</f>
        <v/>
      </c>
      <c r="GR27" s="43" t="n">
        <f aca="false">IF(Tasks[[#This Row],[_IsLeaf]]=1,N(Tasks[[#This Row],[Story Points]]),0)</f>
        <v>0</v>
      </c>
      <c r="GS27" s="43" t="str">
        <f aca="false">""</f>
        <v/>
      </c>
      <c r="GT27" s="90" t="b">
        <f aca="false">IF(Tasks[[#This Row],[Task Name]]="",FALSE(),AND(Tasks[[#This Row],[_IsLeaf]]=1,N(Tasks[[#This Row],[_Days]])=0))</f>
        <v>0</v>
      </c>
      <c r="GU27" s="91" t="n">
        <f aca="false">IF(Tasks[[#This Row],[Task Name]]="",0,IF(AND(Tasks[[#This Row],[_IsLeaf]]=1,NOT(Tasks[[#This Row],[_IsMilestone]]),N(Tasks[[#This Row],[Progress]])&gt;0),Tasks[[#This Row],[Start]],0))</f>
        <v>0</v>
      </c>
      <c r="GV27" s="91" t="n">
        <f aca="false">IF(Tasks[[#This Row],[_DoneFrom]]=0,0,IF(Tasks[[#This Row],[Progress]]&gt;=1,Tasks[[#This Row],[Finish]],MAX(Tasks[[#This Row],[_DoneFrom]],Tasks[[#This Row],[Start]]+ROUND((Tasks[[#This Row],[Finish]]-Tasks[[#This Row],[Start]]+1)*Tasks[[#This Row],[Progress]],0)-1)))</f>
        <v>0</v>
      </c>
      <c r="GW27" s="91" t="n">
        <f aca="false">IF(Tasks[[#This Row],[Task Name]]="",0,IF(OR(NOT(Tasks[[#This Row],[_IsLeaf]]=1),Tasks[[#This Row],[_IsMilestone]],N(Tasks[[#This Row],[Progress]])&gt;=1),0,IF(Tasks[[#This Row],[_DoneTo]]&gt;0,Tasks[[#This Row],[_DoneTo]]+1,Tasks[[#This Row],[Start]])))</f>
        <v>0</v>
      </c>
      <c r="GX27" s="91" t="n">
        <f aca="false">IF(Tasks[[#This Row],[_RemFrom]]=0,0,Tasks[[#This Row],[Finish]])</f>
        <v>0</v>
      </c>
      <c r="GY27" s="90" t="b">
        <f aca="false">IF(Tasks[[#This Row],[Task Name]]="",FALSE(),OR(NOT(BaselineSet),N(Tasks[[#This Row],[Baseline Start]])&gt;0))</f>
        <v>0</v>
      </c>
      <c r="GZ2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92" t="str">
        <f aca="false">IF(Tasks[[#This Row],[_IsLeaf]]=1,Tasks[[#This Row],[_Row]],"")</f>
        <v/>
      </c>
      <c r="HD27" s="92" t="str">
        <f aca="false">IFERROR(INDEX(Tasks[UID],SMALL(Tasks[_PickKey],Tasks[[#This Row],[_Row]]))&amp;" "&amp;INDEX(Tasks[Task Name],SMALL(Tasks[_PickKey],Tasks[[#This Row],[_Row]])),"")</f>
        <v/>
      </c>
      <c r="HE27" s="43" t="str">
        <f aca="false">IF(Tasks[[#This Row],[Task Name]]="","",IF(Tasks[[#This Row],[_IsSummary]],NETWORKDAYS.INTL(Tasks[[#This Row],[Start]],Tasks[[#This Row],[Finish]],WorkWeek,Holidays),N(Tasks[[#This Row],[_Days]])))</f>
        <v/>
      </c>
      <c r="HF27" s="43" t="n">
        <f aca="false">IF(Tasks[[#This Row],[Expected]]="",0,((Tasks[[#This Row],[Pessimistic]]-Tasks[[#This Row],[Optimistic]])/6)^2)</f>
        <v>0</v>
      </c>
      <c r="HG27" s="43" t="n">
        <f aca="false">IF(Tasks[[#This Row],[Expected]]="",0,Tasks[[#This Row],[Expected]]-N(Tasks[[#This Row],[_Days]]))</f>
        <v>0</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4"/>
      <c r="U28" s="23"/>
      <c r="V28" s="84"/>
      <c r="W28" s="23"/>
      <c r="X28" s="84"/>
      <c r="Y28" s="23"/>
      <c r="Z28" s="84"/>
      <c r="AA28" s="23"/>
      <c r="AB28" s="23"/>
      <c r="AC28" s="7"/>
      <c r="AD28" s="7"/>
      <c r="AE28" s="63" t="str">
        <f aca="false">IF(Tasks[[#This Row],[Task Name]]="","",IF(Tasks[[#This Row],[_IsSummary]],MIN(INDEX(Tasks[_ShownFcstStart],Tasks[[#This Row],[_Row]]+1):INDEX(Tasks[_ShownFcstStart],Tasks[[#This Row],[_Row]]+Tasks[[#This Row],[_Descendants]])),Tasks[[#This Row],[_ShownFcstStart]]))</f>
        <v/>
      </c>
      <c r="AF28" s="63"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8" s="7"/>
      <c r="AK28" s="22"/>
      <c r="AL28" s="23"/>
      <c r="AM28" s="7"/>
      <c r="AN28" s="47"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3" t="str">
        <f aca="false">IF(Tasks[[#This Row],[Task Name]]="","",IF(N(Tasks[[#This Row],[Baseline Start]])&gt;0,Tasks[[#This Row],[Baseline Start]],Tasks[[#This Row],[_CalcStart]]))</f>
        <v/>
      </c>
      <c r="AR28" s="63" t="str">
        <f aca="false">IF(Tasks[[#This Row],[Task Name]]="","",IF(N(Tasks[[#This Row],[Baseline Finish]])&gt;0,Tasks[[#This Row],[Baseline Finish]],Tasks[[#This Row],[_CalcFinish]]))</f>
        <v/>
      </c>
      <c r="AS28" s="47" t="str">
        <f aca="false">IF(Tasks[[#This Row],[Task Name]]="","",IF(Tasks[[#This Row],[Start]]&gt;=Tasks[[#This Row],[Planned Start]],NETWORKDAYS.INTL(Tasks[[#This Row],[Planned Start]],Tasks[[#This Row],[Start]],WorkWeek,Holidays)-1,1-NETWORKDAYS.INTL(Tasks[[#This Row],[Start]],Tasks[[#This Row],[Planned Start]],WorkWeek,Holidays)))</f>
        <v/>
      </c>
      <c r="AT28" s="63" t="str">
        <f aca="false">IF(Tasks[[#This Row],[Task Name]]="","",IF(Tasks[[#This Row],[_IsSummary]],MIN(INDEX(Tasks[_LeafLateStart],Tasks[[#This Row],[_Row]]+1):INDEX(Tasks[_LeafLateStart],Tasks[[#This Row],[_Row]]+Tasks[[#This Row],[_Descendants]])),Tasks[[#This Row],[_LeafLateStart]]))</f>
        <v/>
      </c>
      <c r="AU28" s="63" t="str">
        <f aca="false">IF(Tasks[[#This Row],[Task Name]]="","",IF(Tasks[[#This Row],[_IsSummary]],MAX(INDEX(Tasks[_LeafLateFinish],Tasks[[#This Row],[_Row]]+1):INDEX(Tasks[_LeafLateFinish],Tasks[[#This Row],[_Row]]+Tasks[[#This Row],[_Descendants]])),Tasks[[#This Row],[_LeafLateFinish]]))</f>
        <v/>
      </c>
      <c r="AV28" s="47"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5"/>
      <c r="BA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6"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7"/>
      <c r="BJ28" s="22"/>
      <c r="BK28" s="47" t="str">
        <f aca="false">IF(OR(Tasks[[#This Row],[Task Name]]="",Tasks[[#This Row],[Baseline Duration]]=""),"",Tasks[[#This Row],[_SpanDays]]-N(Tasks[[#This Row],[Baseline Duration]]))</f>
        <v/>
      </c>
      <c r="BL28" s="86" t="str">
        <f aca="false">IF(OR(Tasks[[#This Row],[Task Name]]="",Tasks[[#This Row],[Baseline Work]]=""),"",Tasks[[#This Row],[Work]]-N(Tasks[[#This Row],[Baseline Work]]))</f>
        <v/>
      </c>
      <c r="BM28" s="63" t="str">
        <f aca="false">IF(Tasks[[#This Row],[Task Name]]="","",IF(OR(TakeBaseline="Yes",N(Tasks[[#This Row],[Baseline Start]])=0),Tasks[[#This Row],[Start]],Tasks[[#This Row],[Baseline Start]]))</f>
        <v/>
      </c>
      <c r="BN28" s="63" t="str">
        <f aca="false">IF(Tasks[[#This Row],[Task Name]]="","",IF(OR(TakeBaseline="Yes",N(Tasks[[#This Row],[Baseline Finish]])=0),Tasks[[#This Row],[Finish]],Tasks[[#This Row],[Baseline Finish]]))</f>
        <v/>
      </c>
      <c r="BO28" s="21" t="str">
        <f aca="false">IF(Tasks[[#This Row],[Task Name]]="","",IF(OR(TakeBaseline="Yes",N(Tasks[[#This Row],[Baseline Duration]])=0),Tasks[[#This Row],[_SpanDays]],Tasks[[#This Row],[Baseline Duration]]))</f>
        <v/>
      </c>
      <c r="BP28" s="86" t="str">
        <f aca="false">IF(Tasks[[#This Row],[Task Name]]="","",IF(OR(TakeBaseline="Yes",N(Tasks[[#This Row],[Baseline Work]])=0),Tasks[[#This Row],[Work]],Tasks[[#This Row],[Baseline Work]]))</f>
        <v/>
      </c>
      <c r="BQ28" s="7"/>
      <c r="BR28" s="7"/>
      <c r="BS28" s="22"/>
      <c r="BT28" s="88"/>
      <c r="BU28" s="23"/>
      <c r="BV28" s="23"/>
      <c r="BW28" s="23"/>
      <c r="BX28" s="89" t="str">
        <f aca="false">IF(AND(Tasks[[#This Row],[_IsLeaf]]=1,ISNUMBER(Tasks[[#This Row],[Optimistic]]),ISNUMBER(Tasks[[#This Row],[Pessimistic]])),ROUND((Tasks[[#This Row],[Optimistic]]+4*N(Tasks[[#This Row],[_Days]])+Tasks[[#This Row],[Pessimistic]])/6,1),"")</f>
        <v/>
      </c>
      <c r="BY28" s="87"/>
      <c r="BZ28" s="87"/>
      <c r="CA28" s="22"/>
      <c r="CB28" s="43" t="str">
        <f aca="false">IF(Tasks[[#This Row],[Task Name]]="","",MAX(1,N(Tasks[[#This Row],[Level]])))</f>
        <v/>
      </c>
      <c r="CC28" s="43" t="n">
        <f aca="false">ROW()-ROW(Tasks[[#Headers],[ID]])</f>
        <v>23</v>
      </c>
      <c r="CD28" s="43" t="n">
        <f aca="false">IF(OR(Tasks[[#This Row],[Task Name]]="",Tasks[[#This Row],[_Level]]&lt;=1),0,IFERROR(LOOKUP(2,1/(Tasks[[#Headers],[_Level]]:Tasks[[#This Row],[_Level]]=Tasks[[#This Row],[_Level]]-1),ROW(Tasks[[#Headers],[_Level]]:Tasks[[#This Row],[_Level]])),0))</f>
        <v>0</v>
      </c>
      <c r="CE28" s="43" t="n">
        <f aca="false">IFERROR(N(INDEX(Tasks[_Level],Tasks[[#This Row],[_Row]]+1)),0)</f>
        <v>0</v>
      </c>
      <c r="CF28" s="90" t="b">
        <f aca="false">AND(Tasks[[#This Row],[Task Name]]&lt;&gt;"",Tasks[[#This Row],[_NextLevel]]&gt;Tasks[[#This Row],[_Level]])</f>
        <v>0</v>
      </c>
      <c r="CG28" s="43" t="n">
        <f aca="false">IF(Tasks[[#This Row],[_IsSummary]],COUNTIF(Tasks[WBS],Tasks[[#This Row],[WBS]]&amp;".*"),0)</f>
        <v>0</v>
      </c>
      <c r="CH28" s="43" t="n">
        <f aca="false">IF(AND(Tasks[[#This Row],[Task Name]]&lt;&gt;"",NOT(Tasks[[#This Row],[_IsSummary]])),1,0)</f>
        <v>0</v>
      </c>
      <c r="CI28" s="43" t="n">
        <f aca="false">IF(N(Tasks[[#This Row],[_Pred1UID]])=0,0,IFERROR(MATCH(Tasks[[#This Row],[_Pred1UID]],Tasks[UID],0),-1))</f>
        <v>0</v>
      </c>
      <c r="CJ28" s="43" t="n">
        <f aca="false">IF(N(Tasks[[#This Row],[_Pred2UID]])=0,0,IFERROR(MATCH(Tasks[[#This Row],[_Pred2UID]],Tasks[UID],0),-1))</f>
        <v>0</v>
      </c>
      <c r="CK28" s="43" t="n">
        <f aca="false">IF(N(Tasks[[#This Row],[_Pred3UID]])=0,0,IFERROR(MATCH(Tasks[[#This Row],[_Pred3UID]],Tasks[UID],0),-1))</f>
        <v>0</v>
      </c>
      <c r="CL28" s="43" t="n">
        <f aca="false">IF(N(Tasks[[#This Row],[_Pred4UID]])=0,0,IFERROR(MATCH(Tasks[[#This Row],[_Pred4UID]],Tasks[UID],0),-1))</f>
        <v>0</v>
      </c>
      <c r="CM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8" s="91" t="n">
        <f aca="false">IF(OR(Tasks[[#This Row],[_ConstraintCode]]=2,Tasks[[#This Row],[_ConstraintCode]]=3,Tasks[[#This Row],[_ConstraintCode]]=4,Tasks[[#This Row],[_ConstraintCode]]=6),Tasks[[#This Row],[_ConstraintStart]],0)</f>
        <v>0</v>
      </c>
      <c r="CP28" s="91" t="n">
        <f aca="false">IF(OR(Tasks[[#This Row],[_ConstraintCode]]=2,Tasks[[#This Row],[_ConstraintCode]]=3,Tasks[[#This Row],[_ConstraintCode]]=5,Tasks[[#This Row],[_ConstraintCode]]=7),Tasks[[#This Row],[_ConstraintStart]],2958465)</f>
        <v>2958465</v>
      </c>
      <c r="CQ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91" t="str">
        <f aca="false">IF(NOT(Tasks[[#This Row],[_IsLeaf]]=1),"",IF(N(Tasks[[#This Row],[_Days]])&lt;=0,Tasks[[#This Row],[_LeafCalcStart]],WORKDAY.INTL(Tasks[[#This Row],[_LeafCalcStart]],Tasks[[#This Row],[_Days]]-1,WorkWeek,Holidays)))</f>
        <v/>
      </c>
      <c r="CS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3" t="str">
        <f aca="false">IF(Tasks[[#This Row],[_Predecessors]]="","",TRIM(MID(SUBSTITUTE(SUBSTITUTE(SUBSTITUTE(UPPER(Tasks[[#This Row],[_Predecessors]]),";",",")," ",""),",",REPT(" ",99)),1,99)))</f>
        <v/>
      </c>
      <c r="CV28" s="43" t="str">
        <f aca="false">IF(Tasks[[#This Row],[_Pred1Text]]="","",IFERROR(VALUE(LEFT(Tasks[[#This Row],[_Pred1Text]],MIN(FIND("F",Tasks[[#This Row],[_Pred1Text]]&amp;"F"),FIND("S",Tasks[[#This Row],[_Pred1Text]]&amp;"S"),FIND("+",Tasks[[#This Row],[_Pred1Text]]&amp;"+"),FIND("-",Tasks[[#This Row],[_Pred1Text]]&amp;"-"))-1)),""))</f>
        <v/>
      </c>
      <c r="CW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3" t="str">
        <f aca="false">IF(Tasks[[#This Row],[_Pred1Text]]="","",TRIM(MID(SUBSTITUTE(SUBSTITUTE(SUBSTITUTE(UPPER(Tasks[[#This Row],[_Predecessors]]),";",",")," ",""),",",REPT(" ",99)),100,99)))</f>
        <v/>
      </c>
      <c r="CZ28" s="43" t="str">
        <f aca="false">IF(Tasks[[#This Row],[_Pred2Text]]="","",IFERROR(VALUE(LEFT(Tasks[[#This Row],[_Pred2Text]],MIN(FIND("F",Tasks[[#This Row],[_Pred2Text]]&amp;"F"),FIND("S",Tasks[[#This Row],[_Pred2Text]]&amp;"S"),FIND("+",Tasks[[#This Row],[_Pred2Text]]&amp;"+"),FIND("-",Tasks[[#This Row],[_Pred2Text]]&amp;"-"))-1)),""))</f>
        <v/>
      </c>
      <c r="DA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3" t="str">
        <f aca="false">IF(Tasks[[#This Row],[_Pred2Text]]="","",TRIM(MID(SUBSTITUTE(SUBSTITUTE(SUBSTITUTE(UPPER(Tasks[[#This Row],[_Predecessors]]),";",",")," ",""),",",REPT(" ",99)),199,99)))</f>
        <v/>
      </c>
      <c r="DD28" s="43" t="str">
        <f aca="false">IF(Tasks[[#This Row],[_Pred3Text]]="","",IFERROR(VALUE(LEFT(Tasks[[#This Row],[_Pred3Text]],MIN(FIND("F",Tasks[[#This Row],[_Pred3Text]]&amp;"F"),FIND("S",Tasks[[#This Row],[_Pred3Text]]&amp;"S"),FIND("+",Tasks[[#This Row],[_Pred3Text]]&amp;"+"),FIND("-",Tasks[[#This Row],[_Pred3Text]]&amp;"-"))-1)),""))</f>
        <v/>
      </c>
      <c r="DE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3" t="str">
        <f aca="false">IF(Tasks[[#This Row],[_Pred3Text]]="","",TRIM(MID(SUBSTITUTE(SUBSTITUTE(SUBSTITUTE(UPPER(Tasks[[#This Row],[_Predecessors]]),";",",")," ",""),",",REPT(" ",99)),298,99)))</f>
        <v/>
      </c>
      <c r="DH28" s="43" t="str">
        <f aca="false">IF(Tasks[[#This Row],[_Pred4Text]]="","",IFERROR(VALUE(LEFT(Tasks[[#This Row],[_Pred4Text]],MIN(FIND("F",Tasks[[#This Row],[_Pred4Text]]&amp;"F"),FIND("S",Tasks[[#This Row],[_Pred4Text]]&amp;"S"),FIND("+",Tasks[[#This Row],[_Pred4Text]]&amp;"+"),FIND("-",Tasks[[#This Row],[_Pred4Text]]&amp;"-"))-1)),""))</f>
        <v/>
      </c>
      <c r="DI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3" t="str">
        <f aca="false">IF(OR(Tasks[[#This Row],[Task Name]]="",Tasks[[#This Row],[_Resources]]=""),"",TRIM(MID(SUBSTITUTE(Tasks[[#This Row],[_Resources]],",",REPT(" ",99)),1,99)))</f>
        <v/>
      </c>
      <c r="DL28" s="43" t="str">
        <f aca="false">IF(Tasks[[#This Row],[_Res1Text]]="","",TRIM(MID(SUBSTITUTE(Tasks[[#This Row],[_Resources]],",",REPT(" ",99)),100,99)))</f>
        <v/>
      </c>
      <c r="DM28" s="43" t="str">
        <f aca="false">IF(Tasks[[#This Row],[_Res2Text]]="","",TRIM(MID(SUBSTITUTE(Tasks[[#This Row],[_Resources]],",",REPT(" ",99)),199,99)))</f>
        <v/>
      </c>
      <c r="DN28" s="43" t="str">
        <f aca="false">IF(Tasks[[#This Row],[_Res3Text]]="","",TRIM(MID(SUBSTITUTE(Tasks[[#This Row],[_Resources]],",",REPT(" ",99)),298,99)))</f>
        <v/>
      </c>
      <c r="DO28" s="43" t="n">
        <f aca="false">IF(Tasks[[#This Row],[_Res1Text]]="",0,IFERROR(MATCH(TRIM(LEFT(Tasks[[#This Row],[_Res1Text]],FIND("[",Tasks[[#This Row],[_Res1Text]]&amp;"[")-1)),res_Name,0),IFERROR(MATCH(TRIM(LEFT(Tasks[[#This Row],[_Res1Text]],FIND("[",Tasks[[#This Row],[_Res1Text]]&amp;"[")-1)),res_Initials,0),0)))</f>
        <v>0</v>
      </c>
      <c r="DP28" s="43" t="n">
        <f aca="false">IF(Tasks[[#This Row],[_Res2Text]]="",0,IFERROR(MATCH(TRIM(LEFT(Tasks[[#This Row],[_Res2Text]],FIND("[",Tasks[[#This Row],[_Res2Text]]&amp;"[")-1)),res_Name,0),IFERROR(MATCH(TRIM(LEFT(Tasks[[#This Row],[_Res2Text]],FIND("[",Tasks[[#This Row],[_Res2Text]]&amp;"[")-1)),res_Initials,0),0)))</f>
        <v>0</v>
      </c>
      <c r="DQ28" s="43" t="n">
        <f aca="false">IF(Tasks[[#This Row],[_Res3Text]]="",0,IFERROR(MATCH(TRIM(LEFT(Tasks[[#This Row],[_Res3Text]],FIND("[",Tasks[[#This Row],[_Res3Text]]&amp;"[")-1)),res_Name,0),IFERROR(MATCH(TRIM(LEFT(Tasks[[#This Row],[_Res3Text]],FIND("[",Tasks[[#This Row],[_Res3Text]]&amp;"[")-1)),res_Initials,0),0)))</f>
        <v>0</v>
      </c>
      <c r="DR28" s="43" t="n">
        <f aca="false">IF(Tasks[[#This Row],[_Res4Text]]="",0,IFERROR(MATCH(TRIM(LEFT(Tasks[[#This Row],[_Res4Text]],FIND("[",Tasks[[#This Row],[_Res4Text]]&amp;"[")-1)),res_Name,0),IFERROR(MATCH(TRIM(LEFT(Tasks[[#This Row],[_Res4Text]],FIND("[",Tasks[[#This Row],[_Res4Text]]&amp;"[")-1)),res_Initials,0),0)))</f>
        <v>0</v>
      </c>
      <c r="DS28" s="43" t="str">
        <f aca="false">IF(Tasks[[#This Row],[_Res1Text]]="","",IF(Tasks[[#This Row],[_Res1Row]]&gt;0,INDEX(res_Name,Tasks[[#This Row],[_Res1Row]]),TRIM(LEFT(Tasks[[#This Row],[_Res1Text]],FIND("[",Tasks[[#This Row],[_Res1Text]]&amp;"[")-1))))</f>
        <v/>
      </c>
      <c r="DT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3" t="n">
        <f aca="false">IF(NOT(Tasks[[#This Row],[_IsLeaf]]=1),0,(Tasks[[#This Row],[_Resource1]]&lt;&gt;"")+(Tasks[[#This Row],[_Res2]]&lt;&gt;"")+(Tasks[[#This Row],[_Res3]]&lt;&gt;"")+(Tasks[[#This Row],[_Res4]]&lt;&gt;""))</f>
        <v>0</v>
      </c>
      <c r="DV28" s="43" t="str">
        <f aca="false">IF(Tasks[[#This Row],[_Res2Text]]="","",IF(Tasks[[#This Row],[_Res2Row]]&gt;0,INDEX(res_Name,Tasks[[#This Row],[_Res2Row]]),TRIM(LEFT(Tasks[[#This Row],[_Res2Text]],FIND("[",Tasks[[#This Row],[_Res2Text]]&amp;"[")-1))))</f>
        <v/>
      </c>
      <c r="DW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3" t="n">
        <f aca="false">IF(OR(NOT(Tasks[[#This Row],[_IsLeaf]]=1),Tasks[[#This Row],[_Res2Row]]=0),0,N(Tasks[[#This Row],[_Days]])*HoursPerDay*IF(Tasks[[#This Row],[_Res2Units]]="",DefaultUnits,Tasks[[#This Row],[_Res2Units]]))</f>
        <v>0</v>
      </c>
      <c r="DY28" s="43" t="n">
        <f aca="false">IF(AND(AND(Tasks[[#This Row],[_IsLeaf]]=1,Tasks[[#This Row],[_LeafTotalWork]]&gt;0),Tasks[[#This Row],[_Res2Work]]&gt;0),Tasks[[#This Row],[_Res2Work]]/(Tasks[[#This Row],[_FinishWorkday]]-Tasks[[#This Row],[_StartWorkday]]+1),0)</f>
        <v>0</v>
      </c>
      <c r="DZ28" s="43" t="n">
        <f aca="false">Tasks[[#This Row],[_Res2WorkPerWD]]*MAX(0,Tasks[[#This Row],[_StartWorkday]]-1)</f>
        <v>0</v>
      </c>
      <c r="EA28" s="43" t="n">
        <f aca="false">Tasks[[#This Row],[_Res2Work]]*Tasks[[#This Row],[_LeafProgress]]</f>
        <v>0</v>
      </c>
      <c r="EB28" s="43" t="str">
        <f aca="false">IF(Tasks[[#This Row],[_Res3Text]]="","",IF(Tasks[[#This Row],[_Res3Row]]&gt;0,INDEX(res_Name,Tasks[[#This Row],[_Res3Row]]),TRIM(LEFT(Tasks[[#This Row],[_Res3Text]],FIND("[",Tasks[[#This Row],[_Res3Text]]&amp;"[")-1))))</f>
        <v/>
      </c>
      <c r="EC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3" t="n">
        <f aca="false">IF(OR(NOT(Tasks[[#This Row],[_IsLeaf]]=1),Tasks[[#This Row],[_Res3Row]]=0),0,N(Tasks[[#This Row],[_Days]])*HoursPerDay*IF(Tasks[[#This Row],[_Res3Units]]="",DefaultUnits,Tasks[[#This Row],[_Res3Units]]))</f>
        <v>0</v>
      </c>
      <c r="EE28" s="43" t="n">
        <f aca="false">IF(AND(AND(Tasks[[#This Row],[_IsLeaf]]=1,Tasks[[#This Row],[_LeafTotalWork]]&gt;0),Tasks[[#This Row],[_Res3Work]]&gt;0),Tasks[[#This Row],[_Res3Work]]/(Tasks[[#This Row],[_FinishWorkday]]-Tasks[[#This Row],[_StartWorkday]]+1),0)</f>
        <v>0</v>
      </c>
      <c r="EF28" s="43" t="n">
        <f aca="false">Tasks[[#This Row],[_Res3WorkPerWD]]*MAX(0,Tasks[[#This Row],[_StartWorkday]]-1)</f>
        <v>0</v>
      </c>
      <c r="EG28" s="43" t="n">
        <f aca="false">Tasks[[#This Row],[_Res3Work]]*Tasks[[#This Row],[_LeafProgress]]</f>
        <v>0</v>
      </c>
      <c r="EH28" s="43" t="str">
        <f aca="false">IF(Tasks[[#This Row],[_Res4Text]]="","",IF(Tasks[[#This Row],[_Res4Row]]&gt;0,INDEX(res_Name,Tasks[[#This Row],[_Res4Row]]),TRIM(LEFT(Tasks[[#This Row],[_Res4Text]],FIND("[",Tasks[[#This Row],[_Res4Text]]&amp;"[")-1))))</f>
        <v/>
      </c>
      <c r="EI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3" t="n">
        <f aca="false">IF(OR(NOT(Tasks[[#This Row],[_IsLeaf]]=1),Tasks[[#This Row],[_Res4Row]]=0),0,N(Tasks[[#This Row],[_Days]])*HoursPerDay*IF(Tasks[[#This Row],[_Res4Units]]="",DefaultUnits,Tasks[[#This Row],[_Res4Units]]))</f>
        <v>0</v>
      </c>
      <c r="EK28" s="43" t="n">
        <f aca="false">IF(AND(AND(Tasks[[#This Row],[_IsLeaf]]=1,Tasks[[#This Row],[_LeafTotalWork]]&gt;0),Tasks[[#This Row],[_Res4Work]]&gt;0),Tasks[[#This Row],[_Res4Work]]/(Tasks[[#This Row],[_FinishWorkday]]-Tasks[[#This Row],[_StartWorkday]]+1),0)</f>
        <v>0</v>
      </c>
      <c r="EL28" s="43" t="n">
        <f aca="false">Tasks[[#This Row],[_Res4WorkPerWD]]*MAX(0,Tasks[[#This Row],[_StartWorkday]]-1)</f>
        <v>0</v>
      </c>
      <c r="EM28" s="43" t="n">
        <f aca="false">Tasks[[#This Row],[_Res4Work]]*Tasks[[#This Row],[_LeafProgress]]</f>
        <v>0</v>
      </c>
      <c r="EN28" s="43" t="n">
        <f aca="false">IF(ISNUMBER(Tasks[[#This Row],[% Complete]]),Tasks[[#This Row],[% Complete]],IF(Tasks[[#This Row],[Stage]]="",0,IFERROR(INDEX(stg_Pct,MATCH(Tasks[[#This Row],[Stage]],stg_Name,0)),0)))</f>
        <v>0</v>
      </c>
      <c r="EO28" s="43" t="n">
        <f aca="false">IF(NOT(Tasks[[#This Row],[_IsLeaf]]=1),0,IF(N(Tasks[[#This Row],[Actual Finish]])&gt;0,1,MIN(1,Tasks[[#This Row],[_Pct]])))</f>
        <v>0</v>
      </c>
      <c r="EP28" s="43" t="n">
        <f aca="false">IF(OR(NOT(Tasks[[#This Row],[_IsLeaf]]=1),Tasks[[#This Row],[_Res1Row]]=0),0,N(Tasks[[#This Row],[_Days]])*HoursPerDay*IF(Tasks[[#This Row],[_Units1]]="",DefaultUnits,Tasks[[#This Row],[_Units1]]))</f>
        <v>0</v>
      </c>
      <c r="EQ28" s="43" t="n">
        <f aca="false">Tasks[[#This Row],[_LeafWork]]+Tasks[[#This Row],[_Res2Work]]+Tasks[[#This Row],[_Res3Work]]+Tasks[[#This Row],[_Res4Work]]</f>
        <v>0</v>
      </c>
      <c r="ER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3" t="n">
        <f aca="false">IF(NOT(Tasks[[#This Row],[_IsLeaf]]=1),0,MAX(_xlfn.MAXIFS(Tasks[_Row],Tasks[_Pred1UID],Tasks[[#This Row],[UID]]),_xlfn.MAXIFS(Tasks[_Row],Tasks[_Pred2UID],Tasks[[#This Row],[UID]]),_xlfn.MAXIFS(Tasks[_Row],Tasks[_Pred3UID],Tasks[[#This Row],[UID]]),_xlfn.MAXIFS(Tasks[_Row],Tasks[_Pred4UID],Tasks[[#This Row],[UID]])))</f>
        <v>0</v>
      </c>
      <c r="FA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91" t="str">
        <f aca="false">IF(NOT(Tasks[[#This Row],[_IsLeaf]]=1),"",IF(N(Tasks[[#This Row],[_Days]])&lt;=0,Tasks[[#This Row],[_LeafLateFinish]],WORKDAY.INTL(Tasks[[#This Row],[_LeafLateFinish]],-(Tasks[[#This Row],[_Days]]-1),WorkWeek,Holidays)))</f>
        <v/>
      </c>
      <c r="FD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8" s="90" t="b">
        <f aca="false">AND(Tasks[[#This Row],[_IsLeaf]]=1,Tasks[[#This Row],[_LeafProgress]]&lt;1,N(Tasks[[#This Row],[_LeafTotalSlack]])&lt;=CriticalSlackDays)</f>
        <v>0</v>
      </c>
      <c r="FF28" s="43" t="n">
        <f aca="false">IF(AND(Tasks[[#This Row],[_IsLeaf]]=1,Tasks[[#This Row],[_ConstraintCode]]=1,Tasks[[#This Row],[Mode]]&lt;&gt;"Manual",N(Tasks[[#This Row],[Actual Start]])=0),MAX(0,N(Tasks[[#This Row],[Free Slack]])),0)</f>
        <v>0</v>
      </c>
      <c r="FG28" s="91" t="str">
        <f aca="false">IF(NOT(Tasks[[#This Row],[_IsLeaf]]=1),"",IF(Tasks[[#This Row],[_AlapShift]]=0,Tasks[[#This Row],[_LeafCalcStart]],WORKDAY.INTL(Tasks[[#This Row],[_LeafCalcStart]],Tasks[[#This Row],[_AlapShift]],WorkWeek,Holidays)))</f>
        <v/>
      </c>
      <c r="FH28" s="91" t="str">
        <f aca="false">IF(NOT(Tasks[[#This Row],[_IsLeaf]]=1),"",IF(Tasks[[#This Row],[_AlapShift]]=0,Tasks[[#This Row],[_LeafCalcFinish]],WORKDAY.INTL(Tasks[[#This Row],[_LeafCalcFinish]],Tasks[[#This Row],[_AlapShift]],WorkWeek,Holidays)))</f>
        <v/>
      </c>
      <c r="FI28" s="91" t="str">
        <f aca="false">IF(NOT(Tasks[[#This Row],[_IsLeaf]]=1),"",IF(Tasks[[#This Row],[_AlapShift]]=0,Tasks[[#This Row],[_LeafFcstStart]],WORKDAY.INTL(Tasks[[#This Row],[_LeafFcstStart]],Tasks[[#This Row],[_AlapShift]],WorkWeek,Holidays)))</f>
        <v/>
      </c>
      <c r="FJ28" s="91" t="str">
        <f aca="false">IF(NOT(Tasks[[#This Row],[_IsLeaf]]=1),"",IF(Tasks[[#This Row],[_AlapShift]]=0,Tasks[[#This Row],[_LeafFcstFinish]],WORKDAY.INTL(Tasks[[#This Row],[_LeafFcstFinish]],Tasks[[#This Row],[_AlapShift]],WorkWeek,Holidays)))</f>
        <v/>
      </c>
      <c r="FK28" s="91" t="str">
        <f aca="false">IF(Tasks[[#This Row],[Task Name]]="","",IF(Tasks[[#This Row],[_IsSummary]],MIN(INDEX(Tasks[_ShownCalcStart],Tasks[[#This Row],[_Row]]+1):INDEX(Tasks[_ShownCalcStart],Tasks[[#This Row],[_Row]]+Tasks[[#This Row],[_Descendants]])),Tasks[[#This Row],[_ShownCalcStart]]))</f>
        <v/>
      </c>
      <c r="FL28" s="91" t="str">
        <f aca="false">IF(Tasks[[#This Row],[Task Name]]="","",IF(Tasks[[#This Row],[_IsSummary]],MAX(INDEX(Tasks[_ShownCalcFinish],Tasks[[#This Row],[_Row]]+1):INDEX(Tasks[_ShownCalcFinish],Tasks[[#This Row],[_Row]]+Tasks[[#This Row],[_Descendants]])),Tasks[[#This Row],[_ShownCalcFinish]]))</f>
        <v/>
      </c>
      <c r="FM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8" s="43" t="n">
        <f aca="false">IF(AND(Tasks[[#This Row],[_IsLeaf]]=1,Tasks[[#This Row],[_LeafTotalWork]]&gt;0),NETWORKDAYS.INTL(ProjectStart,Tasks[[#This Row],[_ShownFcstStart]],WorkWeek,Holidays),0)</f>
        <v>0</v>
      </c>
      <c r="FZ28" s="43" t="n">
        <f aca="false">IF(AND(Tasks[[#This Row],[_IsLeaf]]=1,Tasks[[#This Row],[_LeafTotalWork]]&gt;0),MAX(Tasks[[#This Row],[_StartWorkday]],NETWORKDAYS.INTL(ProjectStart,Tasks[[#This Row],[_ShownFcstFinish]],WorkWeek,Holidays)),0)</f>
        <v>0</v>
      </c>
      <c r="GA28" s="43" t="n">
        <f aca="false">IF(AND(Tasks[[#This Row],[_IsLeaf]]=1,Tasks[[#This Row],[_LeafTotalWork]]&gt;0),Tasks[[#This Row],[_LeafWork]]/(Tasks[[#This Row],[_FinishWorkday]]-Tasks[[#This Row],[_StartWorkday]]+1),0)</f>
        <v>0</v>
      </c>
      <c r="GB28" s="43" t="n">
        <f aca="false">Tasks[[#This Row],[_WorkPerWorkday]]*(Tasks[[#This Row],[_StartWorkday]]-1)</f>
        <v>-0</v>
      </c>
      <c r="GC28" s="43" t="n">
        <f aca="false">IF(Tasks[[#This Row],[_IsLeaf]]=1,MAX(N(Tasks[[#This Row],[_Days]]),0.1),0)</f>
        <v>0</v>
      </c>
      <c r="GD28" s="43" t="n">
        <f aca="false">Tasks[[#This Row],[_WeightDur]]*Tasks[[#This Row],[_LeafProgress]]</f>
        <v>0</v>
      </c>
      <c r="GE28" s="43" t="n">
        <f aca="false">Tasks[[#This Row],[_WeightDur]]*Tasks[[#This Row],[_PlannedPct]]</f>
        <v>0</v>
      </c>
      <c r="GF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3" t="str">
        <f aca="false">IF(AND(Tasks[[#This Row],[_IsLeaf]]=1,N(Tasks[[#This Row],[_Days]])=0,Tasks[[#This Row],[_LeafProgress]]&lt;1),Tasks[[#This Row],[_ShownFcstFinish]]+Tasks[[#This Row],[_Row]]/100000,"")</f>
        <v/>
      </c>
      <c r="GH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8" s="43" t="str">
        <f aca="false">IF(Tasks[[#This Row],[Task Name]]="","",LEFT(Tasks[[#This Row],[WBS]],FIND(".",Tasks[[#This Row],[WBS]]&amp;".")-1))</f>
        <v/>
      </c>
      <c r="GJ28" s="43" t="str">
        <f aca="false">IF(AND(Tasks[[#This Row],[Task Name]]&lt;&gt;"",Tasks[[#This Row],[_Level]]=1),Tasks[[#This Row],[_Row]],"")</f>
        <v/>
      </c>
      <c r="GK28" s="43" t="str">
        <f aca="false">IF(AND(Tasks[[#This Row],[_IsLeaf]]=1,N(Tasks[[#This Row],[_Days]])=0),Tasks[[#This Row],[Planned Finish]]+Tasks[[#This Row],[_Row]]/100000,"")</f>
        <v/>
      </c>
      <c r="GL28" s="43" t="str">
        <f aca="false">IF(AND(Tasks[[#This Row],[_IsLeaf]]=1,Tasks[[#This Row],[_LeafProgress]]&lt;1,OR(N(Tasks[[#This Row],[Finish Var]])&gt;0,Tasks[[#This Row],[Status]]="Late Start")),MAX(0,Tasks[[#This Row],[Finish Var]])+1-Tasks[[#This Row],[_Row]]/1000000,"")</f>
        <v/>
      </c>
      <c r="GM28" s="43" t="str">
        <f aca="false">IF(AND(Tasks[[#This Row],[_IsLeaf]]=1,N(Tasks[[#This Row],[Actual Start]])=0,Tasks[[#This Row],[_ShownFcstStart]]&gt;=StatusDate,Tasks[[#This Row],[_ShownFcstStart]]&lt;=LookaheadEnd),Tasks[[#This Row],[_ShownFcstStart]]+Tasks[[#This Row],[_Row]]/100000,"")</f>
        <v/>
      </c>
      <c r="GN28" s="43" t="str">
        <f aca="false">IF(AND(Tasks[[#This Row],[_IsLeaf]]=1,Tasks[[#This Row],[_LeafProgress]]&lt;1,Tasks[[#This Row],[_ShownFcstFinish]]&gt;=StatusDate,Tasks[[#This Row],[_ShownFcstFinish]]&lt;=LookaheadEnd),Tasks[[#This Row],[_ShownFcstFinish]]+Tasks[[#This Row],[_Row]]/100000,"")</f>
        <v/>
      </c>
      <c r="GO28" s="43" t="str">
        <f aca="false">IF(Tasks[[#This Row],[_LeafCritical]],Tasks[[#This Row],[_ShownFcstStart]]+Tasks[[#This Row],[_Row]]/100000,"")</f>
        <v/>
      </c>
      <c r="GP28" s="43" t="n">
        <f aca="false">Tasks[[#This Row],[_LeafWork]]*Tasks[[#This Row],[_LeafProgress]]</f>
        <v>0</v>
      </c>
      <c r="GQ28" s="91" t="str">
        <f aca="false">IF(AND(Tasks[[#This Row],[_IsLeaf]]=1,Tasks[[#This Row],[_LeafProgress]]&gt;=1),IF(N(Tasks[[#This Row],[Actual Finish]])&gt;0,Tasks[[#This Row],[Actual Finish]],Tasks[[#This Row],[_ShownFcstFinish]]),"")</f>
        <v/>
      </c>
      <c r="GR28" s="43" t="n">
        <f aca="false">IF(Tasks[[#This Row],[_IsLeaf]]=1,N(Tasks[[#This Row],[Story Points]]),0)</f>
        <v>0</v>
      </c>
      <c r="GS28" s="43" t="str">
        <f aca="false">""</f>
        <v/>
      </c>
      <c r="GT28" s="90" t="b">
        <f aca="false">IF(Tasks[[#This Row],[Task Name]]="",FALSE(),AND(Tasks[[#This Row],[_IsLeaf]]=1,N(Tasks[[#This Row],[_Days]])=0))</f>
        <v>0</v>
      </c>
      <c r="GU28" s="91" t="n">
        <f aca="false">IF(Tasks[[#This Row],[Task Name]]="",0,IF(AND(Tasks[[#This Row],[_IsLeaf]]=1,NOT(Tasks[[#This Row],[_IsMilestone]]),N(Tasks[[#This Row],[Progress]])&gt;0),Tasks[[#This Row],[Start]],0))</f>
        <v>0</v>
      </c>
      <c r="GV28" s="91" t="n">
        <f aca="false">IF(Tasks[[#This Row],[_DoneFrom]]=0,0,IF(Tasks[[#This Row],[Progress]]&gt;=1,Tasks[[#This Row],[Finish]],MAX(Tasks[[#This Row],[_DoneFrom]],Tasks[[#This Row],[Start]]+ROUND((Tasks[[#This Row],[Finish]]-Tasks[[#This Row],[Start]]+1)*Tasks[[#This Row],[Progress]],0)-1)))</f>
        <v>0</v>
      </c>
      <c r="GW28" s="91" t="n">
        <f aca="false">IF(Tasks[[#This Row],[Task Name]]="",0,IF(OR(NOT(Tasks[[#This Row],[_IsLeaf]]=1),Tasks[[#This Row],[_IsMilestone]],N(Tasks[[#This Row],[Progress]])&gt;=1),0,IF(Tasks[[#This Row],[_DoneTo]]&gt;0,Tasks[[#This Row],[_DoneTo]]+1,Tasks[[#This Row],[Start]])))</f>
        <v>0</v>
      </c>
      <c r="GX28" s="91" t="n">
        <f aca="false">IF(Tasks[[#This Row],[_RemFrom]]=0,0,Tasks[[#This Row],[Finish]])</f>
        <v>0</v>
      </c>
      <c r="GY28" s="90" t="b">
        <f aca="false">IF(Tasks[[#This Row],[Task Name]]="",FALSE(),OR(NOT(BaselineSet),N(Tasks[[#This Row],[Baseline Start]])&gt;0))</f>
        <v>0</v>
      </c>
      <c r="GZ2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92" t="str">
        <f aca="false">IF(Tasks[[#This Row],[_IsLeaf]]=1,Tasks[[#This Row],[_Row]],"")</f>
        <v/>
      </c>
      <c r="HD28" s="92" t="str">
        <f aca="false">IFERROR(INDEX(Tasks[UID],SMALL(Tasks[_PickKey],Tasks[[#This Row],[_Row]]))&amp;" "&amp;INDEX(Tasks[Task Name],SMALL(Tasks[_PickKey],Tasks[[#This Row],[_Row]])),"")</f>
        <v/>
      </c>
      <c r="HE28" s="43" t="str">
        <f aca="false">IF(Tasks[[#This Row],[Task Name]]="","",IF(Tasks[[#This Row],[_IsSummary]],NETWORKDAYS.INTL(Tasks[[#This Row],[Start]],Tasks[[#This Row],[Finish]],WorkWeek,Holidays),N(Tasks[[#This Row],[_Days]])))</f>
        <v/>
      </c>
      <c r="HF28" s="43" t="n">
        <f aca="false">IF(Tasks[[#This Row],[Expected]]="",0,((Tasks[[#This Row],[Pessimistic]]-Tasks[[#This Row],[Optimistic]])/6)^2)</f>
        <v>0</v>
      </c>
      <c r="HG28" s="43" t="n">
        <f aca="false">IF(Tasks[[#This Row],[Expected]]="",0,Tasks[[#This Row],[Expected]]-N(Tasks[[#This Row],[_Days]]))</f>
        <v>0</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4"/>
      <c r="U29" s="23"/>
      <c r="V29" s="84"/>
      <c r="W29" s="23"/>
      <c r="X29" s="84"/>
      <c r="Y29" s="23"/>
      <c r="Z29" s="84"/>
      <c r="AA29" s="23"/>
      <c r="AB29" s="23"/>
      <c r="AC29" s="7"/>
      <c r="AD29" s="7"/>
      <c r="AE29" s="63" t="str">
        <f aca="false">IF(Tasks[[#This Row],[Task Name]]="","",IF(Tasks[[#This Row],[_IsSummary]],MIN(INDEX(Tasks[_ShownFcstStart],Tasks[[#This Row],[_Row]]+1):INDEX(Tasks[_ShownFcstStart],Tasks[[#This Row],[_Row]]+Tasks[[#This Row],[_Descendants]])),Tasks[[#This Row],[_ShownFcstStart]]))</f>
        <v/>
      </c>
      <c r="AF29" s="63"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9" s="7"/>
      <c r="AK29" s="22"/>
      <c r="AL29" s="23"/>
      <c r="AM29" s="7"/>
      <c r="AN29" s="47"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3" t="str">
        <f aca="false">IF(Tasks[[#This Row],[Task Name]]="","",IF(N(Tasks[[#This Row],[Baseline Start]])&gt;0,Tasks[[#This Row],[Baseline Start]],Tasks[[#This Row],[_CalcStart]]))</f>
        <v/>
      </c>
      <c r="AR29" s="63" t="str">
        <f aca="false">IF(Tasks[[#This Row],[Task Name]]="","",IF(N(Tasks[[#This Row],[Baseline Finish]])&gt;0,Tasks[[#This Row],[Baseline Finish]],Tasks[[#This Row],[_CalcFinish]]))</f>
        <v/>
      </c>
      <c r="AS29" s="47" t="str">
        <f aca="false">IF(Tasks[[#This Row],[Task Name]]="","",IF(Tasks[[#This Row],[Start]]&gt;=Tasks[[#This Row],[Planned Start]],NETWORKDAYS.INTL(Tasks[[#This Row],[Planned Start]],Tasks[[#This Row],[Start]],WorkWeek,Holidays)-1,1-NETWORKDAYS.INTL(Tasks[[#This Row],[Start]],Tasks[[#This Row],[Planned Start]],WorkWeek,Holidays)))</f>
        <v/>
      </c>
      <c r="AT29" s="63" t="str">
        <f aca="false">IF(Tasks[[#This Row],[Task Name]]="","",IF(Tasks[[#This Row],[_IsSummary]],MIN(INDEX(Tasks[_LeafLateStart],Tasks[[#This Row],[_Row]]+1):INDEX(Tasks[_LeafLateStart],Tasks[[#This Row],[_Row]]+Tasks[[#This Row],[_Descendants]])),Tasks[[#This Row],[_LeafLateStart]]))</f>
        <v/>
      </c>
      <c r="AU29" s="63" t="str">
        <f aca="false">IF(Tasks[[#This Row],[Task Name]]="","",IF(Tasks[[#This Row],[_IsSummary]],MAX(INDEX(Tasks[_LeafLateFinish],Tasks[[#This Row],[_Row]]+1):INDEX(Tasks[_LeafLateFinish],Tasks[[#This Row],[_Row]]+Tasks[[#This Row],[_Descendants]])),Tasks[[#This Row],[_LeafLateFinish]]))</f>
        <v/>
      </c>
      <c r="AV29" s="47"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5"/>
      <c r="BA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6"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7"/>
      <c r="BJ29" s="22"/>
      <c r="BK29" s="47" t="str">
        <f aca="false">IF(OR(Tasks[[#This Row],[Task Name]]="",Tasks[[#This Row],[Baseline Duration]]=""),"",Tasks[[#This Row],[_SpanDays]]-N(Tasks[[#This Row],[Baseline Duration]]))</f>
        <v/>
      </c>
      <c r="BL29" s="86" t="str">
        <f aca="false">IF(OR(Tasks[[#This Row],[Task Name]]="",Tasks[[#This Row],[Baseline Work]]=""),"",Tasks[[#This Row],[Work]]-N(Tasks[[#This Row],[Baseline Work]]))</f>
        <v/>
      </c>
      <c r="BM29" s="63" t="str">
        <f aca="false">IF(Tasks[[#This Row],[Task Name]]="","",IF(OR(TakeBaseline="Yes",N(Tasks[[#This Row],[Baseline Start]])=0),Tasks[[#This Row],[Start]],Tasks[[#This Row],[Baseline Start]]))</f>
        <v/>
      </c>
      <c r="BN29" s="63" t="str">
        <f aca="false">IF(Tasks[[#This Row],[Task Name]]="","",IF(OR(TakeBaseline="Yes",N(Tasks[[#This Row],[Baseline Finish]])=0),Tasks[[#This Row],[Finish]],Tasks[[#This Row],[Baseline Finish]]))</f>
        <v/>
      </c>
      <c r="BO29" s="21" t="str">
        <f aca="false">IF(Tasks[[#This Row],[Task Name]]="","",IF(OR(TakeBaseline="Yes",N(Tasks[[#This Row],[Baseline Duration]])=0),Tasks[[#This Row],[_SpanDays]],Tasks[[#This Row],[Baseline Duration]]))</f>
        <v/>
      </c>
      <c r="BP29" s="86" t="str">
        <f aca="false">IF(Tasks[[#This Row],[Task Name]]="","",IF(OR(TakeBaseline="Yes",N(Tasks[[#This Row],[Baseline Work]])=0),Tasks[[#This Row],[Work]],Tasks[[#This Row],[Baseline Work]]))</f>
        <v/>
      </c>
      <c r="BQ29" s="7"/>
      <c r="BR29" s="7"/>
      <c r="BS29" s="22"/>
      <c r="BT29" s="88"/>
      <c r="BU29" s="23"/>
      <c r="BV29" s="23"/>
      <c r="BW29" s="23"/>
      <c r="BX29" s="89" t="str">
        <f aca="false">IF(AND(Tasks[[#This Row],[_IsLeaf]]=1,ISNUMBER(Tasks[[#This Row],[Optimistic]]),ISNUMBER(Tasks[[#This Row],[Pessimistic]])),ROUND((Tasks[[#This Row],[Optimistic]]+4*N(Tasks[[#This Row],[_Days]])+Tasks[[#This Row],[Pessimistic]])/6,1),"")</f>
        <v/>
      </c>
      <c r="BY29" s="87"/>
      <c r="BZ29" s="87"/>
      <c r="CA29" s="22"/>
      <c r="CB29" s="43" t="str">
        <f aca="false">IF(Tasks[[#This Row],[Task Name]]="","",MAX(1,N(Tasks[[#This Row],[Level]])))</f>
        <v/>
      </c>
      <c r="CC29" s="43" t="n">
        <f aca="false">ROW()-ROW(Tasks[[#Headers],[ID]])</f>
        <v>24</v>
      </c>
      <c r="CD29" s="43" t="n">
        <f aca="false">IF(OR(Tasks[[#This Row],[Task Name]]="",Tasks[[#This Row],[_Level]]&lt;=1),0,IFERROR(LOOKUP(2,1/(Tasks[[#Headers],[_Level]]:Tasks[[#This Row],[_Level]]=Tasks[[#This Row],[_Level]]-1),ROW(Tasks[[#Headers],[_Level]]:Tasks[[#This Row],[_Level]])),0))</f>
        <v>0</v>
      </c>
      <c r="CE29" s="43" t="n">
        <f aca="false">IFERROR(N(INDEX(Tasks[_Level],Tasks[[#This Row],[_Row]]+1)),0)</f>
        <v>0</v>
      </c>
      <c r="CF29" s="90" t="b">
        <f aca="false">AND(Tasks[[#This Row],[Task Name]]&lt;&gt;"",Tasks[[#This Row],[_NextLevel]]&gt;Tasks[[#This Row],[_Level]])</f>
        <v>0</v>
      </c>
      <c r="CG29" s="43" t="n">
        <f aca="false">IF(Tasks[[#This Row],[_IsSummary]],COUNTIF(Tasks[WBS],Tasks[[#This Row],[WBS]]&amp;".*"),0)</f>
        <v>0</v>
      </c>
      <c r="CH29" s="43" t="n">
        <f aca="false">IF(AND(Tasks[[#This Row],[Task Name]]&lt;&gt;"",NOT(Tasks[[#This Row],[_IsSummary]])),1,0)</f>
        <v>0</v>
      </c>
      <c r="CI29" s="43" t="n">
        <f aca="false">IF(N(Tasks[[#This Row],[_Pred1UID]])=0,0,IFERROR(MATCH(Tasks[[#This Row],[_Pred1UID]],Tasks[UID],0),-1))</f>
        <v>0</v>
      </c>
      <c r="CJ29" s="43" t="n">
        <f aca="false">IF(N(Tasks[[#This Row],[_Pred2UID]])=0,0,IFERROR(MATCH(Tasks[[#This Row],[_Pred2UID]],Tasks[UID],0),-1))</f>
        <v>0</v>
      </c>
      <c r="CK29" s="43" t="n">
        <f aca="false">IF(N(Tasks[[#This Row],[_Pred3UID]])=0,0,IFERROR(MATCH(Tasks[[#This Row],[_Pred3UID]],Tasks[UID],0),-1))</f>
        <v>0</v>
      </c>
      <c r="CL29" s="43" t="n">
        <f aca="false">IF(N(Tasks[[#This Row],[_Pred4UID]])=0,0,IFERROR(MATCH(Tasks[[#This Row],[_Pred4UID]],Tasks[UID],0),-1))</f>
        <v>0</v>
      </c>
      <c r="CM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9" s="91" t="n">
        <f aca="false">IF(OR(Tasks[[#This Row],[_ConstraintCode]]=2,Tasks[[#This Row],[_ConstraintCode]]=3,Tasks[[#This Row],[_ConstraintCode]]=4,Tasks[[#This Row],[_ConstraintCode]]=6),Tasks[[#This Row],[_ConstraintStart]],0)</f>
        <v>0</v>
      </c>
      <c r="CP29" s="91" t="n">
        <f aca="false">IF(OR(Tasks[[#This Row],[_ConstraintCode]]=2,Tasks[[#This Row],[_ConstraintCode]]=3,Tasks[[#This Row],[_ConstraintCode]]=5,Tasks[[#This Row],[_ConstraintCode]]=7),Tasks[[#This Row],[_ConstraintStart]],2958465)</f>
        <v>2958465</v>
      </c>
      <c r="CQ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91" t="str">
        <f aca="false">IF(NOT(Tasks[[#This Row],[_IsLeaf]]=1),"",IF(N(Tasks[[#This Row],[_Days]])&lt;=0,Tasks[[#This Row],[_LeafCalcStart]],WORKDAY.INTL(Tasks[[#This Row],[_LeafCalcStart]],Tasks[[#This Row],[_Days]]-1,WorkWeek,Holidays)))</f>
        <v/>
      </c>
      <c r="CS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3" t="str">
        <f aca="false">IF(Tasks[[#This Row],[_Predecessors]]="","",TRIM(MID(SUBSTITUTE(SUBSTITUTE(SUBSTITUTE(UPPER(Tasks[[#This Row],[_Predecessors]]),";",",")," ",""),",",REPT(" ",99)),1,99)))</f>
        <v/>
      </c>
      <c r="CV29" s="43" t="str">
        <f aca="false">IF(Tasks[[#This Row],[_Pred1Text]]="","",IFERROR(VALUE(LEFT(Tasks[[#This Row],[_Pred1Text]],MIN(FIND("F",Tasks[[#This Row],[_Pred1Text]]&amp;"F"),FIND("S",Tasks[[#This Row],[_Pred1Text]]&amp;"S"),FIND("+",Tasks[[#This Row],[_Pred1Text]]&amp;"+"),FIND("-",Tasks[[#This Row],[_Pred1Text]]&amp;"-"))-1)),""))</f>
        <v/>
      </c>
      <c r="CW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3" t="str">
        <f aca="false">IF(Tasks[[#This Row],[_Pred1Text]]="","",TRIM(MID(SUBSTITUTE(SUBSTITUTE(SUBSTITUTE(UPPER(Tasks[[#This Row],[_Predecessors]]),";",",")," ",""),",",REPT(" ",99)),100,99)))</f>
        <v/>
      </c>
      <c r="CZ29" s="43" t="str">
        <f aca="false">IF(Tasks[[#This Row],[_Pred2Text]]="","",IFERROR(VALUE(LEFT(Tasks[[#This Row],[_Pred2Text]],MIN(FIND("F",Tasks[[#This Row],[_Pred2Text]]&amp;"F"),FIND("S",Tasks[[#This Row],[_Pred2Text]]&amp;"S"),FIND("+",Tasks[[#This Row],[_Pred2Text]]&amp;"+"),FIND("-",Tasks[[#This Row],[_Pred2Text]]&amp;"-"))-1)),""))</f>
        <v/>
      </c>
      <c r="DA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3" t="str">
        <f aca="false">IF(Tasks[[#This Row],[_Pred2Text]]="","",TRIM(MID(SUBSTITUTE(SUBSTITUTE(SUBSTITUTE(UPPER(Tasks[[#This Row],[_Predecessors]]),";",",")," ",""),",",REPT(" ",99)),199,99)))</f>
        <v/>
      </c>
      <c r="DD29" s="43" t="str">
        <f aca="false">IF(Tasks[[#This Row],[_Pred3Text]]="","",IFERROR(VALUE(LEFT(Tasks[[#This Row],[_Pred3Text]],MIN(FIND("F",Tasks[[#This Row],[_Pred3Text]]&amp;"F"),FIND("S",Tasks[[#This Row],[_Pred3Text]]&amp;"S"),FIND("+",Tasks[[#This Row],[_Pred3Text]]&amp;"+"),FIND("-",Tasks[[#This Row],[_Pred3Text]]&amp;"-"))-1)),""))</f>
        <v/>
      </c>
      <c r="DE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3" t="str">
        <f aca="false">IF(Tasks[[#This Row],[_Pred3Text]]="","",TRIM(MID(SUBSTITUTE(SUBSTITUTE(SUBSTITUTE(UPPER(Tasks[[#This Row],[_Predecessors]]),";",",")," ",""),",",REPT(" ",99)),298,99)))</f>
        <v/>
      </c>
      <c r="DH29" s="43" t="str">
        <f aca="false">IF(Tasks[[#This Row],[_Pred4Text]]="","",IFERROR(VALUE(LEFT(Tasks[[#This Row],[_Pred4Text]],MIN(FIND("F",Tasks[[#This Row],[_Pred4Text]]&amp;"F"),FIND("S",Tasks[[#This Row],[_Pred4Text]]&amp;"S"),FIND("+",Tasks[[#This Row],[_Pred4Text]]&amp;"+"),FIND("-",Tasks[[#This Row],[_Pred4Text]]&amp;"-"))-1)),""))</f>
        <v/>
      </c>
      <c r="DI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3" t="str">
        <f aca="false">IF(OR(Tasks[[#This Row],[Task Name]]="",Tasks[[#This Row],[_Resources]]=""),"",TRIM(MID(SUBSTITUTE(Tasks[[#This Row],[_Resources]],",",REPT(" ",99)),1,99)))</f>
        <v/>
      </c>
      <c r="DL29" s="43" t="str">
        <f aca="false">IF(Tasks[[#This Row],[_Res1Text]]="","",TRIM(MID(SUBSTITUTE(Tasks[[#This Row],[_Resources]],",",REPT(" ",99)),100,99)))</f>
        <v/>
      </c>
      <c r="DM29" s="43" t="str">
        <f aca="false">IF(Tasks[[#This Row],[_Res2Text]]="","",TRIM(MID(SUBSTITUTE(Tasks[[#This Row],[_Resources]],",",REPT(" ",99)),199,99)))</f>
        <v/>
      </c>
      <c r="DN29" s="43" t="str">
        <f aca="false">IF(Tasks[[#This Row],[_Res3Text]]="","",TRIM(MID(SUBSTITUTE(Tasks[[#This Row],[_Resources]],",",REPT(" ",99)),298,99)))</f>
        <v/>
      </c>
      <c r="DO29" s="43" t="n">
        <f aca="false">IF(Tasks[[#This Row],[_Res1Text]]="",0,IFERROR(MATCH(TRIM(LEFT(Tasks[[#This Row],[_Res1Text]],FIND("[",Tasks[[#This Row],[_Res1Text]]&amp;"[")-1)),res_Name,0),IFERROR(MATCH(TRIM(LEFT(Tasks[[#This Row],[_Res1Text]],FIND("[",Tasks[[#This Row],[_Res1Text]]&amp;"[")-1)),res_Initials,0),0)))</f>
        <v>0</v>
      </c>
      <c r="DP29" s="43" t="n">
        <f aca="false">IF(Tasks[[#This Row],[_Res2Text]]="",0,IFERROR(MATCH(TRIM(LEFT(Tasks[[#This Row],[_Res2Text]],FIND("[",Tasks[[#This Row],[_Res2Text]]&amp;"[")-1)),res_Name,0),IFERROR(MATCH(TRIM(LEFT(Tasks[[#This Row],[_Res2Text]],FIND("[",Tasks[[#This Row],[_Res2Text]]&amp;"[")-1)),res_Initials,0),0)))</f>
        <v>0</v>
      </c>
      <c r="DQ29" s="43" t="n">
        <f aca="false">IF(Tasks[[#This Row],[_Res3Text]]="",0,IFERROR(MATCH(TRIM(LEFT(Tasks[[#This Row],[_Res3Text]],FIND("[",Tasks[[#This Row],[_Res3Text]]&amp;"[")-1)),res_Name,0),IFERROR(MATCH(TRIM(LEFT(Tasks[[#This Row],[_Res3Text]],FIND("[",Tasks[[#This Row],[_Res3Text]]&amp;"[")-1)),res_Initials,0),0)))</f>
        <v>0</v>
      </c>
      <c r="DR29" s="43" t="n">
        <f aca="false">IF(Tasks[[#This Row],[_Res4Text]]="",0,IFERROR(MATCH(TRIM(LEFT(Tasks[[#This Row],[_Res4Text]],FIND("[",Tasks[[#This Row],[_Res4Text]]&amp;"[")-1)),res_Name,0),IFERROR(MATCH(TRIM(LEFT(Tasks[[#This Row],[_Res4Text]],FIND("[",Tasks[[#This Row],[_Res4Text]]&amp;"[")-1)),res_Initials,0),0)))</f>
        <v>0</v>
      </c>
      <c r="DS29" s="43" t="str">
        <f aca="false">IF(Tasks[[#This Row],[_Res1Text]]="","",IF(Tasks[[#This Row],[_Res1Row]]&gt;0,INDEX(res_Name,Tasks[[#This Row],[_Res1Row]]),TRIM(LEFT(Tasks[[#This Row],[_Res1Text]],FIND("[",Tasks[[#This Row],[_Res1Text]]&amp;"[")-1))))</f>
        <v/>
      </c>
      <c r="DT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3" t="n">
        <f aca="false">IF(NOT(Tasks[[#This Row],[_IsLeaf]]=1),0,(Tasks[[#This Row],[_Resource1]]&lt;&gt;"")+(Tasks[[#This Row],[_Res2]]&lt;&gt;"")+(Tasks[[#This Row],[_Res3]]&lt;&gt;"")+(Tasks[[#This Row],[_Res4]]&lt;&gt;""))</f>
        <v>0</v>
      </c>
      <c r="DV29" s="43" t="str">
        <f aca="false">IF(Tasks[[#This Row],[_Res2Text]]="","",IF(Tasks[[#This Row],[_Res2Row]]&gt;0,INDEX(res_Name,Tasks[[#This Row],[_Res2Row]]),TRIM(LEFT(Tasks[[#This Row],[_Res2Text]],FIND("[",Tasks[[#This Row],[_Res2Text]]&amp;"[")-1))))</f>
        <v/>
      </c>
      <c r="DW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3" t="n">
        <f aca="false">IF(OR(NOT(Tasks[[#This Row],[_IsLeaf]]=1),Tasks[[#This Row],[_Res2Row]]=0),0,N(Tasks[[#This Row],[_Days]])*HoursPerDay*IF(Tasks[[#This Row],[_Res2Units]]="",DefaultUnits,Tasks[[#This Row],[_Res2Units]]))</f>
        <v>0</v>
      </c>
      <c r="DY29" s="43" t="n">
        <f aca="false">IF(AND(AND(Tasks[[#This Row],[_IsLeaf]]=1,Tasks[[#This Row],[_LeafTotalWork]]&gt;0),Tasks[[#This Row],[_Res2Work]]&gt;0),Tasks[[#This Row],[_Res2Work]]/(Tasks[[#This Row],[_FinishWorkday]]-Tasks[[#This Row],[_StartWorkday]]+1),0)</f>
        <v>0</v>
      </c>
      <c r="DZ29" s="43" t="n">
        <f aca="false">Tasks[[#This Row],[_Res2WorkPerWD]]*MAX(0,Tasks[[#This Row],[_StartWorkday]]-1)</f>
        <v>0</v>
      </c>
      <c r="EA29" s="43" t="n">
        <f aca="false">Tasks[[#This Row],[_Res2Work]]*Tasks[[#This Row],[_LeafProgress]]</f>
        <v>0</v>
      </c>
      <c r="EB29" s="43" t="str">
        <f aca="false">IF(Tasks[[#This Row],[_Res3Text]]="","",IF(Tasks[[#This Row],[_Res3Row]]&gt;0,INDEX(res_Name,Tasks[[#This Row],[_Res3Row]]),TRIM(LEFT(Tasks[[#This Row],[_Res3Text]],FIND("[",Tasks[[#This Row],[_Res3Text]]&amp;"[")-1))))</f>
        <v/>
      </c>
      <c r="EC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3" t="n">
        <f aca="false">IF(OR(NOT(Tasks[[#This Row],[_IsLeaf]]=1),Tasks[[#This Row],[_Res3Row]]=0),0,N(Tasks[[#This Row],[_Days]])*HoursPerDay*IF(Tasks[[#This Row],[_Res3Units]]="",DefaultUnits,Tasks[[#This Row],[_Res3Units]]))</f>
        <v>0</v>
      </c>
      <c r="EE29" s="43" t="n">
        <f aca="false">IF(AND(AND(Tasks[[#This Row],[_IsLeaf]]=1,Tasks[[#This Row],[_LeafTotalWork]]&gt;0),Tasks[[#This Row],[_Res3Work]]&gt;0),Tasks[[#This Row],[_Res3Work]]/(Tasks[[#This Row],[_FinishWorkday]]-Tasks[[#This Row],[_StartWorkday]]+1),0)</f>
        <v>0</v>
      </c>
      <c r="EF29" s="43" t="n">
        <f aca="false">Tasks[[#This Row],[_Res3WorkPerWD]]*MAX(0,Tasks[[#This Row],[_StartWorkday]]-1)</f>
        <v>0</v>
      </c>
      <c r="EG29" s="43" t="n">
        <f aca="false">Tasks[[#This Row],[_Res3Work]]*Tasks[[#This Row],[_LeafProgress]]</f>
        <v>0</v>
      </c>
      <c r="EH29" s="43" t="str">
        <f aca="false">IF(Tasks[[#This Row],[_Res4Text]]="","",IF(Tasks[[#This Row],[_Res4Row]]&gt;0,INDEX(res_Name,Tasks[[#This Row],[_Res4Row]]),TRIM(LEFT(Tasks[[#This Row],[_Res4Text]],FIND("[",Tasks[[#This Row],[_Res4Text]]&amp;"[")-1))))</f>
        <v/>
      </c>
      <c r="EI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3" t="n">
        <f aca="false">IF(OR(NOT(Tasks[[#This Row],[_IsLeaf]]=1),Tasks[[#This Row],[_Res4Row]]=0),0,N(Tasks[[#This Row],[_Days]])*HoursPerDay*IF(Tasks[[#This Row],[_Res4Units]]="",DefaultUnits,Tasks[[#This Row],[_Res4Units]]))</f>
        <v>0</v>
      </c>
      <c r="EK29" s="43" t="n">
        <f aca="false">IF(AND(AND(Tasks[[#This Row],[_IsLeaf]]=1,Tasks[[#This Row],[_LeafTotalWork]]&gt;0),Tasks[[#This Row],[_Res4Work]]&gt;0),Tasks[[#This Row],[_Res4Work]]/(Tasks[[#This Row],[_FinishWorkday]]-Tasks[[#This Row],[_StartWorkday]]+1),0)</f>
        <v>0</v>
      </c>
      <c r="EL29" s="43" t="n">
        <f aca="false">Tasks[[#This Row],[_Res4WorkPerWD]]*MAX(0,Tasks[[#This Row],[_StartWorkday]]-1)</f>
        <v>0</v>
      </c>
      <c r="EM29" s="43" t="n">
        <f aca="false">Tasks[[#This Row],[_Res4Work]]*Tasks[[#This Row],[_LeafProgress]]</f>
        <v>0</v>
      </c>
      <c r="EN29" s="43" t="n">
        <f aca="false">IF(ISNUMBER(Tasks[[#This Row],[% Complete]]),Tasks[[#This Row],[% Complete]],IF(Tasks[[#This Row],[Stage]]="",0,IFERROR(INDEX(stg_Pct,MATCH(Tasks[[#This Row],[Stage]],stg_Name,0)),0)))</f>
        <v>0</v>
      </c>
      <c r="EO29" s="43" t="n">
        <f aca="false">IF(NOT(Tasks[[#This Row],[_IsLeaf]]=1),0,IF(N(Tasks[[#This Row],[Actual Finish]])&gt;0,1,MIN(1,Tasks[[#This Row],[_Pct]])))</f>
        <v>0</v>
      </c>
      <c r="EP29" s="43" t="n">
        <f aca="false">IF(OR(NOT(Tasks[[#This Row],[_IsLeaf]]=1),Tasks[[#This Row],[_Res1Row]]=0),0,N(Tasks[[#This Row],[_Days]])*HoursPerDay*IF(Tasks[[#This Row],[_Units1]]="",DefaultUnits,Tasks[[#This Row],[_Units1]]))</f>
        <v>0</v>
      </c>
      <c r="EQ29" s="43" t="n">
        <f aca="false">Tasks[[#This Row],[_LeafWork]]+Tasks[[#This Row],[_Res2Work]]+Tasks[[#This Row],[_Res3Work]]+Tasks[[#This Row],[_Res4Work]]</f>
        <v>0</v>
      </c>
      <c r="ER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3" t="n">
        <f aca="false">IF(NOT(Tasks[[#This Row],[_IsLeaf]]=1),0,MAX(_xlfn.MAXIFS(Tasks[_Row],Tasks[_Pred1UID],Tasks[[#This Row],[UID]]),_xlfn.MAXIFS(Tasks[_Row],Tasks[_Pred2UID],Tasks[[#This Row],[UID]]),_xlfn.MAXIFS(Tasks[_Row],Tasks[_Pred3UID],Tasks[[#This Row],[UID]]),_xlfn.MAXIFS(Tasks[_Row],Tasks[_Pred4UID],Tasks[[#This Row],[UID]])))</f>
        <v>0</v>
      </c>
      <c r="FA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91" t="str">
        <f aca="false">IF(NOT(Tasks[[#This Row],[_IsLeaf]]=1),"",IF(N(Tasks[[#This Row],[_Days]])&lt;=0,Tasks[[#This Row],[_LeafLateFinish]],WORKDAY.INTL(Tasks[[#This Row],[_LeafLateFinish]],-(Tasks[[#This Row],[_Days]]-1),WorkWeek,Holidays)))</f>
        <v/>
      </c>
      <c r="FD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9" s="90" t="b">
        <f aca="false">AND(Tasks[[#This Row],[_IsLeaf]]=1,Tasks[[#This Row],[_LeafProgress]]&lt;1,N(Tasks[[#This Row],[_LeafTotalSlack]])&lt;=CriticalSlackDays)</f>
        <v>0</v>
      </c>
      <c r="FF29" s="43" t="n">
        <f aca="false">IF(AND(Tasks[[#This Row],[_IsLeaf]]=1,Tasks[[#This Row],[_ConstraintCode]]=1,Tasks[[#This Row],[Mode]]&lt;&gt;"Manual",N(Tasks[[#This Row],[Actual Start]])=0),MAX(0,N(Tasks[[#This Row],[Free Slack]])),0)</f>
        <v>0</v>
      </c>
      <c r="FG29" s="91" t="str">
        <f aca="false">IF(NOT(Tasks[[#This Row],[_IsLeaf]]=1),"",IF(Tasks[[#This Row],[_AlapShift]]=0,Tasks[[#This Row],[_LeafCalcStart]],WORKDAY.INTL(Tasks[[#This Row],[_LeafCalcStart]],Tasks[[#This Row],[_AlapShift]],WorkWeek,Holidays)))</f>
        <v/>
      </c>
      <c r="FH29" s="91" t="str">
        <f aca="false">IF(NOT(Tasks[[#This Row],[_IsLeaf]]=1),"",IF(Tasks[[#This Row],[_AlapShift]]=0,Tasks[[#This Row],[_LeafCalcFinish]],WORKDAY.INTL(Tasks[[#This Row],[_LeafCalcFinish]],Tasks[[#This Row],[_AlapShift]],WorkWeek,Holidays)))</f>
        <v/>
      </c>
      <c r="FI29" s="91" t="str">
        <f aca="false">IF(NOT(Tasks[[#This Row],[_IsLeaf]]=1),"",IF(Tasks[[#This Row],[_AlapShift]]=0,Tasks[[#This Row],[_LeafFcstStart]],WORKDAY.INTL(Tasks[[#This Row],[_LeafFcstStart]],Tasks[[#This Row],[_AlapShift]],WorkWeek,Holidays)))</f>
        <v/>
      </c>
      <c r="FJ29" s="91" t="str">
        <f aca="false">IF(NOT(Tasks[[#This Row],[_IsLeaf]]=1),"",IF(Tasks[[#This Row],[_AlapShift]]=0,Tasks[[#This Row],[_LeafFcstFinish]],WORKDAY.INTL(Tasks[[#This Row],[_LeafFcstFinish]],Tasks[[#This Row],[_AlapShift]],WorkWeek,Holidays)))</f>
        <v/>
      </c>
      <c r="FK29" s="91" t="str">
        <f aca="false">IF(Tasks[[#This Row],[Task Name]]="","",IF(Tasks[[#This Row],[_IsSummary]],MIN(INDEX(Tasks[_ShownCalcStart],Tasks[[#This Row],[_Row]]+1):INDEX(Tasks[_ShownCalcStart],Tasks[[#This Row],[_Row]]+Tasks[[#This Row],[_Descendants]])),Tasks[[#This Row],[_ShownCalcStart]]))</f>
        <v/>
      </c>
      <c r="FL29" s="91" t="str">
        <f aca="false">IF(Tasks[[#This Row],[Task Name]]="","",IF(Tasks[[#This Row],[_IsSummary]],MAX(INDEX(Tasks[_ShownCalcFinish],Tasks[[#This Row],[_Row]]+1):INDEX(Tasks[_ShownCalcFinish],Tasks[[#This Row],[_Row]]+Tasks[[#This Row],[_Descendants]])),Tasks[[#This Row],[_ShownCalcFinish]]))</f>
        <v/>
      </c>
      <c r="FM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9" s="43" t="n">
        <f aca="false">IF(AND(Tasks[[#This Row],[_IsLeaf]]=1,Tasks[[#This Row],[_LeafTotalWork]]&gt;0),NETWORKDAYS.INTL(ProjectStart,Tasks[[#This Row],[_ShownFcstStart]],WorkWeek,Holidays),0)</f>
        <v>0</v>
      </c>
      <c r="FZ29" s="43" t="n">
        <f aca="false">IF(AND(Tasks[[#This Row],[_IsLeaf]]=1,Tasks[[#This Row],[_LeafTotalWork]]&gt;0),MAX(Tasks[[#This Row],[_StartWorkday]],NETWORKDAYS.INTL(ProjectStart,Tasks[[#This Row],[_ShownFcstFinish]],WorkWeek,Holidays)),0)</f>
        <v>0</v>
      </c>
      <c r="GA29" s="43" t="n">
        <f aca="false">IF(AND(Tasks[[#This Row],[_IsLeaf]]=1,Tasks[[#This Row],[_LeafTotalWork]]&gt;0),Tasks[[#This Row],[_LeafWork]]/(Tasks[[#This Row],[_FinishWorkday]]-Tasks[[#This Row],[_StartWorkday]]+1),0)</f>
        <v>0</v>
      </c>
      <c r="GB29" s="43" t="n">
        <f aca="false">Tasks[[#This Row],[_WorkPerWorkday]]*(Tasks[[#This Row],[_StartWorkday]]-1)</f>
        <v>-0</v>
      </c>
      <c r="GC29" s="43" t="n">
        <f aca="false">IF(Tasks[[#This Row],[_IsLeaf]]=1,MAX(N(Tasks[[#This Row],[_Days]]),0.1),0)</f>
        <v>0</v>
      </c>
      <c r="GD29" s="43" t="n">
        <f aca="false">Tasks[[#This Row],[_WeightDur]]*Tasks[[#This Row],[_LeafProgress]]</f>
        <v>0</v>
      </c>
      <c r="GE29" s="43" t="n">
        <f aca="false">Tasks[[#This Row],[_WeightDur]]*Tasks[[#This Row],[_PlannedPct]]</f>
        <v>0</v>
      </c>
      <c r="GF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3" t="str">
        <f aca="false">IF(AND(Tasks[[#This Row],[_IsLeaf]]=1,N(Tasks[[#This Row],[_Days]])=0,Tasks[[#This Row],[_LeafProgress]]&lt;1),Tasks[[#This Row],[_ShownFcstFinish]]+Tasks[[#This Row],[_Row]]/100000,"")</f>
        <v/>
      </c>
      <c r="GH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9" s="43" t="str">
        <f aca="false">IF(Tasks[[#This Row],[Task Name]]="","",LEFT(Tasks[[#This Row],[WBS]],FIND(".",Tasks[[#This Row],[WBS]]&amp;".")-1))</f>
        <v/>
      </c>
      <c r="GJ29" s="43" t="str">
        <f aca="false">IF(AND(Tasks[[#This Row],[Task Name]]&lt;&gt;"",Tasks[[#This Row],[_Level]]=1),Tasks[[#This Row],[_Row]],"")</f>
        <v/>
      </c>
      <c r="GK29" s="43" t="str">
        <f aca="false">IF(AND(Tasks[[#This Row],[_IsLeaf]]=1,N(Tasks[[#This Row],[_Days]])=0),Tasks[[#This Row],[Planned Finish]]+Tasks[[#This Row],[_Row]]/100000,"")</f>
        <v/>
      </c>
      <c r="GL29" s="43" t="str">
        <f aca="false">IF(AND(Tasks[[#This Row],[_IsLeaf]]=1,Tasks[[#This Row],[_LeafProgress]]&lt;1,OR(N(Tasks[[#This Row],[Finish Var]])&gt;0,Tasks[[#This Row],[Status]]="Late Start")),MAX(0,Tasks[[#This Row],[Finish Var]])+1-Tasks[[#This Row],[_Row]]/1000000,"")</f>
        <v/>
      </c>
      <c r="GM29" s="43" t="str">
        <f aca="false">IF(AND(Tasks[[#This Row],[_IsLeaf]]=1,N(Tasks[[#This Row],[Actual Start]])=0,Tasks[[#This Row],[_ShownFcstStart]]&gt;=StatusDate,Tasks[[#This Row],[_ShownFcstStart]]&lt;=LookaheadEnd),Tasks[[#This Row],[_ShownFcstStart]]+Tasks[[#This Row],[_Row]]/100000,"")</f>
        <v/>
      </c>
      <c r="GN29" s="43" t="str">
        <f aca="false">IF(AND(Tasks[[#This Row],[_IsLeaf]]=1,Tasks[[#This Row],[_LeafProgress]]&lt;1,Tasks[[#This Row],[_ShownFcstFinish]]&gt;=StatusDate,Tasks[[#This Row],[_ShownFcstFinish]]&lt;=LookaheadEnd),Tasks[[#This Row],[_ShownFcstFinish]]+Tasks[[#This Row],[_Row]]/100000,"")</f>
        <v/>
      </c>
      <c r="GO29" s="43" t="str">
        <f aca="false">IF(Tasks[[#This Row],[_LeafCritical]],Tasks[[#This Row],[_ShownFcstStart]]+Tasks[[#This Row],[_Row]]/100000,"")</f>
        <v/>
      </c>
      <c r="GP29" s="43" t="n">
        <f aca="false">Tasks[[#This Row],[_LeafWork]]*Tasks[[#This Row],[_LeafProgress]]</f>
        <v>0</v>
      </c>
      <c r="GQ29" s="91" t="str">
        <f aca="false">IF(AND(Tasks[[#This Row],[_IsLeaf]]=1,Tasks[[#This Row],[_LeafProgress]]&gt;=1),IF(N(Tasks[[#This Row],[Actual Finish]])&gt;0,Tasks[[#This Row],[Actual Finish]],Tasks[[#This Row],[_ShownFcstFinish]]),"")</f>
        <v/>
      </c>
      <c r="GR29" s="43" t="n">
        <f aca="false">IF(Tasks[[#This Row],[_IsLeaf]]=1,N(Tasks[[#This Row],[Story Points]]),0)</f>
        <v>0</v>
      </c>
      <c r="GS29" s="43" t="str">
        <f aca="false">""</f>
        <v/>
      </c>
      <c r="GT29" s="90" t="b">
        <f aca="false">IF(Tasks[[#This Row],[Task Name]]="",FALSE(),AND(Tasks[[#This Row],[_IsLeaf]]=1,N(Tasks[[#This Row],[_Days]])=0))</f>
        <v>0</v>
      </c>
      <c r="GU29" s="91" t="n">
        <f aca="false">IF(Tasks[[#This Row],[Task Name]]="",0,IF(AND(Tasks[[#This Row],[_IsLeaf]]=1,NOT(Tasks[[#This Row],[_IsMilestone]]),N(Tasks[[#This Row],[Progress]])&gt;0),Tasks[[#This Row],[Start]],0))</f>
        <v>0</v>
      </c>
      <c r="GV29" s="91" t="n">
        <f aca="false">IF(Tasks[[#This Row],[_DoneFrom]]=0,0,IF(Tasks[[#This Row],[Progress]]&gt;=1,Tasks[[#This Row],[Finish]],MAX(Tasks[[#This Row],[_DoneFrom]],Tasks[[#This Row],[Start]]+ROUND((Tasks[[#This Row],[Finish]]-Tasks[[#This Row],[Start]]+1)*Tasks[[#This Row],[Progress]],0)-1)))</f>
        <v>0</v>
      </c>
      <c r="GW29" s="91" t="n">
        <f aca="false">IF(Tasks[[#This Row],[Task Name]]="",0,IF(OR(NOT(Tasks[[#This Row],[_IsLeaf]]=1),Tasks[[#This Row],[_IsMilestone]],N(Tasks[[#This Row],[Progress]])&gt;=1),0,IF(Tasks[[#This Row],[_DoneTo]]&gt;0,Tasks[[#This Row],[_DoneTo]]+1,Tasks[[#This Row],[Start]])))</f>
        <v>0</v>
      </c>
      <c r="GX29" s="91" t="n">
        <f aca="false">IF(Tasks[[#This Row],[_RemFrom]]=0,0,Tasks[[#This Row],[Finish]])</f>
        <v>0</v>
      </c>
      <c r="GY29" s="90" t="b">
        <f aca="false">IF(Tasks[[#This Row],[Task Name]]="",FALSE(),OR(NOT(BaselineSet),N(Tasks[[#This Row],[Baseline Start]])&gt;0))</f>
        <v>0</v>
      </c>
      <c r="GZ2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92" t="str">
        <f aca="false">IF(Tasks[[#This Row],[_IsLeaf]]=1,Tasks[[#This Row],[_Row]],"")</f>
        <v/>
      </c>
      <c r="HD29" s="92" t="str">
        <f aca="false">IFERROR(INDEX(Tasks[UID],SMALL(Tasks[_PickKey],Tasks[[#This Row],[_Row]]))&amp;" "&amp;INDEX(Tasks[Task Name],SMALL(Tasks[_PickKey],Tasks[[#This Row],[_Row]])),"")</f>
        <v/>
      </c>
      <c r="HE29" s="43" t="str">
        <f aca="false">IF(Tasks[[#This Row],[Task Name]]="","",IF(Tasks[[#This Row],[_IsSummary]],NETWORKDAYS.INTL(Tasks[[#This Row],[Start]],Tasks[[#This Row],[Finish]],WorkWeek,Holidays),N(Tasks[[#This Row],[_Days]])))</f>
        <v/>
      </c>
      <c r="HF29" s="43" t="n">
        <f aca="false">IF(Tasks[[#This Row],[Expected]]="",0,((Tasks[[#This Row],[Pessimistic]]-Tasks[[#This Row],[Optimistic]])/6)^2)</f>
        <v>0</v>
      </c>
      <c r="HG29" s="43" t="n">
        <f aca="false">IF(Tasks[[#This Row],[Expected]]="",0,Tasks[[#This Row],[Expected]]-N(Tasks[[#This Row],[_Days]]))</f>
        <v>0</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4"/>
      <c r="U30" s="23"/>
      <c r="V30" s="84"/>
      <c r="W30" s="23"/>
      <c r="X30" s="84"/>
      <c r="Y30" s="23"/>
      <c r="Z30" s="84"/>
      <c r="AA30" s="23"/>
      <c r="AB30" s="23"/>
      <c r="AC30" s="7"/>
      <c r="AD30" s="7"/>
      <c r="AE30" s="63" t="str">
        <f aca="false">IF(Tasks[[#This Row],[Task Name]]="","",IF(Tasks[[#This Row],[_IsSummary]],MIN(INDEX(Tasks[_ShownFcstStart],Tasks[[#This Row],[_Row]]+1):INDEX(Tasks[_ShownFcstStart],Tasks[[#This Row],[_Row]]+Tasks[[#This Row],[_Descendants]])),Tasks[[#This Row],[_ShownFcstStart]]))</f>
        <v/>
      </c>
      <c r="AF30" s="63"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0" s="7"/>
      <c r="AK30" s="22"/>
      <c r="AL30" s="23"/>
      <c r="AM30" s="7"/>
      <c r="AN30" s="47"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3" t="str">
        <f aca="false">IF(Tasks[[#This Row],[Task Name]]="","",IF(N(Tasks[[#This Row],[Baseline Start]])&gt;0,Tasks[[#This Row],[Baseline Start]],Tasks[[#This Row],[_CalcStart]]))</f>
        <v/>
      </c>
      <c r="AR30" s="63" t="str">
        <f aca="false">IF(Tasks[[#This Row],[Task Name]]="","",IF(N(Tasks[[#This Row],[Baseline Finish]])&gt;0,Tasks[[#This Row],[Baseline Finish]],Tasks[[#This Row],[_CalcFinish]]))</f>
        <v/>
      </c>
      <c r="AS30" s="47" t="str">
        <f aca="false">IF(Tasks[[#This Row],[Task Name]]="","",IF(Tasks[[#This Row],[Start]]&gt;=Tasks[[#This Row],[Planned Start]],NETWORKDAYS.INTL(Tasks[[#This Row],[Planned Start]],Tasks[[#This Row],[Start]],WorkWeek,Holidays)-1,1-NETWORKDAYS.INTL(Tasks[[#This Row],[Start]],Tasks[[#This Row],[Planned Start]],WorkWeek,Holidays)))</f>
        <v/>
      </c>
      <c r="AT30" s="63" t="str">
        <f aca="false">IF(Tasks[[#This Row],[Task Name]]="","",IF(Tasks[[#This Row],[_IsSummary]],MIN(INDEX(Tasks[_LeafLateStart],Tasks[[#This Row],[_Row]]+1):INDEX(Tasks[_LeafLateStart],Tasks[[#This Row],[_Row]]+Tasks[[#This Row],[_Descendants]])),Tasks[[#This Row],[_LeafLateStart]]))</f>
        <v/>
      </c>
      <c r="AU30" s="63" t="str">
        <f aca="false">IF(Tasks[[#This Row],[Task Name]]="","",IF(Tasks[[#This Row],[_IsSummary]],MAX(INDEX(Tasks[_LeafLateFinish],Tasks[[#This Row],[_Row]]+1):INDEX(Tasks[_LeafLateFinish],Tasks[[#This Row],[_Row]]+Tasks[[#This Row],[_Descendants]])),Tasks[[#This Row],[_LeafLateFinish]]))</f>
        <v/>
      </c>
      <c r="AV30" s="47"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5"/>
      <c r="BA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6"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7"/>
      <c r="BJ30" s="22"/>
      <c r="BK30" s="47" t="str">
        <f aca="false">IF(OR(Tasks[[#This Row],[Task Name]]="",Tasks[[#This Row],[Baseline Duration]]=""),"",Tasks[[#This Row],[_SpanDays]]-N(Tasks[[#This Row],[Baseline Duration]]))</f>
        <v/>
      </c>
      <c r="BL30" s="86" t="str">
        <f aca="false">IF(OR(Tasks[[#This Row],[Task Name]]="",Tasks[[#This Row],[Baseline Work]]=""),"",Tasks[[#This Row],[Work]]-N(Tasks[[#This Row],[Baseline Work]]))</f>
        <v/>
      </c>
      <c r="BM30" s="63" t="str">
        <f aca="false">IF(Tasks[[#This Row],[Task Name]]="","",IF(OR(TakeBaseline="Yes",N(Tasks[[#This Row],[Baseline Start]])=0),Tasks[[#This Row],[Start]],Tasks[[#This Row],[Baseline Start]]))</f>
        <v/>
      </c>
      <c r="BN30" s="63" t="str">
        <f aca="false">IF(Tasks[[#This Row],[Task Name]]="","",IF(OR(TakeBaseline="Yes",N(Tasks[[#This Row],[Baseline Finish]])=0),Tasks[[#This Row],[Finish]],Tasks[[#This Row],[Baseline Finish]]))</f>
        <v/>
      </c>
      <c r="BO30" s="21" t="str">
        <f aca="false">IF(Tasks[[#This Row],[Task Name]]="","",IF(OR(TakeBaseline="Yes",N(Tasks[[#This Row],[Baseline Duration]])=0),Tasks[[#This Row],[_SpanDays]],Tasks[[#This Row],[Baseline Duration]]))</f>
        <v/>
      </c>
      <c r="BP30" s="86" t="str">
        <f aca="false">IF(Tasks[[#This Row],[Task Name]]="","",IF(OR(TakeBaseline="Yes",N(Tasks[[#This Row],[Baseline Work]])=0),Tasks[[#This Row],[Work]],Tasks[[#This Row],[Baseline Work]]))</f>
        <v/>
      </c>
      <c r="BQ30" s="7"/>
      <c r="BR30" s="7"/>
      <c r="BS30" s="22"/>
      <c r="BT30" s="88"/>
      <c r="BU30" s="23"/>
      <c r="BV30" s="23"/>
      <c r="BW30" s="23"/>
      <c r="BX30" s="89" t="str">
        <f aca="false">IF(AND(Tasks[[#This Row],[_IsLeaf]]=1,ISNUMBER(Tasks[[#This Row],[Optimistic]]),ISNUMBER(Tasks[[#This Row],[Pessimistic]])),ROUND((Tasks[[#This Row],[Optimistic]]+4*N(Tasks[[#This Row],[_Days]])+Tasks[[#This Row],[Pessimistic]])/6,1),"")</f>
        <v/>
      </c>
      <c r="BY30" s="87"/>
      <c r="BZ30" s="87"/>
      <c r="CA30" s="22"/>
      <c r="CB30" s="43" t="str">
        <f aca="false">IF(Tasks[[#This Row],[Task Name]]="","",MAX(1,N(Tasks[[#This Row],[Level]])))</f>
        <v/>
      </c>
      <c r="CC30" s="43" t="n">
        <f aca="false">ROW()-ROW(Tasks[[#Headers],[ID]])</f>
        <v>25</v>
      </c>
      <c r="CD30" s="43" t="n">
        <f aca="false">IF(OR(Tasks[[#This Row],[Task Name]]="",Tasks[[#This Row],[_Level]]&lt;=1),0,IFERROR(LOOKUP(2,1/(Tasks[[#Headers],[_Level]]:Tasks[[#This Row],[_Level]]=Tasks[[#This Row],[_Level]]-1),ROW(Tasks[[#Headers],[_Level]]:Tasks[[#This Row],[_Level]])),0))</f>
        <v>0</v>
      </c>
      <c r="CE30" s="43" t="n">
        <f aca="false">IFERROR(N(INDEX(Tasks[_Level],Tasks[[#This Row],[_Row]]+1)),0)</f>
        <v>0</v>
      </c>
      <c r="CF30" s="90" t="b">
        <f aca="false">AND(Tasks[[#This Row],[Task Name]]&lt;&gt;"",Tasks[[#This Row],[_NextLevel]]&gt;Tasks[[#This Row],[_Level]])</f>
        <v>0</v>
      </c>
      <c r="CG30" s="43" t="n">
        <f aca="false">IF(Tasks[[#This Row],[_IsSummary]],COUNTIF(Tasks[WBS],Tasks[[#This Row],[WBS]]&amp;".*"),0)</f>
        <v>0</v>
      </c>
      <c r="CH30" s="43" t="n">
        <f aca="false">IF(AND(Tasks[[#This Row],[Task Name]]&lt;&gt;"",NOT(Tasks[[#This Row],[_IsSummary]])),1,0)</f>
        <v>0</v>
      </c>
      <c r="CI30" s="43" t="n">
        <f aca="false">IF(N(Tasks[[#This Row],[_Pred1UID]])=0,0,IFERROR(MATCH(Tasks[[#This Row],[_Pred1UID]],Tasks[UID],0),-1))</f>
        <v>0</v>
      </c>
      <c r="CJ30" s="43" t="n">
        <f aca="false">IF(N(Tasks[[#This Row],[_Pred2UID]])=0,0,IFERROR(MATCH(Tasks[[#This Row],[_Pred2UID]],Tasks[UID],0),-1))</f>
        <v>0</v>
      </c>
      <c r="CK30" s="43" t="n">
        <f aca="false">IF(N(Tasks[[#This Row],[_Pred3UID]])=0,0,IFERROR(MATCH(Tasks[[#This Row],[_Pred3UID]],Tasks[UID],0),-1))</f>
        <v>0</v>
      </c>
      <c r="CL30" s="43" t="n">
        <f aca="false">IF(N(Tasks[[#This Row],[_Pred4UID]])=0,0,IFERROR(MATCH(Tasks[[#This Row],[_Pred4UID]],Tasks[UID],0),-1))</f>
        <v>0</v>
      </c>
      <c r="CM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0" s="91" t="n">
        <f aca="false">IF(OR(Tasks[[#This Row],[_ConstraintCode]]=2,Tasks[[#This Row],[_ConstraintCode]]=3,Tasks[[#This Row],[_ConstraintCode]]=4,Tasks[[#This Row],[_ConstraintCode]]=6),Tasks[[#This Row],[_ConstraintStart]],0)</f>
        <v>0</v>
      </c>
      <c r="CP30" s="91" t="n">
        <f aca="false">IF(OR(Tasks[[#This Row],[_ConstraintCode]]=2,Tasks[[#This Row],[_ConstraintCode]]=3,Tasks[[#This Row],[_ConstraintCode]]=5,Tasks[[#This Row],[_ConstraintCode]]=7),Tasks[[#This Row],[_ConstraintStart]],2958465)</f>
        <v>2958465</v>
      </c>
      <c r="CQ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91" t="str">
        <f aca="false">IF(NOT(Tasks[[#This Row],[_IsLeaf]]=1),"",IF(N(Tasks[[#This Row],[_Days]])&lt;=0,Tasks[[#This Row],[_LeafCalcStart]],WORKDAY.INTL(Tasks[[#This Row],[_LeafCalcStart]],Tasks[[#This Row],[_Days]]-1,WorkWeek,Holidays)))</f>
        <v/>
      </c>
      <c r="CS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3" t="str">
        <f aca="false">IF(Tasks[[#This Row],[_Predecessors]]="","",TRIM(MID(SUBSTITUTE(SUBSTITUTE(SUBSTITUTE(UPPER(Tasks[[#This Row],[_Predecessors]]),";",",")," ",""),",",REPT(" ",99)),1,99)))</f>
        <v/>
      </c>
      <c r="CV30" s="43" t="str">
        <f aca="false">IF(Tasks[[#This Row],[_Pred1Text]]="","",IFERROR(VALUE(LEFT(Tasks[[#This Row],[_Pred1Text]],MIN(FIND("F",Tasks[[#This Row],[_Pred1Text]]&amp;"F"),FIND("S",Tasks[[#This Row],[_Pred1Text]]&amp;"S"),FIND("+",Tasks[[#This Row],[_Pred1Text]]&amp;"+"),FIND("-",Tasks[[#This Row],[_Pred1Text]]&amp;"-"))-1)),""))</f>
        <v/>
      </c>
      <c r="CW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3" t="str">
        <f aca="false">IF(Tasks[[#This Row],[_Pred1Text]]="","",TRIM(MID(SUBSTITUTE(SUBSTITUTE(SUBSTITUTE(UPPER(Tasks[[#This Row],[_Predecessors]]),";",",")," ",""),",",REPT(" ",99)),100,99)))</f>
        <v/>
      </c>
      <c r="CZ30" s="43" t="str">
        <f aca="false">IF(Tasks[[#This Row],[_Pred2Text]]="","",IFERROR(VALUE(LEFT(Tasks[[#This Row],[_Pred2Text]],MIN(FIND("F",Tasks[[#This Row],[_Pred2Text]]&amp;"F"),FIND("S",Tasks[[#This Row],[_Pred2Text]]&amp;"S"),FIND("+",Tasks[[#This Row],[_Pred2Text]]&amp;"+"),FIND("-",Tasks[[#This Row],[_Pred2Text]]&amp;"-"))-1)),""))</f>
        <v/>
      </c>
      <c r="DA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3" t="str">
        <f aca="false">IF(Tasks[[#This Row],[_Pred2Text]]="","",TRIM(MID(SUBSTITUTE(SUBSTITUTE(SUBSTITUTE(UPPER(Tasks[[#This Row],[_Predecessors]]),";",",")," ",""),",",REPT(" ",99)),199,99)))</f>
        <v/>
      </c>
      <c r="DD30" s="43" t="str">
        <f aca="false">IF(Tasks[[#This Row],[_Pred3Text]]="","",IFERROR(VALUE(LEFT(Tasks[[#This Row],[_Pred3Text]],MIN(FIND("F",Tasks[[#This Row],[_Pred3Text]]&amp;"F"),FIND("S",Tasks[[#This Row],[_Pred3Text]]&amp;"S"),FIND("+",Tasks[[#This Row],[_Pred3Text]]&amp;"+"),FIND("-",Tasks[[#This Row],[_Pred3Text]]&amp;"-"))-1)),""))</f>
        <v/>
      </c>
      <c r="DE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3" t="str">
        <f aca="false">IF(Tasks[[#This Row],[_Pred3Text]]="","",TRIM(MID(SUBSTITUTE(SUBSTITUTE(SUBSTITUTE(UPPER(Tasks[[#This Row],[_Predecessors]]),";",",")," ",""),",",REPT(" ",99)),298,99)))</f>
        <v/>
      </c>
      <c r="DH30" s="43" t="str">
        <f aca="false">IF(Tasks[[#This Row],[_Pred4Text]]="","",IFERROR(VALUE(LEFT(Tasks[[#This Row],[_Pred4Text]],MIN(FIND("F",Tasks[[#This Row],[_Pred4Text]]&amp;"F"),FIND("S",Tasks[[#This Row],[_Pred4Text]]&amp;"S"),FIND("+",Tasks[[#This Row],[_Pred4Text]]&amp;"+"),FIND("-",Tasks[[#This Row],[_Pred4Text]]&amp;"-"))-1)),""))</f>
        <v/>
      </c>
      <c r="DI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3" t="str">
        <f aca="false">IF(OR(Tasks[[#This Row],[Task Name]]="",Tasks[[#This Row],[_Resources]]=""),"",TRIM(MID(SUBSTITUTE(Tasks[[#This Row],[_Resources]],",",REPT(" ",99)),1,99)))</f>
        <v/>
      </c>
      <c r="DL30" s="43" t="str">
        <f aca="false">IF(Tasks[[#This Row],[_Res1Text]]="","",TRIM(MID(SUBSTITUTE(Tasks[[#This Row],[_Resources]],",",REPT(" ",99)),100,99)))</f>
        <v/>
      </c>
      <c r="DM30" s="43" t="str">
        <f aca="false">IF(Tasks[[#This Row],[_Res2Text]]="","",TRIM(MID(SUBSTITUTE(Tasks[[#This Row],[_Resources]],",",REPT(" ",99)),199,99)))</f>
        <v/>
      </c>
      <c r="DN30" s="43" t="str">
        <f aca="false">IF(Tasks[[#This Row],[_Res3Text]]="","",TRIM(MID(SUBSTITUTE(Tasks[[#This Row],[_Resources]],",",REPT(" ",99)),298,99)))</f>
        <v/>
      </c>
      <c r="DO30" s="43" t="n">
        <f aca="false">IF(Tasks[[#This Row],[_Res1Text]]="",0,IFERROR(MATCH(TRIM(LEFT(Tasks[[#This Row],[_Res1Text]],FIND("[",Tasks[[#This Row],[_Res1Text]]&amp;"[")-1)),res_Name,0),IFERROR(MATCH(TRIM(LEFT(Tasks[[#This Row],[_Res1Text]],FIND("[",Tasks[[#This Row],[_Res1Text]]&amp;"[")-1)),res_Initials,0),0)))</f>
        <v>0</v>
      </c>
      <c r="DP30" s="43" t="n">
        <f aca="false">IF(Tasks[[#This Row],[_Res2Text]]="",0,IFERROR(MATCH(TRIM(LEFT(Tasks[[#This Row],[_Res2Text]],FIND("[",Tasks[[#This Row],[_Res2Text]]&amp;"[")-1)),res_Name,0),IFERROR(MATCH(TRIM(LEFT(Tasks[[#This Row],[_Res2Text]],FIND("[",Tasks[[#This Row],[_Res2Text]]&amp;"[")-1)),res_Initials,0),0)))</f>
        <v>0</v>
      </c>
      <c r="DQ30" s="43" t="n">
        <f aca="false">IF(Tasks[[#This Row],[_Res3Text]]="",0,IFERROR(MATCH(TRIM(LEFT(Tasks[[#This Row],[_Res3Text]],FIND("[",Tasks[[#This Row],[_Res3Text]]&amp;"[")-1)),res_Name,0),IFERROR(MATCH(TRIM(LEFT(Tasks[[#This Row],[_Res3Text]],FIND("[",Tasks[[#This Row],[_Res3Text]]&amp;"[")-1)),res_Initials,0),0)))</f>
        <v>0</v>
      </c>
      <c r="DR30" s="43" t="n">
        <f aca="false">IF(Tasks[[#This Row],[_Res4Text]]="",0,IFERROR(MATCH(TRIM(LEFT(Tasks[[#This Row],[_Res4Text]],FIND("[",Tasks[[#This Row],[_Res4Text]]&amp;"[")-1)),res_Name,0),IFERROR(MATCH(TRIM(LEFT(Tasks[[#This Row],[_Res4Text]],FIND("[",Tasks[[#This Row],[_Res4Text]]&amp;"[")-1)),res_Initials,0),0)))</f>
        <v>0</v>
      </c>
      <c r="DS30" s="43" t="str">
        <f aca="false">IF(Tasks[[#This Row],[_Res1Text]]="","",IF(Tasks[[#This Row],[_Res1Row]]&gt;0,INDEX(res_Name,Tasks[[#This Row],[_Res1Row]]),TRIM(LEFT(Tasks[[#This Row],[_Res1Text]],FIND("[",Tasks[[#This Row],[_Res1Text]]&amp;"[")-1))))</f>
        <v/>
      </c>
      <c r="DT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3" t="n">
        <f aca="false">IF(NOT(Tasks[[#This Row],[_IsLeaf]]=1),0,(Tasks[[#This Row],[_Resource1]]&lt;&gt;"")+(Tasks[[#This Row],[_Res2]]&lt;&gt;"")+(Tasks[[#This Row],[_Res3]]&lt;&gt;"")+(Tasks[[#This Row],[_Res4]]&lt;&gt;""))</f>
        <v>0</v>
      </c>
      <c r="DV30" s="43" t="str">
        <f aca="false">IF(Tasks[[#This Row],[_Res2Text]]="","",IF(Tasks[[#This Row],[_Res2Row]]&gt;0,INDEX(res_Name,Tasks[[#This Row],[_Res2Row]]),TRIM(LEFT(Tasks[[#This Row],[_Res2Text]],FIND("[",Tasks[[#This Row],[_Res2Text]]&amp;"[")-1))))</f>
        <v/>
      </c>
      <c r="DW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3" t="n">
        <f aca="false">IF(OR(NOT(Tasks[[#This Row],[_IsLeaf]]=1),Tasks[[#This Row],[_Res2Row]]=0),0,N(Tasks[[#This Row],[_Days]])*HoursPerDay*IF(Tasks[[#This Row],[_Res2Units]]="",DefaultUnits,Tasks[[#This Row],[_Res2Units]]))</f>
        <v>0</v>
      </c>
      <c r="DY30" s="43" t="n">
        <f aca="false">IF(AND(AND(Tasks[[#This Row],[_IsLeaf]]=1,Tasks[[#This Row],[_LeafTotalWork]]&gt;0),Tasks[[#This Row],[_Res2Work]]&gt;0),Tasks[[#This Row],[_Res2Work]]/(Tasks[[#This Row],[_FinishWorkday]]-Tasks[[#This Row],[_StartWorkday]]+1),0)</f>
        <v>0</v>
      </c>
      <c r="DZ30" s="43" t="n">
        <f aca="false">Tasks[[#This Row],[_Res2WorkPerWD]]*MAX(0,Tasks[[#This Row],[_StartWorkday]]-1)</f>
        <v>0</v>
      </c>
      <c r="EA30" s="43" t="n">
        <f aca="false">Tasks[[#This Row],[_Res2Work]]*Tasks[[#This Row],[_LeafProgress]]</f>
        <v>0</v>
      </c>
      <c r="EB30" s="43" t="str">
        <f aca="false">IF(Tasks[[#This Row],[_Res3Text]]="","",IF(Tasks[[#This Row],[_Res3Row]]&gt;0,INDEX(res_Name,Tasks[[#This Row],[_Res3Row]]),TRIM(LEFT(Tasks[[#This Row],[_Res3Text]],FIND("[",Tasks[[#This Row],[_Res3Text]]&amp;"[")-1))))</f>
        <v/>
      </c>
      <c r="EC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3" t="n">
        <f aca="false">IF(OR(NOT(Tasks[[#This Row],[_IsLeaf]]=1),Tasks[[#This Row],[_Res3Row]]=0),0,N(Tasks[[#This Row],[_Days]])*HoursPerDay*IF(Tasks[[#This Row],[_Res3Units]]="",DefaultUnits,Tasks[[#This Row],[_Res3Units]]))</f>
        <v>0</v>
      </c>
      <c r="EE30" s="43" t="n">
        <f aca="false">IF(AND(AND(Tasks[[#This Row],[_IsLeaf]]=1,Tasks[[#This Row],[_LeafTotalWork]]&gt;0),Tasks[[#This Row],[_Res3Work]]&gt;0),Tasks[[#This Row],[_Res3Work]]/(Tasks[[#This Row],[_FinishWorkday]]-Tasks[[#This Row],[_StartWorkday]]+1),0)</f>
        <v>0</v>
      </c>
      <c r="EF30" s="43" t="n">
        <f aca="false">Tasks[[#This Row],[_Res3WorkPerWD]]*MAX(0,Tasks[[#This Row],[_StartWorkday]]-1)</f>
        <v>0</v>
      </c>
      <c r="EG30" s="43" t="n">
        <f aca="false">Tasks[[#This Row],[_Res3Work]]*Tasks[[#This Row],[_LeafProgress]]</f>
        <v>0</v>
      </c>
      <c r="EH30" s="43" t="str">
        <f aca="false">IF(Tasks[[#This Row],[_Res4Text]]="","",IF(Tasks[[#This Row],[_Res4Row]]&gt;0,INDEX(res_Name,Tasks[[#This Row],[_Res4Row]]),TRIM(LEFT(Tasks[[#This Row],[_Res4Text]],FIND("[",Tasks[[#This Row],[_Res4Text]]&amp;"[")-1))))</f>
        <v/>
      </c>
      <c r="EI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3" t="n">
        <f aca="false">IF(OR(NOT(Tasks[[#This Row],[_IsLeaf]]=1),Tasks[[#This Row],[_Res4Row]]=0),0,N(Tasks[[#This Row],[_Days]])*HoursPerDay*IF(Tasks[[#This Row],[_Res4Units]]="",DefaultUnits,Tasks[[#This Row],[_Res4Units]]))</f>
        <v>0</v>
      </c>
      <c r="EK30" s="43" t="n">
        <f aca="false">IF(AND(AND(Tasks[[#This Row],[_IsLeaf]]=1,Tasks[[#This Row],[_LeafTotalWork]]&gt;0),Tasks[[#This Row],[_Res4Work]]&gt;0),Tasks[[#This Row],[_Res4Work]]/(Tasks[[#This Row],[_FinishWorkday]]-Tasks[[#This Row],[_StartWorkday]]+1),0)</f>
        <v>0</v>
      </c>
      <c r="EL30" s="43" t="n">
        <f aca="false">Tasks[[#This Row],[_Res4WorkPerWD]]*MAX(0,Tasks[[#This Row],[_StartWorkday]]-1)</f>
        <v>0</v>
      </c>
      <c r="EM30" s="43" t="n">
        <f aca="false">Tasks[[#This Row],[_Res4Work]]*Tasks[[#This Row],[_LeafProgress]]</f>
        <v>0</v>
      </c>
      <c r="EN30" s="43" t="n">
        <f aca="false">IF(ISNUMBER(Tasks[[#This Row],[% Complete]]),Tasks[[#This Row],[% Complete]],IF(Tasks[[#This Row],[Stage]]="",0,IFERROR(INDEX(stg_Pct,MATCH(Tasks[[#This Row],[Stage]],stg_Name,0)),0)))</f>
        <v>0</v>
      </c>
      <c r="EO30" s="43" t="n">
        <f aca="false">IF(NOT(Tasks[[#This Row],[_IsLeaf]]=1),0,IF(N(Tasks[[#This Row],[Actual Finish]])&gt;0,1,MIN(1,Tasks[[#This Row],[_Pct]])))</f>
        <v>0</v>
      </c>
      <c r="EP30" s="43" t="n">
        <f aca="false">IF(OR(NOT(Tasks[[#This Row],[_IsLeaf]]=1),Tasks[[#This Row],[_Res1Row]]=0),0,N(Tasks[[#This Row],[_Days]])*HoursPerDay*IF(Tasks[[#This Row],[_Units1]]="",DefaultUnits,Tasks[[#This Row],[_Units1]]))</f>
        <v>0</v>
      </c>
      <c r="EQ30" s="43" t="n">
        <f aca="false">Tasks[[#This Row],[_LeafWork]]+Tasks[[#This Row],[_Res2Work]]+Tasks[[#This Row],[_Res3Work]]+Tasks[[#This Row],[_Res4Work]]</f>
        <v>0</v>
      </c>
      <c r="ER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3" t="n">
        <f aca="false">IF(NOT(Tasks[[#This Row],[_IsLeaf]]=1),0,MAX(_xlfn.MAXIFS(Tasks[_Row],Tasks[_Pred1UID],Tasks[[#This Row],[UID]]),_xlfn.MAXIFS(Tasks[_Row],Tasks[_Pred2UID],Tasks[[#This Row],[UID]]),_xlfn.MAXIFS(Tasks[_Row],Tasks[_Pred3UID],Tasks[[#This Row],[UID]]),_xlfn.MAXIFS(Tasks[_Row],Tasks[_Pred4UID],Tasks[[#This Row],[UID]])))</f>
        <v>0</v>
      </c>
      <c r="FA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91" t="str">
        <f aca="false">IF(NOT(Tasks[[#This Row],[_IsLeaf]]=1),"",IF(N(Tasks[[#This Row],[_Days]])&lt;=0,Tasks[[#This Row],[_LeafLateFinish]],WORKDAY.INTL(Tasks[[#This Row],[_LeafLateFinish]],-(Tasks[[#This Row],[_Days]]-1),WorkWeek,Holidays)))</f>
        <v/>
      </c>
      <c r="FD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0" s="90" t="b">
        <f aca="false">AND(Tasks[[#This Row],[_IsLeaf]]=1,Tasks[[#This Row],[_LeafProgress]]&lt;1,N(Tasks[[#This Row],[_LeafTotalSlack]])&lt;=CriticalSlackDays)</f>
        <v>0</v>
      </c>
      <c r="FF30" s="43" t="n">
        <f aca="false">IF(AND(Tasks[[#This Row],[_IsLeaf]]=1,Tasks[[#This Row],[_ConstraintCode]]=1,Tasks[[#This Row],[Mode]]&lt;&gt;"Manual",N(Tasks[[#This Row],[Actual Start]])=0),MAX(0,N(Tasks[[#This Row],[Free Slack]])),0)</f>
        <v>0</v>
      </c>
      <c r="FG30" s="91" t="str">
        <f aca="false">IF(NOT(Tasks[[#This Row],[_IsLeaf]]=1),"",IF(Tasks[[#This Row],[_AlapShift]]=0,Tasks[[#This Row],[_LeafCalcStart]],WORKDAY.INTL(Tasks[[#This Row],[_LeafCalcStart]],Tasks[[#This Row],[_AlapShift]],WorkWeek,Holidays)))</f>
        <v/>
      </c>
      <c r="FH30" s="91" t="str">
        <f aca="false">IF(NOT(Tasks[[#This Row],[_IsLeaf]]=1),"",IF(Tasks[[#This Row],[_AlapShift]]=0,Tasks[[#This Row],[_LeafCalcFinish]],WORKDAY.INTL(Tasks[[#This Row],[_LeafCalcFinish]],Tasks[[#This Row],[_AlapShift]],WorkWeek,Holidays)))</f>
        <v/>
      </c>
      <c r="FI30" s="91" t="str">
        <f aca="false">IF(NOT(Tasks[[#This Row],[_IsLeaf]]=1),"",IF(Tasks[[#This Row],[_AlapShift]]=0,Tasks[[#This Row],[_LeafFcstStart]],WORKDAY.INTL(Tasks[[#This Row],[_LeafFcstStart]],Tasks[[#This Row],[_AlapShift]],WorkWeek,Holidays)))</f>
        <v/>
      </c>
      <c r="FJ30" s="91" t="str">
        <f aca="false">IF(NOT(Tasks[[#This Row],[_IsLeaf]]=1),"",IF(Tasks[[#This Row],[_AlapShift]]=0,Tasks[[#This Row],[_LeafFcstFinish]],WORKDAY.INTL(Tasks[[#This Row],[_LeafFcstFinish]],Tasks[[#This Row],[_AlapShift]],WorkWeek,Holidays)))</f>
        <v/>
      </c>
      <c r="FK30" s="91" t="str">
        <f aca="false">IF(Tasks[[#This Row],[Task Name]]="","",IF(Tasks[[#This Row],[_IsSummary]],MIN(INDEX(Tasks[_ShownCalcStart],Tasks[[#This Row],[_Row]]+1):INDEX(Tasks[_ShownCalcStart],Tasks[[#This Row],[_Row]]+Tasks[[#This Row],[_Descendants]])),Tasks[[#This Row],[_ShownCalcStart]]))</f>
        <v/>
      </c>
      <c r="FL30" s="91" t="str">
        <f aca="false">IF(Tasks[[#This Row],[Task Name]]="","",IF(Tasks[[#This Row],[_IsSummary]],MAX(INDEX(Tasks[_ShownCalcFinish],Tasks[[#This Row],[_Row]]+1):INDEX(Tasks[_ShownCalcFinish],Tasks[[#This Row],[_Row]]+Tasks[[#This Row],[_Descendants]])),Tasks[[#This Row],[_ShownCalcFinish]]))</f>
        <v/>
      </c>
      <c r="FM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0" s="43" t="n">
        <f aca="false">IF(AND(Tasks[[#This Row],[_IsLeaf]]=1,Tasks[[#This Row],[_LeafTotalWork]]&gt;0),NETWORKDAYS.INTL(ProjectStart,Tasks[[#This Row],[_ShownFcstStart]],WorkWeek,Holidays),0)</f>
        <v>0</v>
      </c>
      <c r="FZ30" s="43" t="n">
        <f aca="false">IF(AND(Tasks[[#This Row],[_IsLeaf]]=1,Tasks[[#This Row],[_LeafTotalWork]]&gt;0),MAX(Tasks[[#This Row],[_StartWorkday]],NETWORKDAYS.INTL(ProjectStart,Tasks[[#This Row],[_ShownFcstFinish]],WorkWeek,Holidays)),0)</f>
        <v>0</v>
      </c>
      <c r="GA30" s="43" t="n">
        <f aca="false">IF(AND(Tasks[[#This Row],[_IsLeaf]]=1,Tasks[[#This Row],[_LeafTotalWork]]&gt;0),Tasks[[#This Row],[_LeafWork]]/(Tasks[[#This Row],[_FinishWorkday]]-Tasks[[#This Row],[_StartWorkday]]+1),0)</f>
        <v>0</v>
      </c>
      <c r="GB30" s="43" t="n">
        <f aca="false">Tasks[[#This Row],[_WorkPerWorkday]]*(Tasks[[#This Row],[_StartWorkday]]-1)</f>
        <v>-0</v>
      </c>
      <c r="GC30" s="43" t="n">
        <f aca="false">IF(Tasks[[#This Row],[_IsLeaf]]=1,MAX(N(Tasks[[#This Row],[_Days]]),0.1),0)</f>
        <v>0</v>
      </c>
      <c r="GD30" s="43" t="n">
        <f aca="false">Tasks[[#This Row],[_WeightDur]]*Tasks[[#This Row],[_LeafProgress]]</f>
        <v>0</v>
      </c>
      <c r="GE30" s="43" t="n">
        <f aca="false">Tasks[[#This Row],[_WeightDur]]*Tasks[[#This Row],[_PlannedPct]]</f>
        <v>0</v>
      </c>
      <c r="GF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3" t="str">
        <f aca="false">IF(AND(Tasks[[#This Row],[_IsLeaf]]=1,N(Tasks[[#This Row],[_Days]])=0,Tasks[[#This Row],[_LeafProgress]]&lt;1),Tasks[[#This Row],[_ShownFcstFinish]]+Tasks[[#This Row],[_Row]]/100000,"")</f>
        <v/>
      </c>
      <c r="GH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0" s="43" t="str">
        <f aca="false">IF(Tasks[[#This Row],[Task Name]]="","",LEFT(Tasks[[#This Row],[WBS]],FIND(".",Tasks[[#This Row],[WBS]]&amp;".")-1))</f>
        <v/>
      </c>
      <c r="GJ30" s="43" t="str">
        <f aca="false">IF(AND(Tasks[[#This Row],[Task Name]]&lt;&gt;"",Tasks[[#This Row],[_Level]]=1),Tasks[[#This Row],[_Row]],"")</f>
        <v/>
      </c>
      <c r="GK30" s="43" t="str">
        <f aca="false">IF(AND(Tasks[[#This Row],[_IsLeaf]]=1,N(Tasks[[#This Row],[_Days]])=0),Tasks[[#This Row],[Planned Finish]]+Tasks[[#This Row],[_Row]]/100000,"")</f>
        <v/>
      </c>
      <c r="GL30" s="43" t="str">
        <f aca="false">IF(AND(Tasks[[#This Row],[_IsLeaf]]=1,Tasks[[#This Row],[_LeafProgress]]&lt;1,OR(N(Tasks[[#This Row],[Finish Var]])&gt;0,Tasks[[#This Row],[Status]]="Late Start")),MAX(0,Tasks[[#This Row],[Finish Var]])+1-Tasks[[#This Row],[_Row]]/1000000,"")</f>
        <v/>
      </c>
      <c r="GM30" s="43" t="str">
        <f aca="false">IF(AND(Tasks[[#This Row],[_IsLeaf]]=1,N(Tasks[[#This Row],[Actual Start]])=0,Tasks[[#This Row],[_ShownFcstStart]]&gt;=StatusDate,Tasks[[#This Row],[_ShownFcstStart]]&lt;=LookaheadEnd),Tasks[[#This Row],[_ShownFcstStart]]+Tasks[[#This Row],[_Row]]/100000,"")</f>
        <v/>
      </c>
      <c r="GN30" s="43" t="str">
        <f aca="false">IF(AND(Tasks[[#This Row],[_IsLeaf]]=1,Tasks[[#This Row],[_LeafProgress]]&lt;1,Tasks[[#This Row],[_ShownFcstFinish]]&gt;=StatusDate,Tasks[[#This Row],[_ShownFcstFinish]]&lt;=LookaheadEnd),Tasks[[#This Row],[_ShownFcstFinish]]+Tasks[[#This Row],[_Row]]/100000,"")</f>
        <v/>
      </c>
      <c r="GO30" s="43" t="str">
        <f aca="false">IF(Tasks[[#This Row],[_LeafCritical]],Tasks[[#This Row],[_ShownFcstStart]]+Tasks[[#This Row],[_Row]]/100000,"")</f>
        <v/>
      </c>
      <c r="GP30" s="43" t="n">
        <f aca="false">Tasks[[#This Row],[_LeafWork]]*Tasks[[#This Row],[_LeafProgress]]</f>
        <v>0</v>
      </c>
      <c r="GQ30" s="91" t="str">
        <f aca="false">IF(AND(Tasks[[#This Row],[_IsLeaf]]=1,Tasks[[#This Row],[_LeafProgress]]&gt;=1),IF(N(Tasks[[#This Row],[Actual Finish]])&gt;0,Tasks[[#This Row],[Actual Finish]],Tasks[[#This Row],[_ShownFcstFinish]]),"")</f>
        <v/>
      </c>
      <c r="GR30" s="43" t="n">
        <f aca="false">IF(Tasks[[#This Row],[_IsLeaf]]=1,N(Tasks[[#This Row],[Story Points]]),0)</f>
        <v>0</v>
      </c>
      <c r="GS30" s="43" t="str">
        <f aca="false">""</f>
        <v/>
      </c>
      <c r="GT30" s="90" t="b">
        <f aca="false">IF(Tasks[[#This Row],[Task Name]]="",FALSE(),AND(Tasks[[#This Row],[_IsLeaf]]=1,N(Tasks[[#This Row],[_Days]])=0))</f>
        <v>0</v>
      </c>
      <c r="GU30" s="91" t="n">
        <f aca="false">IF(Tasks[[#This Row],[Task Name]]="",0,IF(AND(Tasks[[#This Row],[_IsLeaf]]=1,NOT(Tasks[[#This Row],[_IsMilestone]]),N(Tasks[[#This Row],[Progress]])&gt;0),Tasks[[#This Row],[Start]],0))</f>
        <v>0</v>
      </c>
      <c r="GV30" s="91" t="n">
        <f aca="false">IF(Tasks[[#This Row],[_DoneFrom]]=0,0,IF(Tasks[[#This Row],[Progress]]&gt;=1,Tasks[[#This Row],[Finish]],MAX(Tasks[[#This Row],[_DoneFrom]],Tasks[[#This Row],[Start]]+ROUND((Tasks[[#This Row],[Finish]]-Tasks[[#This Row],[Start]]+1)*Tasks[[#This Row],[Progress]],0)-1)))</f>
        <v>0</v>
      </c>
      <c r="GW30" s="91" t="n">
        <f aca="false">IF(Tasks[[#This Row],[Task Name]]="",0,IF(OR(NOT(Tasks[[#This Row],[_IsLeaf]]=1),Tasks[[#This Row],[_IsMilestone]],N(Tasks[[#This Row],[Progress]])&gt;=1),0,IF(Tasks[[#This Row],[_DoneTo]]&gt;0,Tasks[[#This Row],[_DoneTo]]+1,Tasks[[#This Row],[Start]])))</f>
        <v>0</v>
      </c>
      <c r="GX30" s="91" t="n">
        <f aca="false">IF(Tasks[[#This Row],[_RemFrom]]=0,0,Tasks[[#This Row],[Finish]])</f>
        <v>0</v>
      </c>
      <c r="GY30" s="90" t="b">
        <f aca="false">IF(Tasks[[#This Row],[Task Name]]="",FALSE(),OR(NOT(BaselineSet),N(Tasks[[#This Row],[Baseline Start]])&gt;0))</f>
        <v>0</v>
      </c>
      <c r="GZ3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92" t="str">
        <f aca="false">IF(Tasks[[#This Row],[_IsLeaf]]=1,Tasks[[#This Row],[_Row]],"")</f>
        <v/>
      </c>
      <c r="HD30" s="92" t="str">
        <f aca="false">IFERROR(INDEX(Tasks[UID],SMALL(Tasks[_PickKey],Tasks[[#This Row],[_Row]]))&amp;" "&amp;INDEX(Tasks[Task Name],SMALL(Tasks[_PickKey],Tasks[[#This Row],[_Row]])),"")</f>
        <v/>
      </c>
      <c r="HE30" s="43" t="str">
        <f aca="false">IF(Tasks[[#This Row],[Task Name]]="","",IF(Tasks[[#This Row],[_IsSummary]],NETWORKDAYS.INTL(Tasks[[#This Row],[Start]],Tasks[[#This Row],[Finish]],WorkWeek,Holidays),N(Tasks[[#This Row],[_Days]])))</f>
        <v/>
      </c>
      <c r="HF30" s="43" t="n">
        <f aca="false">IF(Tasks[[#This Row],[Expected]]="",0,((Tasks[[#This Row],[Pessimistic]]-Tasks[[#This Row],[Optimistic]])/6)^2)</f>
        <v>0</v>
      </c>
      <c r="HG30" s="43" t="n">
        <f aca="false">IF(Tasks[[#This Row],[Expected]]="",0,Tasks[[#This Row],[Expected]]-N(Tasks[[#This Row],[_Days]]))</f>
        <v>0</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4"/>
      <c r="U31" s="23"/>
      <c r="V31" s="84"/>
      <c r="W31" s="23"/>
      <c r="X31" s="84"/>
      <c r="Y31" s="23"/>
      <c r="Z31" s="84"/>
      <c r="AA31" s="23"/>
      <c r="AB31" s="23"/>
      <c r="AC31" s="7"/>
      <c r="AD31" s="7"/>
      <c r="AE31" s="63" t="str">
        <f aca="false">IF(Tasks[[#This Row],[Task Name]]="","",IF(Tasks[[#This Row],[_IsSummary]],MIN(INDEX(Tasks[_ShownFcstStart],Tasks[[#This Row],[_Row]]+1):INDEX(Tasks[_ShownFcstStart],Tasks[[#This Row],[_Row]]+Tasks[[#This Row],[_Descendants]])),Tasks[[#This Row],[_ShownFcstStart]]))</f>
        <v/>
      </c>
      <c r="AF31" s="63"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1" s="7"/>
      <c r="AK31" s="22"/>
      <c r="AL31" s="23"/>
      <c r="AM31" s="7"/>
      <c r="AN31" s="47"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3" t="str">
        <f aca="false">IF(Tasks[[#This Row],[Task Name]]="","",IF(N(Tasks[[#This Row],[Baseline Start]])&gt;0,Tasks[[#This Row],[Baseline Start]],Tasks[[#This Row],[_CalcStart]]))</f>
        <v/>
      </c>
      <c r="AR31" s="63" t="str">
        <f aca="false">IF(Tasks[[#This Row],[Task Name]]="","",IF(N(Tasks[[#This Row],[Baseline Finish]])&gt;0,Tasks[[#This Row],[Baseline Finish]],Tasks[[#This Row],[_CalcFinish]]))</f>
        <v/>
      </c>
      <c r="AS31" s="47" t="str">
        <f aca="false">IF(Tasks[[#This Row],[Task Name]]="","",IF(Tasks[[#This Row],[Start]]&gt;=Tasks[[#This Row],[Planned Start]],NETWORKDAYS.INTL(Tasks[[#This Row],[Planned Start]],Tasks[[#This Row],[Start]],WorkWeek,Holidays)-1,1-NETWORKDAYS.INTL(Tasks[[#This Row],[Start]],Tasks[[#This Row],[Planned Start]],WorkWeek,Holidays)))</f>
        <v/>
      </c>
      <c r="AT31" s="63" t="str">
        <f aca="false">IF(Tasks[[#This Row],[Task Name]]="","",IF(Tasks[[#This Row],[_IsSummary]],MIN(INDEX(Tasks[_LeafLateStart],Tasks[[#This Row],[_Row]]+1):INDEX(Tasks[_LeafLateStart],Tasks[[#This Row],[_Row]]+Tasks[[#This Row],[_Descendants]])),Tasks[[#This Row],[_LeafLateStart]]))</f>
        <v/>
      </c>
      <c r="AU31" s="63" t="str">
        <f aca="false">IF(Tasks[[#This Row],[Task Name]]="","",IF(Tasks[[#This Row],[_IsSummary]],MAX(INDEX(Tasks[_LeafLateFinish],Tasks[[#This Row],[_Row]]+1):INDEX(Tasks[_LeafLateFinish],Tasks[[#This Row],[_Row]]+Tasks[[#This Row],[_Descendants]])),Tasks[[#This Row],[_LeafLateFinish]]))</f>
        <v/>
      </c>
      <c r="AV31" s="47"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5"/>
      <c r="BA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6"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7"/>
      <c r="BJ31" s="22"/>
      <c r="BK31" s="47" t="str">
        <f aca="false">IF(OR(Tasks[[#This Row],[Task Name]]="",Tasks[[#This Row],[Baseline Duration]]=""),"",Tasks[[#This Row],[_SpanDays]]-N(Tasks[[#This Row],[Baseline Duration]]))</f>
        <v/>
      </c>
      <c r="BL31" s="86" t="str">
        <f aca="false">IF(OR(Tasks[[#This Row],[Task Name]]="",Tasks[[#This Row],[Baseline Work]]=""),"",Tasks[[#This Row],[Work]]-N(Tasks[[#This Row],[Baseline Work]]))</f>
        <v/>
      </c>
      <c r="BM31" s="63" t="str">
        <f aca="false">IF(Tasks[[#This Row],[Task Name]]="","",IF(OR(TakeBaseline="Yes",N(Tasks[[#This Row],[Baseline Start]])=0),Tasks[[#This Row],[Start]],Tasks[[#This Row],[Baseline Start]]))</f>
        <v/>
      </c>
      <c r="BN31" s="63" t="str">
        <f aca="false">IF(Tasks[[#This Row],[Task Name]]="","",IF(OR(TakeBaseline="Yes",N(Tasks[[#This Row],[Baseline Finish]])=0),Tasks[[#This Row],[Finish]],Tasks[[#This Row],[Baseline Finish]]))</f>
        <v/>
      </c>
      <c r="BO31" s="21" t="str">
        <f aca="false">IF(Tasks[[#This Row],[Task Name]]="","",IF(OR(TakeBaseline="Yes",N(Tasks[[#This Row],[Baseline Duration]])=0),Tasks[[#This Row],[_SpanDays]],Tasks[[#This Row],[Baseline Duration]]))</f>
        <v/>
      </c>
      <c r="BP31" s="86" t="str">
        <f aca="false">IF(Tasks[[#This Row],[Task Name]]="","",IF(OR(TakeBaseline="Yes",N(Tasks[[#This Row],[Baseline Work]])=0),Tasks[[#This Row],[Work]],Tasks[[#This Row],[Baseline Work]]))</f>
        <v/>
      </c>
      <c r="BQ31" s="7"/>
      <c r="BR31" s="7"/>
      <c r="BS31" s="22"/>
      <c r="BT31" s="88"/>
      <c r="BU31" s="23"/>
      <c r="BV31" s="23"/>
      <c r="BW31" s="23"/>
      <c r="BX31" s="89" t="str">
        <f aca="false">IF(AND(Tasks[[#This Row],[_IsLeaf]]=1,ISNUMBER(Tasks[[#This Row],[Optimistic]]),ISNUMBER(Tasks[[#This Row],[Pessimistic]])),ROUND((Tasks[[#This Row],[Optimistic]]+4*N(Tasks[[#This Row],[_Days]])+Tasks[[#This Row],[Pessimistic]])/6,1),"")</f>
        <v/>
      </c>
      <c r="BY31" s="87"/>
      <c r="BZ31" s="87"/>
      <c r="CA31" s="22"/>
      <c r="CB31" s="43" t="str">
        <f aca="false">IF(Tasks[[#This Row],[Task Name]]="","",MAX(1,N(Tasks[[#This Row],[Level]])))</f>
        <v/>
      </c>
      <c r="CC31" s="43" t="n">
        <f aca="false">ROW()-ROW(Tasks[[#Headers],[ID]])</f>
        <v>26</v>
      </c>
      <c r="CD31" s="43" t="n">
        <f aca="false">IF(OR(Tasks[[#This Row],[Task Name]]="",Tasks[[#This Row],[_Level]]&lt;=1),0,IFERROR(LOOKUP(2,1/(Tasks[[#Headers],[_Level]]:Tasks[[#This Row],[_Level]]=Tasks[[#This Row],[_Level]]-1),ROW(Tasks[[#Headers],[_Level]]:Tasks[[#This Row],[_Level]])),0))</f>
        <v>0</v>
      </c>
      <c r="CE31" s="43" t="n">
        <f aca="false">IFERROR(N(INDEX(Tasks[_Level],Tasks[[#This Row],[_Row]]+1)),0)</f>
        <v>0</v>
      </c>
      <c r="CF31" s="90" t="b">
        <f aca="false">AND(Tasks[[#This Row],[Task Name]]&lt;&gt;"",Tasks[[#This Row],[_NextLevel]]&gt;Tasks[[#This Row],[_Level]])</f>
        <v>0</v>
      </c>
      <c r="CG31" s="43" t="n">
        <f aca="false">IF(Tasks[[#This Row],[_IsSummary]],COUNTIF(Tasks[WBS],Tasks[[#This Row],[WBS]]&amp;".*"),0)</f>
        <v>0</v>
      </c>
      <c r="CH31" s="43" t="n">
        <f aca="false">IF(AND(Tasks[[#This Row],[Task Name]]&lt;&gt;"",NOT(Tasks[[#This Row],[_IsSummary]])),1,0)</f>
        <v>0</v>
      </c>
      <c r="CI31" s="43" t="n">
        <f aca="false">IF(N(Tasks[[#This Row],[_Pred1UID]])=0,0,IFERROR(MATCH(Tasks[[#This Row],[_Pred1UID]],Tasks[UID],0),-1))</f>
        <v>0</v>
      </c>
      <c r="CJ31" s="43" t="n">
        <f aca="false">IF(N(Tasks[[#This Row],[_Pred2UID]])=0,0,IFERROR(MATCH(Tasks[[#This Row],[_Pred2UID]],Tasks[UID],0),-1))</f>
        <v>0</v>
      </c>
      <c r="CK31" s="43" t="n">
        <f aca="false">IF(N(Tasks[[#This Row],[_Pred3UID]])=0,0,IFERROR(MATCH(Tasks[[#This Row],[_Pred3UID]],Tasks[UID],0),-1))</f>
        <v>0</v>
      </c>
      <c r="CL31" s="43" t="n">
        <f aca="false">IF(N(Tasks[[#This Row],[_Pred4UID]])=0,0,IFERROR(MATCH(Tasks[[#This Row],[_Pred4UID]],Tasks[UID],0),-1))</f>
        <v>0</v>
      </c>
      <c r="CM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1" s="91" t="n">
        <f aca="false">IF(OR(Tasks[[#This Row],[_ConstraintCode]]=2,Tasks[[#This Row],[_ConstraintCode]]=3,Tasks[[#This Row],[_ConstraintCode]]=4,Tasks[[#This Row],[_ConstraintCode]]=6),Tasks[[#This Row],[_ConstraintStart]],0)</f>
        <v>0</v>
      </c>
      <c r="CP31" s="91" t="n">
        <f aca="false">IF(OR(Tasks[[#This Row],[_ConstraintCode]]=2,Tasks[[#This Row],[_ConstraintCode]]=3,Tasks[[#This Row],[_ConstraintCode]]=5,Tasks[[#This Row],[_ConstraintCode]]=7),Tasks[[#This Row],[_ConstraintStart]],2958465)</f>
        <v>2958465</v>
      </c>
      <c r="CQ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91" t="str">
        <f aca="false">IF(NOT(Tasks[[#This Row],[_IsLeaf]]=1),"",IF(N(Tasks[[#This Row],[_Days]])&lt;=0,Tasks[[#This Row],[_LeafCalcStart]],WORKDAY.INTL(Tasks[[#This Row],[_LeafCalcStart]],Tasks[[#This Row],[_Days]]-1,WorkWeek,Holidays)))</f>
        <v/>
      </c>
      <c r="CS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3" t="str">
        <f aca="false">IF(Tasks[[#This Row],[_Predecessors]]="","",TRIM(MID(SUBSTITUTE(SUBSTITUTE(SUBSTITUTE(UPPER(Tasks[[#This Row],[_Predecessors]]),";",",")," ",""),",",REPT(" ",99)),1,99)))</f>
        <v/>
      </c>
      <c r="CV31" s="43" t="str">
        <f aca="false">IF(Tasks[[#This Row],[_Pred1Text]]="","",IFERROR(VALUE(LEFT(Tasks[[#This Row],[_Pred1Text]],MIN(FIND("F",Tasks[[#This Row],[_Pred1Text]]&amp;"F"),FIND("S",Tasks[[#This Row],[_Pred1Text]]&amp;"S"),FIND("+",Tasks[[#This Row],[_Pred1Text]]&amp;"+"),FIND("-",Tasks[[#This Row],[_Pred1Text]]&amp;"-"))-1)),""))</f>
        <v/>
      </c>
      <c r="CW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3" t="str">
        <f aca="false">IF(Tasks[[#This Row],[_Pred1Text]]="","",TRIM(MID(SUBSTITUTE(SUBSTITUTE(SUBSTITUTE(UPPER(Tasks[[#This Row],[_Predecessors]]),";",",")," ",""),",",REPT(" ",99)),100,99)))</f>
        <v/>
      </c>
      <c r="CZ31" s="43" t="str">
        <f aca="false">IF(Tasks[[#This Row],[_Pred2Text]]="","",IFERROR(VALUE(LEFT(Tasks[[#This Row],[_Pred2Text]],MIN(FIND("F",Tasks[[#This Row],[_Pred2Text]]&amp;"F"),FIND("S",Tasks[[#This Row],[_Pred2Text]]&amp;"S"),FIND("+",Tasks[[#This Row],[_Pred2Text]]&amp;"+"),FIND("-",Tasks[[#This Row],[_Pred2Text]]&amp;"-"))-1)),""))</f>
        <v/>
      </c>
      <c r="DA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3" t="str">
        <f aca="false">IF(Tasks[[#This Row],[_Pred2Text]]="","",TRIM(MID(SUBSTITUTE(SUBSTITUTE(SUBSTITUTE(UPPER(Tasks[[#This Row],[_Predecessors]]),";",",")," ",""),",",REPT(" ",99)),199,99)))</f>
        <v/>
      </c>
      <c r="DD31" s="43" t="str">
        <f aca="false">IF(Tasks[[#This Row],[_Pred3Text]]="","",IFERROR(VALUE(LEFT(Tasks[[#This Row],[_Pred3Text]],MIN(FIND("F",Tasks[[#This Row],[_Pred3Text]]&amp;"F"),FIND("S",Tasks[[#This Row],[_Pred3Text]]&amp;"S"),FIND("+",Tasks[[#This Row],[_Pred3Text]]&amp;"+"),FIND("-",Tasks[[#This Row],[_Pred3Text]]&amp;"-"))-1)),""))</f>
        <v/>
      </c>
      <c r="DE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3" t="str">
        <f aca="false">IF(Tasks[[#This Row],[_Pred3Text]]="","",TRIM(MID(SUBSTITUTE(SUBSTITUTE(SUBSTITUTE(UPPER(Tasks[[#This Row],[_Predecessors]]),";",",")," ",""),",",REPT(" ",99)),298,99)))</f>
        <v/>
      </c>
      <c r="DH31" s="43" t="str">
        <f aca="false">IF(Tasks[[#This Row],[_Pred4Text]]="","",IFERROR(VALUE(LEFT(Tasks[[#This Row],[_Pred4Text]],MIN(FIND("F",Tasks[[#This Row],[_Pred4Text]]&amp;"F"),FIND("S",Tasks[[#This Row],[_Pred4Text]]&amp;"S"),FIND("+",Tasks[[#This Row],[_Pred4Text]]&amp;"+"),FIND("-",Tasks[[#This Row],[_Pred4Text]]&amp;"-"))-1)),""))</f>
        <v/>
      </c>
      <c r="DI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3" t="str">
        <f aca="false">IF(OR(Tasks[[#This Row],[Task Name]]="",Tasks[[#This Row],[_Resources]]=""),"",TRIM(MID(SUBSTITUTE(Tasks[[#This Row],[_Resources]],",",REPT(" ",99)),1,99)))</f>
        <v/>
      </c>
      <c r="DL31" s="43" t="str">
        <f aca="false">IF(Tasks[[#This Row],[_Res1Text]]="","",TRIM(MID(SUBSTITUTE(Tasks[[#This Row],[_Resources]],",",REPT(" ",99)),100,99)))</f>
        <v/>
      </c>
      <c r="DM31" s="43" t="str">
        <f aca="false">IF(Tasks[[#This Row],[_Res2Text]]="","",TRIM(MID(SUBSTITUTE(Tasks[[#This Row],[_Resources]],",",REPT(" ",99)),199,99)))</f>
        <v/>
      </c>
      <c r="DN31" s="43" t="str">
        <f aca="false">IF(Tasks[[#This Row],[_Res3Text]]="","",TRIM(MID(SUBSTITUTE(Tasks[[#This Row],[_Resources]],",",REPT(" ",99)),298,99)))</f>
        <v/>
      </c>
      <c r="DO31" s="43" t="n">
        <f aca="false">IF(Tasks[[#This Row],[_Res1Text]]="",0,IFERROR(MATCH(TRIM(LEFT(Tasks[[#This Row],[_Res1Text]],FIND("[",Tasks[[#This Row],[_Res1Text]]&amp;"[")-1)),res_Name,0),IFERROR(MATCH(TRIM(LEFT(Tasks[[#This Row],[_Res1Text]],FIND("[",Tasks[[#This Row],[_Res1Text]]&amp;"[")-1)),res_Initials,0),0)))</f>
        <v>0</v>
      </c>
      <c r="DP31" s="43" t="n">
        <f aca="false">IF(Tasks[[#This Row],[_Res2Text]]="",0,IFERROR(MATCH(TRIM(LEFT(Tasks[[#This Row],[_Res2Text]],FIND("[",Tasks[[#This Row],[_Res2Text]]&amp;"[")-1)),res_Name,0),IFERROR(MATCH(TRIM(LEFT(Tasks[[#This Row],[_Res2Text]],FIND("[",Tasks[[#This Row],[_Res2Text]]&amp;"[")-1)),res_Initials,0),0)))</f>
        <v>0</v>
      </c>
      <c r="DQ31" s="43" t="n">
        <f aca="false">IF(Tasks[[#This Row],[_Res3Text]]="",0,IFERROR(MATCH(TRIM(LEFT(Tasks[[#This Row],[_Res3Text]],FIND("[",Tasks[[#This Row],[_Res3Text]]&amp;"[")-1)),res_Name,0),IFERROR(MATCH(TRIM(LEFT(Tasks[[#This Row],[_Res3Text]],FIND("[",Tasks[[#This Row],[_Res3Text]]&amp;"[")-1)),res_Initials,0),0)))</f>
        <v>0</v>
      </c>
      <c r="DR31" s="43" t="n">
        <f aca="false">IF(Tasks[[#This Row],[_Res4Text]]="",0,IFERROR(MATCH(TRIM(LEFT(Tasks[[#This Row],[_Res4Text]],FIND("[",Tasks[[#This Row],[_Res4Text]]&amp;"[")-1)),res_Name,0),IFERROR(MATCH(TRIM(LEFT(Tasks[[#This Row],[_Res4Text]],FIND("[",Tasks[[#This Row],[_Res4Text]]&amp;"[")-1)),res_Initials,0),0)))</f>
        <v>0</v>
      </c>
      <c r="DS31" s="43" t="str">
        <f aca="false">IF(Tasks[[#This Row],[_Res1Text]]="","",IF(Tasks[[#This Row],[_Res1Row]]&gt;0,INDEX(res_Name,Tasks[[#This Row],[_Res1Row]]),TRIM(LEFT(Tasks[[#This Row],[_Res1Text]],FIND("[",Tasks[[#This Row],[_Res1Text]]&amp;"[")-1))))</f>
        <v/>
      </c>
      <c r="DT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3" t="n">
        <f aca="false">IF(NOT(Tasks[[#This Row],[_IsLeaf]]=1),0,(Tasks[[#This Row],[_Resource1]]&lt;&gt;"")+(Tasks[[#This Row],[_Res2]]&lt;&gt;"")+(Tasks[[#This Row],[_Res3]]&lt;&gt;"")+(Tasks[[#This Row],[_Res4]]&lt;&gt;""))</f>
        <v>0</v>
      </c>
      <c r="DV31" s="43" t="str">
        <f aca="false">IF(Tasks[[#This Row],[_Res2Text]]="","",IF(Tasks[[#This Row],[_Res2Row]]&gt;0,INDEX(res_Name,Tasks[[#This Row],[_Res2Row]]),TRIM(LEFT(Tasks[[#This Row],[_Res2Text]],FIND("[",Tasks[[#This Row],[_Res2Text]]&amp;"[")-1))))</f>
        <v/>
      </c>
      <c r="DW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3" t="n">
        <f aca="false">IF(OR(NOT(Tasks[[#This Row],[_IsLeaf]]=1),Tasks[[#This Row],[_Res2Row]]=0),0,N(Tasks[[#This Row],[_Days]])*HoursPerDay*IF(Tasks[[#This Row],[_Res2Units]]="",DefaultUnits,Tasks[[#This Row],[_Res2Units]]))</f>
        <v>0</v>
      </c>
      <c r="DY31" s="43" t="n">
        <f aca="false">IF(AND(AND(Tasks[[#This Row],[_IsLeaf]]=1,Tasks[[#This Row],[_LeafTotalWork]]&gt;0),Tasks[[#This Row],[_Res2Work]]&gt;0),Tasks[[#This Row],[_Res2Work]]/(Tasks[[#This Row],[_FinishWorkday]]-Tasks[[#This Row],[_StartWorkday]]+1),0)</f>
        <v>0</v>
      </c>
      <c r="DZ31" s="43" t="n">
        <f aca="false">Tasks[[#This Row],[_Res2WorkPerWD]]*MAX(0,Tasks[[#This Row],[_StartWorkday]]-1)</f>
        <v>0</v>
      </c>
      <c r="EA31" s="43" t="n">
        <f aca="false">Tasks[[#This Row],[_Res2Work]]*Tasks[[#This Row],[_LeafProgress]]</f>
        <v>0</v>
      </c>
      <c r="EB31" s="43" t="str">
        <f aca="false">IF(Tasks[[#This Row],[_Res3Text]]="","",IF(Tasks[[#This Row],[_Res3Row]]&gt;0,INDEX(res_Name,Tasks[[#This Row],[_Res3Row]]),TRIM(LEFT(Tasks[[#This Row],[_Res3Text]],FIND("[",Tasks[[#This Row],[_Res3Text]]&amp;"[")-1))))</f>
        <v/>
      </c>
      <c r="EC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3" t="n">
        <f aca="false">IF(OR(NOT(Tasks[[#This Row],[_IsLeaf]]=1),Tasks[[#This Row],[_Res3Row]]=0),0,N(Tasks[[#This Row],[_Days]])*HoursPerDay*IF(Tasks[[#This Row],[_Res3Units]]="",DefaultUnits,Tasks[[#This Row],[_Res3Units]]))</f>
        <v>0</v>
      </c>
      <c r="EE31" s="43" t="n">
        <f aca="false">IF(AND(AND(Tasks[[#This Row],[_IsLeaf]]=1,Tasks[[#This Row],[_LeafTotalWork]]&gt;0),Tasks[[#This Row],[_Res3Work]]&gt;0),Tasks[[#This Row],[_Res3Work]]/(Tasks[[#This Row],[_FinishWorkday]]-Tasks[[#This Row],[_StartWorkday]]+1),0)</f>
        <v>0</v>
      </c>
      <c r="EF31" s="43" t="n">
        <f aca="false">Tasks[[#This Row],[_Res3WorkPerWD]]*MAX(0,Tasks[[#This Row],[_StartWorkday]]-1)</f>
        <v>0</v>
      </c>
      <c r="EG31" s="43" t="n">
        <f aca="false">Tasks[[#This Row],[_Res3Work]]*Tasks[[#This Row],[_LeafProgress]]</f>
        <v>0</v>
      </c>
      <c r="EH31" s="43" t="str">
        <f aca="false">IF(Tasks[[#This Row],[_Res4Text]]="","",IF(Tasks[[#This Row],[_Res4Row]]&gt;0,INDEX(res_Name,Tasks[[#This Row],[_Res4Row]]),TRIM(LEFT(Tasks[[#This Row],[_Res4Text]],FIND("[",Tasks[[#This Row],[_Res4Text]]&amp;"[")-1))))</f>
        <v/>
      </c>
      <c r="EI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3" t="n">
        <f aca="false">IF(OR(NOT(Tasks[[#This Row],[_IsLeaf]]=1),Tasks[[#This Row],[_Res4Row]]=0),0,N(Tasks[[#This Row],[_Days]])*HoursPerDay*IF(Tasks[[#This Row],[_Res4Units]]="",DefaultUnits,Tasks[[#This Row],[_Res4Units]]))</f>
        <v>0</v>
      </c>
      <c r="EK31" s="43" t="n">
        <f aca="false">IF(AND(AND(Tasks[[#This Row],[_IsLeaf]]=1,Tasks[[#This Row],[_LeafTotalWork]]&gt;0),Tasks[[#This Row],[_Res4Work]]&gt;0),Tasks[[#This Row],[_Res4Work]]/(Tasks[[#This Row],[_FinishWorkday]]-Tasks[[#This Row],[_StartWorkday]]+1),0)</f>
        <v>0</v>
      </c>
      <c r="EL31" s="43" t="n">
        <f aca="false">Tasks[[#This Row],[_Res4WorkPerWD]]*MAX(0,Tasks[[#This Row],[_StartWorkday]]-1)</f>
        <v>0</v>
      </c>
      <c r="EM31" s="43" t="n">
        <f aca="false">Tasks[[#This Row],[_Res4Work]]*Tasks[[#This Row],[_LeafProgress]]</f>
        <v>0</v>
      </c>
      <c r="EN31" s="43" t="n">
        <f aca="false">IF(ISNUMBER(Tasks[[#This Row],[% Complete]]),Tasks[[#This Row],[% Complete]],IF(Tasks[[#This Row],[Stage]]="",0,IFERROR(INDEX(stg_Pct,MATCH(Tasks[[#This Row],[Stage]],stg_Name,0)),0)))</f>
        <v>0</v>
      </c>
      <c r="EO31" s="43" t="n">
        <f aca="false">IF(NOT(Tasks[[#This Row],[_IsLeaf]]=1),0,IF(N(Tasks[[#This Row],[Actual Finish]])&gt;0,1,MIN(1,Tasks[[#This Row],[_Pct]])))</f>
        <v>0</v>
      </c>
      <c r="EP31" s="43" t="n">
        <f aca="false">IF(OR(NOT(Tasks[[#This Row],[_IsLeaf]]=1),Tasks[[#This Row],[_Res1Row]]=0),0,N(Tasks[[#This Row],[_Days]])*HoursPerDay*IF(Tasks[[#This Row],[_Units1]]="",DefaultUnits,Tasks[[#This Row],[_Units1]]))</f>
        <v>0</v>
      </c>
      <c r="EQ31" s="43" t="n">
        <f aca="false">Tasks[[#This Row],[_LeafWork]]+Tasks[[#This Row],[_Res2Work]]+Tasks[[#This Row],[_Res3Work]]+Tasks[[#This Row],[_Res4Work]]</f>
        <v>0</v>
      </c>
      <c r="ER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3" t="n">
        <f aca="false">IF(NOT(Tasks[[#This Row],[_IsLeaf]]=1),0,MAX(_xlfn.MAXIFS(Tasks[_Row],Tasks[_Pred1UID],Tasks[[#This Row],[UID]]),_xlfn.MAXIFS(Tasks[_Row],Tasks[_Pred2UID],Tasks[[#This Row],[UID]]),_xlfn.MAXIFS(Tasks[_Row],Tasks[_Pred3UID],Tasks[[#This Row],[UID]]),_xlfn.MAXIFS(Tasks[_Row],Tasks[_Pred4UID],Tasks[[#This Row],[UID]])))</f>
        <v>0</v>
      </c>
      <c r="FA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91" t="str">
        <f aca="false">IF(NOT(Tasks[[#This Row],[_IsLeaf]]=1),"",IF(N(Tasks[[#This Row],[_Days]])&lt;=0,Tasks[[#This Row],[_LeafLateFinish]],WORKDAY.INTL(Tasks[[#This Row],[_LeafLateFinish]],-(Tasks[[#This Row],[_Days]]-1),WorkWeek,Holidays)))</f>
        <v/>
      </c>
      <c r="FD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1" s="90" t="b">
        <f aca="false">AND(Tasks[[#This Row],[_IsLeaf]]=1,Tasks[[#This Row],[_LeafProgress]]&lt;1,N(Tasks[[#This Row],[_LeafTotalSlack]])&lt;=CriticalSlackDays)</f>
        <v>0</v>
      </c>
      <c r="FF31" s="43" t="n">
        <f aca="false">IF(AND(Tasks[[#This Row],[_IsLeaf]]=1,Tasks[[#This Row],[_ConstraintCode]]=1,Tasks[[#This Row],[Mode]]&lt;&gt;"Manual",N(Tasks[[#This Row],[Actual Start]])=0),MAX(0,N(Tasks[[#This Row],[Free Slack]])),0)</f>
        <v>0</v>
      </c>
      <c r="FG31" s="91" t="str">
        <f aca="false">IF(NOT(Tasks[[#This Row],[_IsLeaf]]=1),"",IF(Tasks[[#This Row],[_AlapShift]]=0,Tasks[[#This Row],[_LeafCalcStart]],WORKDAY.INTL(Tasks[[#This Row],[_LeafCalcStart]],Tasks[[#This Row],[_AlapShift]],WorkWeek,Holidays)))</f>
        <v/>
      </c>
      <c r="FH31" s="91" t="str">
        <f aca="false">IF(NOT(Tasks[[#This Row],[_IsLeaf]]=1),"",IF(Tasks[[#This Row],[_AlapShift]]=0,Tasks[[#This Row],[_LeafCalcFinish]],WORKDAY.INTL(Tasks[[#This Row],[_LeafCalcFinish]],Tasks[[#This Row],[_AlapShift]],WorkWeek,Holidays)))</f>
        <v/>
      </c>
      <c r="FI31" s="91" t="str">
        <f aca="false">IF(NOT(Tasks[[#This Row],[_IsLeaf]]=1),"",IF(Tasks[[#This Row],[_AlapShift]]=0,Tasks[[#This Row],[_LeafFcstStart]],WORKDAY.INTL(Tasks[[#This Row],[_LeafFcstStart]],Tasks[[#This Row],[_AlapShift]],WorkWeek,Holidays)))</f>
        <v/>
      </c>
      <c r="FJ31" s="91" t="str">
        <f aca="false">IF(NOT(Tasks[[#This Row],[_IsLeaf]]=1),"",IF(Tasks[[#This Row],[_AlapShift]]=0,Tasks[[#This Row],[_LeafFcstFinish]],WORKDAY.INTL(Tasks[[#This Row],[_LeafFcstFinish]],Tasks[[#This Row],[_AlapShift]],WorkWeek,Holidays)))</f>
        <v/>
      </c>
      <c r="FK31" s="91" t="str">
        <f aca="false">IF(Tasks[[#This Row],[Task Name]]="","",IF(Tasks[[#This Row],[_IsSummary]],MIN(INDEX(Tasks[_ShownCalcStart],Tasks[[#This Row],[_Row]]+1):INDEX(Tasks[_ShownCalcStart],Tasks[[#This Row],[_Row]]+Tasks[[#This Row],[_Descendants]])),Tasks[[#This Row],[_ShownCalcStart]]))</f>
        <v/>
      </c>
      <c r="FL31" s="91" t="str">
        <f aca="false">IF(Tasks[[#This Row],[Task Name]]="","",IF(Tasks[[#This Row],[_IsSummary]],MAX(INDEX(Tasks[_ShownCalcFinish],Tasks[[#This Row],[_Row]]+1):INDEX(Tasks[_ShownCalcFinish],Tasks[[#This Row],[_Row]]+Tasks[[#This Row],[_Descendants]])),Tasks[[#This Row],[_ShownCalcFinish]]))</f>
        <v/>
      </c>
      <c r="FM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1" s="43" t="n">
        <f aca="false">IF(AND(Tasks[[#This Row],[_IsLeaf]]=1,Tasks[[#This Row],[_LeafTotalWork]]&gt;0),NETWORKDAYS.INTL(ProjectStart,Tasks[[#This Row],[_ShownFcstStart]],WorkWeek,Holidays),0)</f>
        <v>0</v>
      </c>
      <c r="FZ31" s="43" t="n">
        <f aca="false">IF(AND(Tasks[[#This Row],[_IsLeaf]]=1,Tasks[[#This Row],[_LeafTotalWork]]&gt;0),MAX(Tasks[[#This Row],[_StartWorkday]],NETWORKDAYS.INTL(ProjectStart,Tasks[[#This Row],[_ShownFcstFinish]],WorkWeek,Holidays)),0)</f>
        <v>0</v>
      </c>
      <c r="GA31" s="43" t="n">
        <f aca="false">IF(AND(Tasks[[#This Row],[_IsLeaf]]=1,Tasks[[#This Row],[_LeafTotalWork]]&gt;0),Tasks[[#This Row],[_LeafWork]]/(Tasks[[#This Row],[_FinishWorkday]]-Tasks[[#This Row],[_StartWorkday]]+1),0)</f>
        <v>0</v>
      </c>
      <c r="GB31" s="43" t="n">
        <f aca="false">Tasks[[#This Row],[_WorkPerWorkday]]*(Tasks[[#This Row],[_StartWorkday]]-1)</f>
        <v>-0</v>
      </c>
      <c r="GC31" s="43" t="n">
        <f aca="false">IF(Tasks[[#This Row],[_IsLeaf]]=1,MAX(N(Tasks[[#This Row],[_Days]]),0.1),0)</f>
        <v>0</v>
      </c>
      <c r="GD31" s="43" t="n">
        <f aca="false">Tasks[[#This Row],[_WeightDur]]*Tasks[[#This Row],[_LeafProgress]]</f>
        <v>0</v>
      </c>
      <c r="GE31" s="43" t="n">
        <f aca="false">Tasks[[#This Row],[_WeightDur]]*Tasks[[#This Row],[_PlannedPct]]</f>
        <v>0</v>
      </c>
      <c r="GF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3" t="str">
        <f aca="false">IF(AND(Tasks[[#This Row],[_IsLeaf]]=1,N(Tasks[[#This Row],[_Days]])=0,Tasks[[#This Row],[_LeafProgress]]&lt;1),Tasks[[#This Row],[_ShownFcstFinish]]+Tasks[[#This Row],[_Row]]/100000,"")</f>
        <v/>
      </c>
      <c r="GH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1" s="43" t="str">
        <f aca="false">IF(Tasks[[#This Row],[Task Name]]="","",LEFT(Tasks[[#This Row],[WBS]],FIND(".",Tasks[[#This Row],[WBS]]&amp;".")-1))</f>
        <v/>
      </c>
      <c r="GJ31" s="43" t="str">
        <f aca="false">IF(AND(Tasks[[#This Row],[Task Name]]&lt;&gt;"",Tasks[[#This Row],[_Level]]=1),Tasks[[#This Row],[_Row]],"")</f>
        <v/>
      </c>
      <c r="GK31" s="43" t="str">
        <f aca="false">IF(AND(Tasks[[#This Row],[_IsLeaf]]=1,N(Tasks[[#This Row],[_Days]])=0),Tasks[[#This Row],[Planned Finish]]+Tasks[[#This Row],[_Row]]/100000,"")</f>
        <v/>
      </c>
      <c r="GL31" s="43" t="str">
        <f aca="false">IF(AND(Tasks[[#This Row],[_IsLeaf]]=1,Tasks[[#This Row],[_LeafProgress]]&lt;1,OR(N(Tasks[[#This Row],[Finish Var]])&gt;0,Tasks[[#This Row],[Status]]="Late Start")),MAX(0,Tasks[[#This Row],[Finish Var]])+1-Tasks[[#This Row],[_Row]]/1000000,"")</f>
        <v/>
      </c>
      <c r="GM31" s="43" t="str">
        <f aca="false">IF(AND(Tasks[[#This Row],[_IsLeaf]]=1,N(Tasks[[#This Row],[Actual Start]])=0,Tasks[[#This Row],[_ShownFcstStart]]&gt;=StatusDate,Tasks[[#This Row],[_ShownFcstStart]]&lt;=LookaheadEnd),Tasks[[#This Row],[_ShownFcstStart]]+Tasks[[#This Row],[_Row]]/100000,"")</f>
        <v/>
      </c>
      <c r="GN31" s="43" t="str">
        <f aca="false">IF(AND(Tasks[[#This Row],[_IsLeaf]]=1,Tasks[[#This Row],[_LeafProgress]]&lt;1,Tasks[[#This Row],[_ShownFcstFinish]]&gt;=StatusDate,Tasks[[#This Row],[_ShownFcstFinish]]&lt;=LookaheadEnd),Tasks[[#This Row],[_ShownFcstFinish]]+Tasks[[#This Row],[_Row]]/100000,"")</f>
        <v/>
      </c>
      <c r="GO31" s="43" t="str">
        <f aca="false">IF(Tasks[[#This Row],[_LeafCritical]],Tasks[[#This Row],[_ShownFcstStart]]+Tasks[[#This Row],[_Row]]/100000,"")</f>
        <v/>
      </c>
      <c r="GP31" s="43" t="n">
        <f aca="false">Tasks[[#This Row],[_LeafWork]]*Tasks[[#This Row],[_LeafProgress]]</f>
        <v>0</v>
      </c>
      <c r="GQ31" s="91" t="str">
        <f aca="false">IF(AND(Tasks[[#This Row],[_IsLeaf]]=1,Tasks[[#This Row],[_LeafProgress]]&gt;=1),IF(N(Tasks[[#This Row],[Actual Finish]])&gt;0,Tasks[[#This Row],[Actual Finish]],Tasks[[#This Row],[_ShownFcstFinish]]),"")</f>
        <v/>
      </c>
      <c r="GR31" s="43" t="n">
        <f aca="false">IF(Tasks[[#This Row],[_IsLeaf]]=1,N(Tasks[[#This Row],[Story Points]]),0)</f>
        <v>0</v>
      </c>
      <c r="GS31" s="43" t="str">
        <f aca="false">""</f>
        <v/>
      </c>
      <c r="GT31" s="90" t="b">
        <f aca="false">IF(Tasks[[#This Row],[Task Name]]="",FALSE(),AND(Tasks[[#This Row],[_IsLeaf]]=1,N(Tasks[[#This Row],[_Days]])=0))</f>
        <v>0</v>
      </c>
      <c r="GU31" s="91" t="n">
        <f aca="false">IF(Tasks[[#This Row],[Task Name]]="",0,IF(AND(Tasks[[#This Row],[_IsLeaf]]=1,NOT(Tasks[[#This Row],[_IsMilestone]]),N(Tasks[[#This Row],[Progress]])&gt;0),Tasks[[#This Row],[Start]],0))</f>
        <v>0</v>
      </c>
      <c r="GV31" s="91" t="n">
        <f aca="false">IF(Tasks[[#This Row],[_DoneFrom]]=0,0,IF(Tasks[[#This Row],[Progress]]&gt;=1,Tasks[[#This Row],[Finish]],MAX(Tasks[[#This Row],[_DoneFrom]],Tasks[[#This Row],[Start]]+ROUND((Tasks[[#This Row],[Finish]]-Tasks[[#This Row],[Start]]+1)*Tasks[[#This Row],[Progress]],0)-1)))</f>
        <v>0</v>
      </c>
      <c r="GW31" s="91" t="n">
        <f aca="false">IF(Tasks[[#This Row],[Task Name]]="",0,IF(OR(NOT(Tasks[[#This Row],[_IsLeaf]]=1),Tasks[[#This Row],[_IsMilestone]],N(Tasks[[#This Row],[Progress]])&gt;=1),0,IF(Tasks[[#This Row],[_DoneTo]]&gt;0,Tasks[[#This Row],[_DoneTo]]+1,Tasks[[#This Row],[Start]])))</f>
        <v>0</v>
      </c>
      <c r="GX31" s="91" t="n">
        <f aca="false">IF(Tasks[[#This Row],[_RemFrom]]=0,0,Tasks[[#This Row],[Finish]])</f>
        <v>0</v>
      </c>
      <c r="GY31" s="90" t="b">
        <f aca="false">IF(Tasks[[#This Row],[Task Name]]="",FALSE(),OR(NOT(BaselineSet),N(Tasks[[#This Row],[Baseline Start]])&gt;0))</f>
        <v>0</v>
      </c>
      <c r="GZ3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92" t="str">
        <f aca="false">IF(Tasks[[#This Row],[_IsLeaf]]=1,Tasks[[#This Row],[_Row]],"")</f>
        <v/>
      </c>
      <c r="HD31" s="92" t="str">
        <f aca="false">IFERROR(INDEX(Tasks[UID],SMALL(Tasks[_PickKey],Tasks[[#This Row],[_Row]]))&amp;" "&amp;INDEX(Tasks[Task Name],SMALL(Tasks[_PickKey],Tasks[[#This Row],[_Row]])),"")</f>
        <v/>
      </c>
      <c r="HE31" s="43" t="str">
        <f aca="false">IF(Tasks[[#This Row],[Task Name]]="","",IF(Tasks[[#This Row],[_IsSummary]],NETWORKDAYS.INTL(Tasks[[#This Row],[Start]],Tasks[[#This Row],[Finish]],WorkWeek,Holidays),N(Tasks[[#This Row],[_Days]])))</f>
        <v/>
      </c>
      <c r="HF31" s="43" t="n">
        <f aca="false">IF(Tasks[[#This Row],[Expected]]="",0,((Tasks[[#This Row],[Pessimistic]]-Tasks[[#This Row],[Optimistic]])/6)^2)</f>
        <v>0</v>
      </c>
      <c r="HG31" s="43" t="n">
        <f aca="false">IF(Tasks[[#This Row],[Expected]]="",0,Tasks[[#This Row],[Expected]]-N(Tasks[[#This Row],[_Days]]))</f>
        <v>0</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4"/>
      <c r="U32" s="23"/>
      <c r="V32" s="84"/>
      <c r="W32" s="23"/>
      <c r="X32" s="84"/>
      <c r="Y32" s="23"/>
      <c r="Z32" s="84"/>
      <c r="AA32" s="23"/>
      <c r="AB32" s="23"/>
      <c r="AC32" s="7"/>
      <c r="AD32" s="7"/>
      <c r="AE32" s="63" t="str">
        <f aca="false">IF(Tasks[[#This Row],[Task Name]]="","",IF(Tasks[[#This Row],[_IsSummary]],MIN(INDEX(Tasks[_ShownFcstStart],Tasks[[#This Row],[_Row]]+1):INDEX(Tasks[_ShownFcstStart],Tasks[[#This Row],[_Row]]+Tasks[[#This Row],[_Descendants]])),Tasks[[#This Row],[_ShownFcstStart]]))</f>
        <v/>
      </c>
      <c r="AF32" s="63"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2" s="7"/>
      <c r="AK32" s="22"/>
      <c r="AL32" s="23"/>
      <c r="AM32" s="7"/>
      <c r="AN32" s="47"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3" t="str">
        <f aca="false">IF(Tasks[[#This Row],[Task Name]]="","",IF(N(Tasks[[#This Row],[Baseline Start]])&gt;0,Tasks[[#This Row],[Baseline Start]],Tasks[[#This Row],[_CalcStart]]))</f>
        <v/>
      </c>
      <c r="AR32" s="63" t="str">
        <f aca="false">IF(Tasks[[#This Row],[Task Name]]="","",IF(N(Tasks[[#This Row],[Baseline Finish]])&gt;0,Tasks[[#This Row],[Baseline Finish]],Tasks[[#This Row],[_CalcFinish]]))</f>
        <v/>
      </c>
      <c r="AS32" s="47" t="str">
        <f aca="false">IF(Tasks[[#This Row],[Task Name]]="","",IF(Tasks[[#This Row],[Start]]&gt;=Tasks[[#This Row],[Planned Start]],NETWORKDAYS.INTL(Tasks[[#This Row],[Planned Start]],Tasks[[#This Row],[Start]],WorkWeek,Holidays)-1,1-NETWORKDAYS.INTL(Tasks[[#This Row],[Start]],Tasks[[#This Row],[Planned Start]],WorkWeek,Holidays)))</f>
        <v/>
      </c>
      <c r="AT32" s="63" t="str">
        <f aca="false">IF(Tasks[[#This Row],[Task Name]]="","",IF(Tasks[[#This Row],[_IsSummary]],MIN(INDEX(Tasks[_LeafLateStart],Tasks[[#This Row],[_Row]]+1):INDEX(Tasks[_LeafLateStart],Tasks[[#This Row],[_Row]]+Tasks[[#This Row],[_Descendants]])),Tasks[[#This Row],[_LeafLateStart]]))</f>
        <v/>
      </c>
      <c r="AU32" s="63" t="str">
        <f aca="false">IF(Tasks[[#This Row],[Task Name]]="","",IF(Tasks[[#This Row],[_IsSummary]],MAX(INDEX(Tasks[_LeafLateFinish],Tasks[[#This Row],[_Row]]+1):INDEX(Tasks[_LeafLateFinish],Tasks[[#This Row],[_Row]]+Tasks[[#This Row],[_Descendants]])),Tasks[[#This Row],[_LeafLateFinish]]))</f>
        <v/>
      </c>
      <c r="AV32" s="47"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5"/>
      <c r="BA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6"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7"/>
      <c r="BJ32" s="22"/>
      <c r="BK32" s="47" t="str">
        <f aca="false">IF(OR(Tasks[[#This Row],[Task Name]]="",Tasks[[#This Row],[Baseline Duration]]=""),"",Tasks[[#This Row],[_SpanDays]]-N(Tasks[[#This Row],[Baseline Duration]]))</f>
        <v/>
      </c>
      <c r="BL32" s="86" t="str">
        <f aca="false">IF(OR(Tasks[[#This Row],[Task Name]]="",Tasks[[#This Row],[Baseline Work]]=""),"",Tasks[[#This Row],[Work]]-N(Tasks[[#This Row],[Baseline Work]]))</f>
        <v/>
      </c>
      <c r="BM32" s="63" t="str">
        <f aca="false">IF(Tasks[[#This Row],[Task Name]]="","",IF(OR(TakeBaseline="Yes",N(Tasks[[#This Row],[Baseline Start]])=0),Tasks[[#This Row],[Start]],Tasks[[#This Row],[Baseline Start]]))</f>
        <v/>
      </c>
      <c r="BN32" s="63" t="str">
        <f aca="false">IF(Tasks[[#This Row],[Task Name]]="","",IF(OR(TakeBaseline="Yes",N(Tasks[[#This Row],[Baseline Finish]])=0),Tasks[[#This Row],[Finish]],Tasks[[#This Row],[Baseline Finish]]))</f>
        <v/>
      </c>
      <c r="BO32" s="21" t="str">
        <f aca="false">IF(Tasks[[#This Row],[Task Name]]="","",IF(OR(TakeBaseline="Yes",N(Tasks[[#This Row],[Baseline Duration]])=0),Tasks[[#This Row],[_SpanDays]],Tasks[[#This Row],[Baseline Duration]]))</f>
        <v/>
      </c>
      <c r="BP32" s="86" t="str">
        <f aca="false">IF(Tasks[[#This Row],[Task Name]]="","",IF(OR(TakeBaseline="Yes",N(Tasks[[#This Row],[Baseline Work]])=0),Tasks[[#This Row],[Work]],Tasks[[#This Row],[Baseline Work]]))</f>
        <v/>
      </c>
      <c r="BQ32" s="7"/>
      <c r="BR32" s="7"/>
      <c r="BS32" s="22"/>
      <c r="BT32" s="88"/>
      <c r="BU32" s="23"/>
      <c r="BV32" s="23"/>
      <c r="BW32" s="23"/>
      <c r="BX32" s="89" t="str">
        <f aca="false">IF(AND(Tasks[[#This Row],[_IsLeaf]]=1,ISNUMBER(Tasks[[#This Row],[Optimistic]]),ISNUMBER(Tasks[[#This Row],[Pessimistic]])),ROUND((Tasks[[#This Row],[Optimistic]]+4*N(Tasks[[#This Row],[_Days]])+Tasks[[#This Row],[Pessimistic]])/6,1),"")</f>
        <v/>
      </c>
      <c r="BY32" s="87"/>
      <c r="BZ32" s="87"/>
      <c r="CA32" s="22"/>
      <c r="CB32" s="43" t="str">
        <f aca="false">IF(Tasks[[#This Row],[Task Name]]="","",MAX(1,N(Tasks[[#This Row],[Level]])))</f>
        <v/>
      </c>
      <c r="CC32" s="43" t="n">
        <f aca="false">ROW()-ROW(Tasks[[#Headers],[ID]])</f>
        <v>27</v>
      </c>
      <c r="CD32" s="43" t="n">
        <f aca="false">IF(OR(Tasks[[#This Row],[Task Name]]="",Tasks[[#This Row],[_Level]]&lt;=1),0,IFERROR(LOOKUP(2,1/(Tasks[[#Headers],[_Level]]:Tasks[[#This Row],[_Level]]=Tasks[[#This Row],[_Level]]-1),ROW(Tasks[[#Headers],[_Level]]:Tasks[[#This Row],[_Level]])),0))</f>
        <v>0</v>
      </c>
      <c r="CE32" s="43" t="n">
        <f aca="false">IFERROR(N(INDEX(Tasks[_Level],Tasks[[#This Row],[_Row]]+1)),0)</f>
        <v>0</v>
      </c>
      <c r="CF32" s="90" t="b">
        <f aca="false">AND(Tasks[[#This Row],[Task Name]]&lt;&gt;"",Tasks[[#This Row],[_NextLevel]]&gt;Tasks[[#This Row],[_Level]])</f>
        <v>0</v>
      </c>
      <c r="CG32" s="43" t="n">
        <f aca="false">IF(Tasks[[#This Row],[_IsSummary]],COUNTIF(Tasks[WBS],Tasks[[#This Row],[WBS]]&amp;".*"),0)</f>
        <v>0</v>
      </c>
      <c r="CH32" s="43" t="n">
        <f aca="false">IF(AND(Tasks[[#This Row],[Task Name]]&lt;&gt;"",NOT(Tasks[[#This Row],[_IsSummary]])),1,0)</f>
        <v>0</v>
      </c>
      <c r="CI32" s="43" t="n">
        <f aca="false">IF(N(Tasks[[#This Row],[_Pred1UID]])=0,0,IFERROR(MATCH(Tasks[[#This Row],[_Pred1UID]],Tasks[UID],0),-1))</f>
        <v>0</v>
      </c>
      <c r="CJ32" s="43" t="n">
        <f aca="false">IF(N(Tasks[[#This Row],[_Pred2UID]])=0,0,IFERROR(MATCH(Tasks[[#This Row],[_Pred2UID]],Tasks[UID],0),-1))</f>
        <v>0</v>
      </c>
      <c r="CK32" s="43" t="n">
        <f aca="false">IF(N(Tasks[[#This Row],[_Pred3UID]])=0,0,IFERROR(MATCH(Tasks[[#This Row],[_Pred3UID]],Tasks[UID],0),-1))</f>
        <v>0</v>
      </c>
      <c r="CL32" s="43" t="n">
        <f aca="false">IF(N(Tasks[[#This Row],[_Pred4UID]])=0,0,IFERROR(MATCH(Tasks[[#This Row],[_Pred4UID]],Tasks[UID],0),-1))</f>
        <v>0</v>
      </c>
      <c r="CM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2" s="91" t="n">
        <f aca="false">IF(OR(Tasks[[#This Row],[_ConstraintCode]]=2,Tasks[[#This Row],[_ConstraintCode]]=3,Tasks[[#This Row],[_ConstraintCode]]=4,Tasks[[#This Row],[_ConstraintCode]]=6),Tasks[[#This Row],[_ConstraintStart]],0)</f>
        <v>0</v>
      </c>
      <c r="CP32" s="91" t="n">
        <f aca="false">IF(OR(Tasks[[#This Row],[_ConstraintCode]]=2,Tasks[[#This Row],[_ConstraintCode]]=3,Tasks[[#This Row],[_ConstraintCode]]=5,Tasks[[#This Row],[_ConstraintCode]]=7),Tasks[[#This Row],[_ConstraintStart]],2958465)</f>
        <v>2958465</v>
      </c>
      <c r="CQ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91" t="str">
        <f aca="false">IF(NOT(Tasks[[#This Row],[_IsLeaf]]=1),"",IF(N(Tasks[[#This Row],[_Days]])&lt;=0,Tasks[[#This Row],[_LeafCalcStart]],WORKDAY.INTL(Tasks[[#This Row],[_LeafCalcStart]],Tasks[[#This Row],[_Days]]-1,WorkWeek,Holidays)))</f>
        <v/>
      </c>
      <c r="CS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3" t="str">
        <f aca="false">IF(Tasks[[#This Row],[_Predecessors]]="","",TRIM(MID(SUBSTITUTE(SUBSTITUTE(SUBSTITUTE(UPPER(Tasks[[#This Row],[_Predecessors]]),";",",")," ",""),",",REPT(" ",99)),1,99)))</f>
        <v/>
      </c>
      <c r="CV32" s="43" t="str">
        <f aca="false">IF(Tasks[[#This Row],[_Pred1Text]]="","",IFERROR(VALUE(LEFT(Tasks[[#This Row],[_Pred1Text]],MIN(FIND("F",Tasks[[#This Row],[_Pred1Text]]&amp;"F"),FIND("S",Tasks[[#This Row],[_Pred1Text]]&amp;"S"),FIND("+",Tasks[[#This Row],[_Pred1Text]]&amp;"+"),FIND("-",Tasks[[#This Row],[_Pred1Text]]&amp;"-"))-1)),""))</f>
        <v/>
      </c>
      <c r="CW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3" t="str">
        <f aca="false">IF(Tasks[[#This Row],[_Pred1Text]]="","",TRIM(MID(SUBSTITUTE(SUBSTITUTE(SUBSTITUTE(UPPER(Tasks[[#This Row],[_Predecessors]]),";",",")," ",""),",",REPT(" ",99)),100,99)))</f>
        <v/>
      </c>
      <c r="CZ32" s="43" t="str">
        <f aca="false">IF(Tasks[[#This Row],[_Pred2Text]]="","",IFERROR(VALUE(LEFT(Tasks[[#This Row],[_Pred2Text]],MIN(FIND("F",Tasks[[#This Row],[_Pred2Text]]&amp;"F"),FIND("S",Tasks[[#This Row],[_Pred2Text]]&amp;"S"),FIND("+",Tasks[[#This Row],[_Pred2Text]]&amp;"+"),FIND("-",Tasks[[#This Row],[_Pred2Text]]&amp;"-"))-1)),""))</f>
        <v/>
      </c>
      <c r="DA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3" t="str">
        <f aca="false">IF(Tasks[[#This Row],[_Pred2Text]]="","",TRIM(MID(SUBSTITUTE(SUBSTITUTE(SUBSTITUTE(UPPER(Tasks[[#This Row],[_Predecessors]]),";",",")," ",""),",",REPT(" ",99)),199,99)))</f>
        <v/>
      </c>
      <c r="DD32" s="43" t="str">
        <f aca="false">IF(Tasks[[#This Row],[_Pred3Text]]="","",IFERROR(VALUE(LEFT(Tasks[[#This Row],[_Pred3Text]],MIN(FIND("F",Tasks[[#This Row],[_Pred3Text]]&amp;"F"),FIND("S",Tasks[[#This Row],[_Pred3Text]]&amp;"S"),FIND("+",Tasks[[#This Row],[_Pred3Text]]&amp;"+"),FIND("-",Tasks[[#This Row],[_Pred3Text]]&amp;"-"))-1)),""))</f>
        <v/>
      </c>
      <c r="DE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3" t="str">
        <f aca="false">IF(Tasks[[#This Row],[_Pred3Text]]="","",TRIM(MID(SUBSTITUTE(SUBSTITUTE(SUBSTITUTE(UPPER(Tasks[[#This Row],[_Predecessors]]),";",",")," ",""),",",REPT(" ",99)),298,99)))</f>
        <v/>
      </c>
      <c r="DH32" s="43" t="str">
        <f aca="false">IF(Tasks[[#This Row],[_Pred4Text]]="","",IFERROR(VALUE(LEFT(Tasks[[#This Row],[_Pred4Text]],MIN(FIND("F",Tasks[[#This Row],[_Pred4Text]]&amp;"F"),FIND("S",Tasks[[#This Row],[_Pred4Text]]&amp;"S"),FIND("+",Tasks[[#This Row],[_Pred4Text]]&amp;"+"),FIND("-",Tasks[[#This Row],[_Pred4Text]]&amp;"-"))-1)),""))</f>
        <v/>
      </c>
      <c r="DI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3" t="str">
        <f aca="false">IF(OR(Tasks[[#This Row],[Task Name]]="",Tasks[[#This Row],[_Resources]]=""),"",TRIM(MID(SUBSTITUTE(Tasks[[#This Row],[_Resources]],",",REPT(" ",99)),1,99)))</f>
        <v/>
      </c>
      <c r="DL32" s="43" t="str">
        <f aca="false">IF(Tasks[[#This Row],[_Res1Text]]="","",TRIM(MID(SUBSTITUTE(Tasks[[#This Row],[_Resources]],",",REPT(" ",99)),100,99)))</f>
        <v/>
      </c>
      <c r="DM32" s="43" t="str">
        <f aca="false">IF(Tasks[[#This Row],[_Res2Text]]="","",TRIM(MID(SUBSTITUTE(Tasks[[#This Row],[_Resources]],",",REPT(" ",99)),199,99)))</f>
        <v/>
      </c>
      <c r="DN32" s="43" t="str">
        <f aca="false">IF(Tasks[[#This Row],[_Res3Text]]="","",TRIM(MID(SUBSTITUTE(Tasks[[#This Row],[_Resources]],",",REPT(" ",99)),298,99)))</f>
        <v/>
      </c>
      <c r="DO32" s="43" t="n">
        <f aca="false">IF(Tasks[[#This Row],[_Res1Text]]="",0,IFERROR(MATCH(TRIM(LEFT(Tasks[[#This Row],[_Res1Text]],FIND("[",Tasks[[#This Row],[_Res1Text]]&amp;"[")-1)),res_Name,0),IFERROR(MATCH(TRIM(LEFT(Tasks[[#This Row],[_Res1Text]],FIND("[",Tasks[[#This Row],[_Res1Text]]&amp;"[")-1)),res_Initials,0),0)))</f>
        <v>0</v>
      </c>
      <c r="DP32" s="43" t="n">
        <f aca="false">IF(Tasks[[#This Row],[_Res2Text]]="",0,IFERROR(MATCH(TRIM(LEFT(Tasks[[#This Row],[_Res2Text]],FIND("[",Tasks[[#This Row],[_Res2Text]]&amp;"[")-1)),res_Name,0),IFERROR(MATCH(TRIM(LEFT(Tasks[[#This Row],[_Res2Text]],FIND("[",Tasks[[#This Row],[_Res2Text]]&amp;"[")-1)),res_Initials,0),0)))</f>
        <v>0</v>
      </c>
      <c r="DQ32" s="43" t="n">
        <f aca="false">IF(Tasks[[#This Row],[_Res3Text]]="",0,IFERROR(MATCH(TRIM(LEFT(Tasks[[#This Row],[_Res3Text]],FIND("[",Tasks[[#This Row],[_Res3Text]]&amp;"[")-1)),res_Name,0),IFERROR(MATCH(TRIM(LEFT(Tasks[[#This Row],[_Res3Text]],FIND("[",Tasks[[#This Row],[_Res3Text]]&amp;"[")-1)),res_Initials,0),0)))</f>
        <v>0</v>
      </c>
      <c r="DR32" s="43" t="n">
        <f aca="false">IF(Tasks[[#This Row],[_Res4Text]]="",0,IFERROR(MATCH(TRIM(LEFT(Tasks[[#This Row],[_Res4Text]],FIND("[",Tasks[[#This Row],[_Res4Text]]&amp;"[")-1)),res_Name,0),IFERROR(MATCH(TRIM(LEFT(Tasks[[#This Row],[_Res4Text]],FIND("[",Tasks[[#This Row],[_Res4Text]]&amp;"[")-1)),res_Initials,0),0)))</f>
        <v>0</v>
      </c>
      <c r="DS32" s="43" t="str">
        <f aca="false">IF(Tasks[[#This Row],[_Res1Text]]="","",IF(Tasks[[#This Row],[_Res1Row]]&gt;0,INDEX(res_Name,Tasks[[#This Row],[_Res1Row]]),TRIM(LEFT(Tasks[[#This Row],[_Res1Text]],FIND("[",Tasks[[#This Row],[_Res1Text]]&amp;"[")-1))))</f>
        <v/>
      </c>
      <c r="DT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3" t="n">
        <f aca="false">IF(NOT(Tasks[[#This Row],[_IsLeaf]]=1),0,(Tasks[[#This Row],[_Resource1]]&lt;&gt;"")+(Tasks[[#This Row],[_Res2]]&lt;&gt;"")+(Tasks[[#This Row],[_Res3]]&lt;&gt;"")+(Tasks[[#This Row],[_Res4]]&lt;&gt;""))</f>
        <v>0</v>
      </c>
      <c r="DV32" s="43" t="str">
        <f aca="false">IF(Tasks[[#This Row],[_Res2Text]]="","",IF(Tasks[[#This Row],[_Res2Row]]&gt;0,INDEX(res_Name,Tasks[[#This Row],[_Res2Row]]),TRIM(LEFT(Tasks[[#This Row],[_Res2Text]],FIND("[",Tasks[[#This Row],[_Res2Text]]&amp;"[")-1))))</f>
        <v/>
      </c>
      <c r="DW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3" t="n">
        <f aca="false">IF(OR(NOT(Tasks[[#This Row],[_IsLeaf]]=1),Tasks[[#This Row],[_Res2Row]]=0),0,N(Tasks[[#This Row],[_Days]])*HoursPerDay*IF(Tasks[[#This Row],[_Res2Units]]="",DefaultUnits,Tasks[[#This Row],[_Res2Units]]))</f>
        <v>0</v>
      </c>
      <c r="DY32" s="43" t="n">
        <f aca="false">IF(AND(AND(Tasks[[#This Row],[_IsLeaf]]=1,Tasks[[#This Row],[_LeafTotalWork]]&gt;0),Tasks[[#This Row],[_Res2Work]]&gt;0),Tasks[[#This Row],[_Res2Work]]/(Tasks[[#This Row],[_FinishWorkday]]-Tasks[[#This Row],[_StartWorkday]]+1),0)</f>
        <v>0</v>
      </c>
      <c r="DZ32" s="43" t="n">
        <f aca="false">Tasks[[#This Row],[_Res2WorkPerWD]]*MAX(0,Tasks[[#This Row],[_StartWorkday]]-1)</f>
        <v>0</v>
      </c>
      <c r="EA32" s="43" t="n">
        <f aca="false">Tasks[[#This Row],[_Res2Work]]*Tasks[[#This Row],[_LeafProgress]]</f>
        <v>0</v>
      </c>
      <c r="EB32" s="43" t="str">
        <f aca="false">IF(Tasks[[#This Row],[_Res3Text]]="","",IF(Tasks[[#This Row],[_Res3Row]]&gt;0,INDEX(res_Name,Tasks[[#This Row],[_Res3Row]]),TRIM(LEFT(Tasks[[#This Row],[_Res3Text]],FIND("[",Tasks[[#This Row],[_Res3Text]]&amp;"[")-1))))</f>
        <v/>
      </c>
      <c r="EC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3" t="n">
        <f aca="false">IF(OR(NOT(Tasks[[#This Row],[_IsLeaf]]=1),Tasks[[#This Row],[_Res3Row]]=0),0,N(Tasks[[#This Row],[_Days]])*HoursPerDay*IF(Tasks[[#This Row],[_Res3Units]]="",DefaultUnits,Tasks[[#This Row],[_Res3Units]]))</f>
        <v>0</v>
      </c>
      <c r="EE32" s="43" t="n">
        <f aca="false">IF(AND(AND(Tasks[[#This Row],[_IsLeaf]]=1,Tasks[[#This Row],[_LeafTotalWork]]&gt;0),Tasks[[#This Row],[_Res3Work]]&gt;0),Tasks[[#This Row],[_Res3Work]]/(Tasks[[#This Row],[_FinishWorkday]]-Tasks[[#This Row],[_StartWorkday]]+1),0)</f>
        <v>0</v>
      </c>
      <c r="EF32" s="43" t="n">
        <f aca="false">Tasks[[#This Row],[_Res3WorkPerWD]]*MAX(0,Tasks[[#This Row],[_StartWorkday]]-1)</f>
        <v>0</v>
      </c>
      <c r="EG32" s="43" t="n">
        <f aca="false">Tasks[[#This Row],[_Res3Work]]*Tasks[[#This Row],[_LeafProgress]]</f>
        <v>0</v>
      </c>
      <c r="EH32" s="43" t="str">
        <f aca="false">IF(Tasks[[#This Row],[_Res4Text]]="","",IF(Tasks[[#This Row],[_Res4Row]]&gt;0,INDEX(res_Name,Tasks[[#This Row],[_Res4Row]]),TRIM(LEFT(Tasks[[#This Row],[_Res4Text]],FIND("[",Tasks[[#This Row],[_Res4Text]]&amp;"[")-1))))</f>
        <v/>
      </c>
      <c r="EI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3" t="n">
        <f aca="false">IF(OR(NOT(Tasks[[#This Row],[_IsLeaf]]=1),Tasks[[#This Row],[_Res4Row]]=0),0,N(Tasks[[#This Row],[_Days]])*HoursPerDay*IF(Tasks[[#This Row],[_Res4Units]]="",DefaultUnits,Tasks[[#This Row],[_Res4Units]]))</f>
        <v>0</v>
      </c>
      <c r="EK32" s="43" t="n">
        <f aca="false">IF(AND(AND(Tasks[[#This Row],[_IsLeaf]]=1,Tasks[[#This Row],[_LeafTotalWork]]&gt;0),Tasks[[#This Row],[_Res4Work]]&gt;0),Tasks[[#This Row],[_Res4Work]]/(Tasks[[#This Row],[_FinishWorkday]]-Tasks[[#This Row],[_StartWorkday]]+1),0)</f>
        <v>0</v>
      </c>
      <c r="EL32" s="43" t="n">
        <f aca="false">Tasks[[#This Row],[_Res4WorkPerWD]]*MAX(0,Tasks[[#This Row],[_StartWorkday]]-1)</f>
        <v>0</v>
      </c>
      <c r="EM32" s="43" t="n">
        <f aca="false">Tasks[[#This Row],[_Res4Work]]*Tasks[[#This Row],[_LeafProgress]]</f>
        <v>0</v>
      </c>
      <c r="EN32" s="43" t="n">
        <f aca="false">IF(ISNUMBER(Tasks[[#This Row],[% Complete]]),Tasks[[#This Row],[% Complete]],IF(Tasks[[#This Row],[Stage]]="",0,IFERROR(INDEX(stg_Pct,MATCH(Tasks[[#This Row],[Stage]],stg_Name,0)),0)))</f>
        <v>0</v>
      </c>
      <c r="EO32" s="43" t="n">
        <f aca="false">IF(NOT(Tasks[[#This Row],[_IsLeaf]]=1),0,IF(N(Tasks[[#This Row],[Actual Finish]])&gt;0,1,MIN(1,Tasks[[#This Row],[_Pct]])))</f>
        <v>0</v>
      </c>
      <c r="EP32" s="43" t="n">
        <f aca="false">IF(OR(NOT(Tasks[[#This Row],[_IsLeaf]]=1),Tasks[[#This Row],[_Res1Row]]=0),0,N(Tasks[[#This Row],[_Days]])*HoursPerDay*IF(Tasks[[#This Row],[_Units1]]="",DefaultUnits,Tasks[[#This Row],[_Units1]]))</f>
        <v>0</v>
      </c>
      <c r="EQ32" s="43" t="n">
        <f aca="false">Tasks[[#This Row],[_LeafWork]]+Tasks[[#This Row],[_Res2Work]]+Tasks[[#This Row],[_Res3Work]]+Tasks[[#This Row],[_Res4Work]]</f>
        <v>0</v>
      </c>
      <c r="ER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3" t="n">
        <f aca="false">IF(NOT(Tasks[[#This Row],[_IsLeaf]]=1),0,MAX(_xlfn.MAXIFS(Tasks[_Row],Tasks[_Pred1UID],Tasks[[#This Row],[UID]]),_xlfn.MAXIFS(Tasks[_Row],Tasks[_Pred2UID],Tasks[[#This Row],[UID]]),_xlfn.MAXIFS(Tasks[_Row],Tasks[_Pred3UID],Tasks[[#This Row],[UID]]),_xlfn.MAXIFS(Tasks[_Row],Tasks[_Pred4UID],Tasks[[#This Row],[UID]])))</f>
        <v>0</v>
      </c>
      <c r="FA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91" t="str">
        <f aca="false">IF(NOT(Tasks[[#This Row],[_IsLeaf]]=1),"",IF(N(Tasks[[#This Row],[_Days]])&lt;=0,Tasks[[#This Row],[_LeafLateFinish]],WORKDAY.INTL(Tasks[[#This Row],[_LeafLateFinish]],-(Tasks[[#This Row],[_Days]]-1),WorkWeek,Holidays)))</f>
        <v/>
      </c>
      <c r="FD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2" s="90" t="b">
        <f aca="false">AND(Tasks[[#This Row],[_IsLeaf]]=1,Tasks[[#This Row],[_LeafProgress]]&lt;1,N(Tasks[[#This Row],[_LeafTotalSlack]])&lt;=CriticalSlackDays)</f>
        <v>0</v>
      </c>
      <c r="FF32" s="43" t="n">
        <f aca="false">IF(AND(Tasks[[#This Row],[_IsLeaf]]=1,Tasks[[#This Row],[_ConstraintCode]]=1,Tasks[[#This Row],[Mode]]&lt;&gt;"Manual",N(Tasks[[#This Row],[Actual Start]])=0),MAX(0,N(Tasks[[#This Row],[Free Slack]])),0)</f>
        <v>0</v>
      </c>
      <c r="FG32" s="91" t="str">
        <f aca="false">IF(NOT(Tasks[[#This Row],[_IsLeaf]]=1),"",IF(Tasks[[#This Row],[_AlapShift]]=0,Tasks[[#This Row],[_LeafCalcStart]],WORKDAY.INTL(Tasks[[#This Row],[_LeafCalcStart]],Tasks[[#This Row],[_AlapShift]],WorkWeek,Holidays)))</f>
        <v/>
      </c>
      <c r="FH32" s="91" t="str">
        <f aca="false">IF(NOT(Tasks[[#This Row],[_IsLeaf]]=1),"",IF(Tasks[[#This Row],[_AlapShift]]=0,Tasks[[#This Row],[_LeafCalcFinish]],WORKDAY.INTL(Tasks[[#This Row],[_LeafCalcFinish]],Tasks[[#This Row],[_AlapShift]],WorkWeek,Holidays)))</f>
        <v/>
      </c>
      <c r="FI32" s="91" t="str">
        <f aca="false">IF(NOT(Tasks[[#This Row],[_IsLeaf]]=1),"",IF(Tasks[[#This Row],[_AlapShift]]=0,Tasks[[#This Row],[_LeafFcstStart]],WORKDAY.INTL(Tasks[[#This Row],[_LeafFcstStart]],Tasks[[#This Row],[_AlapShift]],WorkWeek,Holidays)))</f>
        <v/>
      </c>
      <c r="FJ32" s="91" t="str">
        <f aca="false">IF(NOT(Tasks[[#This Row],[_IsLeaf]]=1),"",IF(Tasks[[#This Row],[_AlapShift]]=0,Tasks[[#This Row],[_LeafFcstFinish]],WORKDAY.INTL(Tasks[[#This Row],[_LeafFcstFinish]],Tasks[[#This Row],[_AlapShift]],WorkWeek,Holidays)))</f>
        <v/>
      </c>
      <c r="FK32" s="91" t="str">
        <f aca="false">IF(Tasks[[#This Row],[Task Name]]="","",IF(Tasks[[#This Row],[_IsSummary]],MIN(INDEX(Tasks[_ShownCalcStart],Tasks[[#This Row],[_Row]]+1):INDEX(Tasks[_ShownCalcStart],Tasks[[#This Row],[_Row]]+Tasks[[#This Row],[_Descendants]])),Tasks[[#This Row],[_ShownCalcStart]]))</f>
        <v/>
      </c>
      <c r="FL32" s="91" t="str">
        <f aca="false">IF(Tasks[[#This Row],[Task Name]]="","",IF(Tasks[[#This Row],[_IsSummary]],MAX(INDEX(Tasks[_ShownCalcFinish],Tasks[[#This Row],[_Row]]+1):INDEX(Tasks[_ShownCalcFinish],Tasks[[#This Row],[_Row]]+Tasks[[#This Row],[_Descendants]])),Tasks[[#This Row],[_ShownCalcFinish]]))</f>
        <v/>
      </c>
      <c r="FM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2" s="43" t="n">
        <f aca="false">IF(AND(Tasks[[#This Row],[_IsLeaf]]=1,Tasks[[#This Row],[_LeafTotalWork]]&gt;0),NETWORKDAYS.INTL(ProjectStart,Tasks[[#This Row],[_ShownFcstStart]],WorkWeek,Holidays),0)</f>
        <v>0</v>
      </c>
      <c r="FZ32" s="43" t="n">
        <f aca="false">IF(AND(Tasks[[#This Row],[_IsLeaf]]=1,Tasks[[#This Row],[_LeafTotalWork]]&gt;0),MAX(Tasks[[#This Row],[_StartWorkday]],NETWORKDAYS.INTL(ProjectStart,Tasks[[#This Row],[_ShownFcstFinish]],WorkWeek,Holidays)),0)</f>
        <v>0</v>
      </c>
      <c r="GA32" s="43" t="n">
        <f aca="false">IF(AND(Tasks[[#This Row],[_IsLeaf]]=1,Tasks[[#This Row],[_LeafTotalWork]]&gt;0),Tasks[[#This Row],[_LeafWork]]/(Tasks[[#This Row],[_FinishWorkday]]-Tasks[[#This Row],[_StartWorkday]]+1),0)</f>
        <v>0</v>
      </c>
      <c r="GB32" s="43" t="n">
        <f aca="false">Tasks[[#This Row],[_WorkPerWorkday]]*(Tasks[[#This Row],[_StartWorkday]]-1)</f>
        <v>-0</v>
      </c>
      <c r="GC32" s="43" t="n">
        <f aca="false">IF(Tasks[[#This Row],[_IsLeaf]]=1,MAX(N(Tasks[[#This Row],[_Days]]),0.1),0)</f>
        <v>0</v>
      </c>
      <c r="GD32" s="43" t="n">
        <f aca="false">Tasks[[#This Row],[_WeightDur]]*Tasks[[#This Row],[_LeafProgress]]</f>
        <v>0</v>
      </c>
      <c r="GE32" s="43" t="n">
        <f aca="false">Tasks[[#This Row],[_WeightDur]]*Tasks[[#This Row],[_PlannedPct]]</f>
        <v>0</v>
      </c>
      <c r="GF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3" t="str">
        <f aca="false">IF(AND(Tasks[[#This Row],[_IsLeaf]]=1,N(Tasks[[#This Row],[_Days]])=0,Tasks[[#This Row],[_LeafProgress]]&lt;1),Tasks[[#This Row],[_ShownFcstFinish]]+Tasks[[#This Row],[_Row]]/100000,"")</f>
        <v/>
      </c>
      <c r="GH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2" s="43" t="str">
        <f aca="false">IF(Tasks[[#This Row],[Task Name]]="","",LEFT(Tasks[[#This Row],[WBS]],FIND(".",Tasks[[#This Row],[WBS]]&amp;".")-1))</f>
        <v/>
      </c>
      <c r="GJ32" s="43" t="str">
        <f aca="false">IF(AND(Tasks[[#This Row],[Task Name]]&lt;&gt;"",Tasks[[#This Row],[_Level]]=1),Tasks[[#This Row],[_Row]],"")</f>
        <v/>
      </c>
      <c r="GK32" s="43" t="str">
        <f aca="false">IF(AND(Tasks[[#This Row],[_IsLeaf]]=1,N(Tasks[[#This Row],[_Days]])=0),Tasks[[#This Row],[Planned Finish]]+Tasks[[#This Row],[_Row]]/100000,"")</f>
        <v/>
      </c>
      <c r="GL32" s="43" t="str">
        <f aca="false">IF(AND(Tasks[[#This Row],[_IsLeaf]]=1,Tasks[[#This Row],[_LeafProgress]]&lt;1,OR(N(Tasks[[#This Row],[Finish Var]])&gt;0,Tasks[[#This Row],[Status]]="Late Start")),MAX(0,Tasks[[#This Row],[Finish Var]])+1-Tasks[[#This Row],[_Row]]/1000000,"")</f>
        <v/>
      </c>
      <c r="GM32" s="43" t="str">
        <f aca="false">IF(AND(Tasks[[#This Row],[_IsLeaf]]=1,N(Tasks[[#This Row],[Actual Start]])=0,Tasks[[#This Row],[_ShownFcstStart]]&gt;=StatusDate,Tasks[[#This Row],[_ShownFcstStart]]&lt;=LookaheadEnd),Tasks[[#This Row],[_ShownFcstStart]]+Tasks[[#This Row],[_Row]]/100000,"")</f>
        <v/>
      </c>
      <c r="GN32" s="43" t="str">
        <f aca="false">IF(AND(Tasks[[#This Row],[_IsLeaf]]=1,Tasks[[#This Row],[_LeafProgress]]&lt;1,Tasks[[#This Row],[_ShownFcstFinish]]&gt;=StatusDate,Tasks[[#This Row],[_ShownFcstFinish]]&lt;=LookaheadEnd),Tasks[[#This Row],[_ShownFcstFinish]]+Tasks[[#This Row],[_Row]]/100000,"")</f>
        <v/>
      </c>
      <c r="GO32" s="43" t="str">
        <f aca="false">IF(Tasks[[#This Row],[_LeafCritical]],Tasks[[#This Row],[_ShownFcstStart]]+Tasks[[#This Row],[_Row]]/100000,"")</f>
        <v/>
      </c>
      <c r="GP32" s="43" t="n">
        <f aca="false">Tasks[[#This Row],[_LeafWork]]*Tasks[[#This Row],[_LeafProgress]]</f>
        <v>0</v>
      </c>
      <c r="GQ32" s="91" t="str">
        <f aca="false">IF(AND(Tasks[[#This Row],[_IsLeaf]]=1,Tasks[[#This Row],[_LeafProgress]]&gt;=1),IF(N(Tasks[[#This Row],[Actual Finish]])&gt;0,Tasks[[#This Row],[Actual Finish]],Tasks[[#This Row],[_ShownFcstFinish]]),"")</f>
        <v/>
      </c>
      <c r="GR32" s="43" t="n">
        <f aca="false">IF(Tasks[[#This Row],[_IsLeaf]]=1,N(Tasks[[#This Row],[Story Points]]),0)</f>
        <v>0</v>
      </c>
      <c r="GS32" s="43" t="str">
        <f aca="false">""</f>
        <v/>
      </c>
      <c r="GT32" s="90" t="b">
        <f aca="false">IF(Tasks[[#This Row],[Task Name]]="",FALSE(),AND(Tasks[[#This Row],[_IsLeaf]]=1,N(Tasks[[#This Row],[_Days]])=0))</f>
        <v>0</v>
      </c>
      <c r="GU32" s="91" t="n">
        <f aca="false">IF(Tasks[[#This Row],[Task Name]]="",0,IF(AND(Tasks[[#This Row],[_IsLeaf]]=1,NOT(Tasks[[#This Row],[_IsMilestone]]),N(Tasks[[#This Row],[Progress]])&gt;0),Tasks[[#This Row],[Start]],0))</f>
        <v>0</v>
      </c>
      <c r="GV32" s="91" t="n">
        <f aca="false">IF(Tasks[[#This Row],[_DoneFrom]]=0,0,IF(Tasks[[#This Row],[Progress]]&gt;=1,Tasks[[#This Row],[Finish]],MAX(Tasks[[#This Row],[_DoneFrom]],Tasks[[#This Row],[Start]]+ROUND((Tasks[[#This Row],[Finish]]-Tasks[[#This Row],[Start]]+1)*Tasks[[#This Row],[Progress]],0)-1)))</f>
        <v>0</v>
      </c>
      <c r="GW32" s="91" t="n">
        <f aca="false">IF(Tasks[[#This Row],[Task Name]]="",0,IF(OR(NOT(Tasks[[#This Row],[_IsLeaf]]=1),Tasks[[#This Row],[_IsMilestone]],N(Tasks[[#This Row],[Progress]])&gt;=1),0,IF(Tasks[[#This Row],[_DoneTo]]&gt;0,Tasks[[#This Row],[_DoneTo]]+1,Tasks[[#This Row],[Start]])))</f>
        <v>0</v>
      </c>
      <c r="GX32" s="91" t="n">
        <f aca="false">IF(Tasks[[#This Row],[_RemFrom]]=0,0,Tasks[[#This Row],[Finish]])</f>
        <v>0</v>
      </c>
      <c r="GY32" s="90" t="b">
        <f aca="false">IF(Tasks[[#This Row],[Task Name]]="",FALSE(),OR(NOT(BaselineSet),N(Tasks[[#This Row],[Baseline Start]])&gt;0))</f>
        <v>0</v>
      </c>
      <c r="GZ3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92" t="str">
        <f aca="false">IF(Tasks[[#This Row],[_IsLeaf]]=1,Tasks[[#This Row],[_Row]],"")</f>
        <v/>
      </c>
      <c r="HD32" s="92" t="str">
        <f aca="false">IFERROR(INDEX(Tasks[UID],SMALL(Tasks[_PickKey],Tasks[[#This Row],[_Row]]))&amp;" "&amp;INDEX(Tasks[Task Name],SMALL(Tasks[_PickKey],Tasks[[#This Row],[_Row]])),"")</f>
        <v/>
      </c>
      <c r="HE32" s="43" t="str">
        <f aca="false">IF(Tasks[[#This Row],[Task Name]]="","",IF(Tasks[[#This Row],[_IsSummary]],NETWORKDAYS.INTL(Tasks[[#This Row],[Start]],Tasks[[#This Row],[Finish]],WorkWeek,Holidays),N(Tasks[[#This Row],[_Days]])))</f>
        <v/>
      </c>
      <c r="HF32" s="43" t="n">
        <f aca="false">IF(Tasks[[#This Row],[Expected]]="",0,((Tasks[[#This Row],[Pessimistic]]-Tasks[[#This Row],[Optimistic]])/6)^2)</f>
        <v>0</v>
      </c>
      <c r="HG32" s="43" t="n">
        <f aca="false">IF(Tasks[[#This Row],[Expected]]="",0,Tasks[[#This Row],[Expected]]-N(Tasks[[#This Row],[_Days]]))</f>
        <v>0</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4"/>
      <c r="U33" s="23"/>
      <c r="V33" s="84"/>
      <c r="W33" s="23"/>
      <c r="X33" s="84"/>
      <c r="Y33" s="23"/>
      <c r="Z33" s="84"/>
      <c r="AA33" s="23"/>
      <c r="AB33" s="23"/>
      <c r="AC33" s="7"/>
      <c r="AD33" s="7"/>
      <c r="AE33" s="63" t="str">
        <f aca="false">IF(Tasks[[#This Row],[Task Name]]="","",IF(Tasks[[#This Row],[_IsSummary]],MIN(INDEX(Tasks[_ShownFcstStart],Tasks[[#This Row],[_Row]]+1):INDEX(Tasks[_ShownFcstStart],Tasks[[#This Row],[_Row]]+Tasks[[#This Row],[_Descendants]])),Tasks[[#This Row],[_ShownFcstStart]]))</f>
        <v/>
      </c>
      <c r="AF33" s="63"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3" s="7"/>
      <c r="AK33" s="22"/>
      <c r="AL33" s="23"/>
      <c r="AM33" s="7"/>
      <c r="AN33" s="47"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3" t="str">
        <f aca="false">IF(Tasks[[#This Row],[Task Name]]="","",IF(N(Tasks[[#This Row],[Baseline Start]])&gt;0,Tasks[[#This Row],[Baseline Start]],Tasks[[#This Row],[_CalcStart]]))</f>
        <v/>
      </c>
      <c r="AR33" s="63" t="str">
        <f aca="false">IF(Tasks[[#This Row],[Task Name]]="","",IF(N(Tasks[[#This Row],[Baseline Finish]])&gt;0,Tasks[[#This Row],[Baseline Finish]],Tasks[[#This Row],[_CalcFinish]]))</f>
        <v/>
      </c>
      <c r="AS33" s="47" t="str">
        <f aca="false">IF(Tasks[[#This Row],[Task Name]]="","",IF(Tasks[[#This Row],[Start]]&gt;=Tasks[[#This Row],[Planned Start]],NETWORKDAYS.INTL(Tasks[[#This Row],[Planned Start]],Tasks[[#This Row],[Start]],WorkWeek,Holidays)-1,1-NETWORKDAYS.INTL(Tasks[[#This Row],[Start]],Tasks[[#This Row],[Planned Start]],WorkWeek,Holidays)))</f>
        <v/>
      </c>
      <c r="AT33" s="63" t="str">
        <f aca="false">IF(Tasks[[#This Row],[Task Name]]="","",IF(Tasks[[#This Row],[_IsSummary]],MIN(INDEX(Tasks[_LeafLateStart],Tasks[[#This Row],[_Row]]+1):INDEX(Tasks[_LeafLateStart],Tasks[[#This Row],[_Row]]+Tasks[[#This Row],[_Descendants]])),Tasks[[#This Row],[_LeafLateStart]]))</f>
        <v/>
      </c>
      <c r="AU33" s="63" t="str">
        <f aca="false">IF(Tasks[[#This Row],[Task Name]]="","",IF(Tasks[[#This Row],[_IsSummary]],MAX(INDEX(Tasks[_LeafLateFinish],Tasks[[#This Row],[_Row]]+1):INDEX(Tasks[_LeafLateFinish],Tasks[[#This Row],[_Row]]+Tasks[[#This Row],[_Descendants]])),Tasks[[#This Row],[_LeafLateFinish]]))</f>
        <v/>
      </c>
      <c r="AV33" s="47"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5"/>
      <c r="BA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6"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7"/>
      <c r="BJ33" s="22"/>
      <c r="BK33" s="47" t="str">
        <f aca="false">IF(OR(Tasks[[#This Row],[Task Name]]="",Tasks[[#This Row],[Baseline Duration]]=""),"",Tasks[[#This Row],[_SpanDays]]-N(Tasks[[#This Row],[Baseline Duration]]))</f>
        <v/>
      </c>
      <c r="BL33" s="86" t="str">
        <f aca="false">IF(OR(Tasks[[#This Row],[Task Name]]="",Tasks[[#This Row],[Baseline Work]]=""),"",Tasks[[#This Row],[Work]]-N(Tasks[[#This Row],[Baseline Work]]))</f>
        <v/>
      </c>
      <c r="BM33" s="63" t="str">
        <f aca="false">IF(Tasks[[#This Row],[Task Name]]="","",IF(OR(TakeBaseline="Yes",N(Tasks[[#This Row],[Baseline Start]])=0),Tasks[[#This Row],[Start]],Tasks[[#This Row],[Baseline Start]]))</f>
        <v/>
      </c>
      <c r="BN33" s="63" t="str">
        <f aca="false">IF(Tasks[[#This Row],[Task Name]]="","",IF(OR(TakeBaseline="Yes",N(Tasks[[#This Row],[Baseline Finish]])=0),Tasks[[#This Row],[Finish]],Tasks[[#This Row],[Baseline Finish]]))</f>
        <v/>
      </c>
      <c r="BO33" s="21" t="str">
        <f aca="false">IF(Tasks[[#This Row],[Task Name]]="","",IF(OR(TakeBaseline="Yes",N(Tasks[[#This Row],[Baseline Duration]])=0),Tasks[[#This Row],[_SpanDays]],Tasks[[#This Row],[Baseline Duration]]))</f>
        <v/>
      </c>
      <c r="BP33" s="86" t="str">
        <f aca="false">IF(Tasks[[#This Row],[Task Name]]="","",IF(OR(TakeBaseline="Yes",N(Tasks[[#This Row],[Baseline Work]])=0),Tasks[[#This Row],[Work]],Tasks[[#This Row],[Baseline Work]]))</f>
        <v/>
      </c>
      <c r="BQ33" s="7"/>
      <c r="BR33" s="7"/>
      <c r="BS33" s="22"/>
      <c r="BT33" s="88"/>
      <c r="BU33" s="23"/>
      <c r="BV33" s="23"/>
      <c r="BW33" s="23"/>
      <c r="BX33" s="89" t="str">
        <f aca="false">IF(AND(Tasks[[#This Row],[_IsLeaf]]=1,ISNUMBER(Tasks[[#This Row],[Optimistic]]),ISNUMBER(Tasks[[#This Row],[Pessimistic]])),ROUND((Tasks[[#This Row],[Optimistic]]+4*N(Tasks[[#This Row],[_Days]])+Tasks[[#This Row],[Pessimistic]])/6,1),"")</f>
        <v/>
      </c>
      <c r="BY33" s="87"/>
      <c r="BZ33" s="87"/>
      <c r="CA33" s="22"/>
      <c r="CB33" s="43" t="str">
        <f aca="false">IF(Tasks[[#This Row],[Task Name]]="","",MAX(1,N(Tasks[[#This Row],[Level]])))</f>
        <v/>
      </c>
      <c r="CC33" s="43" t="n">
        <f aca="false">ROW()-ROW(Tasks[[#Headers],[ID]])</f>
        <v>28</v>
      </c>
      <c r="CD33" s="43" t="n">
        <f aca="false">IF(OR(Tasks[[#This Row],[Task Name]]="",Tasks[[#This Row],[_Level]]&lt;=1),0,IFERROR(LOOKUP(2,1/(Tasks[[#Headers],[_Level]]:Tasks[[#This Row],[_Level]]=Tasks[[#This Row],[_Level]]-1),ROW(Tasks[[#Headers],[_Level]]:Tasks[[#This Row],[_Level]])),0))</f>
        <v>0</v>
      </c>
      <c r="CE33" s="43" t="n">
        <f aca="false">IFERROR(N(INDEX(Tasks[_Level],Tasks[[#This Row],[_Row]]+1)),0)</f>
        <v>0</v>
      </c>
      <c r="CF33" s="90" t="b">
        <f aca="false">AND(Tasks[[#This Row],[Task Name]]&lt;&gt;"",Tasks[[#This Row],[_NextLevel]]&gt;Tasks[[#This Row],[_Level]])</f>
        <v>0</v>
      </c>
      <c r="CG33" s="43" t="n">
        <f aca="false">IF(Tasks[[#This Row],[_IsSummary]],COUNTIF(Tasks[WBS],Tasks[[#This Row],[WBS]]&amp;".*"),0)</f>
        <v>0</v>
      </c>
      <c r="CH33" s="43" t="n">
        <f aca="false">IF(AND(Tasks[[#This Row],[Task Name]]&lt;&gt;"",NOT(Tasks[[#This Row],[_IsSummary]])),1,0)</f>
        <v>0</v>
      </c>
      <c r="CI33" s="43" t="n">
        <f aca="false">IF(N(Tasks[[#This Row],[_Pred1UID]])=0,0,IFERROR(MATCH(Tasks[[#This Row],[_Pred1UID]],Tasks[UID],0),-1))</f>
        <v>0</v>
      </c>
      <c r="CJ33" s="43" t="n">
        <f aca="false">IF(N(Tasks[[#This Row],[_Pred2UID]])=0,0,IFERROR(MATCH(Tasks[[#This Row],[_Pred2UID]],Tasks[UID],0),-1))</f>
        <v>0</v>
      </c>
      <c r="CK33" s="43" t="n">
        <f aca="false">IF(N(Tasks[[#This Row],[_Pred3UID]])=0,0,IFERROR(MATCH(Tasks[[#This Row],[_Pred3UID]],Tasks[UID],0),-1))</f>
        <v>0</v>
      </c>
      <c r="CL33" s="43" t="n">
        <f aca="false">IF(N(Tasks[[#This Row],[_Pred4UID]])=0,0,IFERROR(MATCH(Tasks[[#This Row],[_Pred4UID]],Tasks[UID],0),-1))</f>
        <v>0</v>
      </c>
      <c r="CM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3" s="91" t="n">
        <f aca="false">IF(OR(Tasks[[#This Row],[_ConstraintCode]]=2,Tasks[[#This Row],[_ConstraintCode]]=3,Tasks[[#This Row],[_ConstraintCode]]=4,Tasks[[#This Row],[_ConstraintCode]]=6),Tasks[[#This Row],[_ConstraintStart]],0)</f>
        <v>0</v>
      </c>
      <c r="CP33" s="91" t="n">
        <f aca="false">IF(OR(Tasks[[#This Row],[_ConstraintCode]]=2,Tasks[[#This Row],[_ConstraintCode]]=3,Tasks[[#This Row],[_ConstraintCode]]=5,Tasks[[#This Row],[_ConstraintCode]]=7),Tasks[[#This Row],[_ConstraintStart]],2958465)</f>
        <v>2958465</v>
      </c>
      <c r="CQ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91" t="str">
        <f aca="false">IF(NOT(Tasks[[#This Row],[_IsLeaf]]=1),"",IF(N(Tasks[[#This Row],[_Days]])&lt;=0,Tasks[[#This Row],[_LeafCalcStart]],WORKDAY.INTL(Tasks[[#This Row],[_LeafCalcStart]],Tasks[[#This Row],[_Days]]-1,WorkWeek,Holidays)))</f>
        <v/>
      </c>
      <c r="CS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3" t="str">
        <f aca="false">IF(Tasks[[#This Row],[_Predecessors]]="","",TRIM(MID(SUBSTITUTE(SUBSTITUTE(SUBSTITUTE(UPPER(Tasks[[#This Row],[_Predecessors]]),";",",")," ",""),",",REPT(" ",99)),1,99)))</f>
        <v/>
      </c>
      <c r="CV33" s="43" t="str">
        <f aca="false">IF(Tasks[[#This Row],[_Pred1Text]]="","",IFERROR(VALUE(LEFT(Tasks[[#This Row],[_Pred1Text]],MIN(FIND("F",Tasks[[#This Row],[_Pred1Text]]&amp;"F"),FIND("S",Tasks[[#This Row],[_Pred1Text]]&amp;"S"),FIND("+",Tasks[[#This Row],[_Pred1Text]]&amp;"+"),FIND("-",Tasks[[#This Row],[_Pred1Text]]&amp;"-"))-1)),""))</f>
        <v/>
      </c>
      <c r="CW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3" t="str">
        <f aca="false">IF(Tasks[[#This Row],[_Pred1Text]]="","",TRIM(MID(SUBSTITUTE(SUBSTITUTE(SUBSTITUTE(UPPER(Tasks[[#This Row],[_Predecessors]]),";",",")," ",""),",",REPT(" ",99)),100,99)))</f>
        <v/>
      </c>
      <c r="CZ33" s="43" t="str">
        <f aca="false">IF(Tasks[[#This Row],[_Pred2Text]]="","",IFERROR(VALUE(LEFT(Tasks[[#This Row],[_Pred2Text]],MIN(FIND("F",Tasks[[#This Row],[_Pred2Text]]&amp;"F"),FIND("S",Tasks[[#This Row],[_Pred2Text]]&amp;"S"),FIND("+",Tasks[[#This Row],[_Pred2Text]]&amp;"+"),FIND("-",Tasks[[#This Row],[_Pred2Text]]&amp;"-"))-1)),""))</f>
        <v/>
      </c>
      <c r="DA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3" t="str">
        <f aca="false">IF(Tasks[[#This Row],[_Pred2Text]]="","",TRIM(MID(SUBSTITUTE(SUBSTITUTE(SUBSTITUTE(UPPER(Tasks[[#This Row],[_Predecessors]]),";",",")," ",""),",",REPT(" ",99)),199,99)))</f>
        <v/>
      </c>
      <c r="DD33" s="43" t="str">
        <f aca="false">IF(Tasks[[#This Row],[_Pred3Text]]="","",IFERROR(VALUE(LEFT(Tasks[[#This Row],[_Pred3Text]],MIN(FIND("F",Tasks[[#This Row],[_Pred3Text]]&amp;"F"),FIND("S",Tasks[[#This Row],[_Pred3Text]]&amp;"S"),FIND("+",Tasks[[#This Row],[_Pred3Text]]&amp;"+"),FIND("-",Tasks[[#This Row],[_Pred3Text]]&amp;"-"))-1)),""))</f>
        <v/>
      </c>
      <c r="DE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3" t="str">
        <f aca="false">IF(Tasks[[#This Row],[_Pred3Text]]="","",TRIM(MID(SUBSTITUTE(SUBSTITUTE(SUBSTITUTE(UPPER(Tasks[[#This Row],[_Predecessors]]),";",",")," ",""),",",REPT(" ",99)),298,99)))</f>
        <v/>
      </c>
      <c r="DH33" s="43" t="str">
        <f aca="false">IF(Tasks[[#This Row],[_Pred4Text]]="","",IFERROR(VALUE(LEFT(Tasks[[#This Row],[_Pred4Text]],MIN(FIND("F",Tasks[[#This Row],[_Pred4Text]]&amp;"F"),FIND("S",Tasks[[#This Row],[_Pred4Text]]&amp;"S"),FIND("+",Tasks[[#This Row],[_Pred4Text]]&amp;"+"),FIND("-",Tasks[[#This Row],[_Pred4Text]]&amp;"-"))-1)),""))</f>
        <v/>
      </c>
      <c r="DI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3" t="str">
        <f aca="false">IF(OR(Tasks[[#This Row],[Task Name]]="",Tasks[[#This Row],[_Resources]]=""),"",TRIM(MID(SUBSTITUTE(Tasks[[#This Row],[_Resources]],",",REPT(" ",99)),1,99)))</f>
        <v/>
      </c>
      <c r="DL33" s="43" t="str">
        <f aca="false">IF(Tasks[[#This Row],[_Res1Text]]="","",TRIM(MID(SUBSTITUTE(Tasks[[#This Row],[_Resources]],",",REPT(" ",99)),100,99)))</f>
        <v/>
      </c>
      <c r="DM33" s="43" t="str">
        <f aca="false">IF(Tasks[[#This Row],[_Res2Text]]="","",TRIM(MID(SUBSTITUTE(Tasks[[#This Row],[_Resources]],",",REPT(" ",99)),199,99)))</f>
        <v/>
      </c>
      <c r="DN33" s="43" t="str">
        <f aca="false">IF(Tasks[[#This Row],[_Res3Text]]="","",TRIM(MID(SUBSTITUTE(Tasks[[#This Row],[_Resources]],",",REPT(" ",99)),298,99)))</f>
        <v/>
      </c>
      <c r="DO33" s="43" t="n">
        <f aca="false">IF(Tasks[[#This Row],[_Res1Text]]="",0,IFERROR(MATCH(TRIM(LEFT(Tasks[[#This Row],[_Res1Text]],FIND("[",Tasks[[#This Row],[_Res1Text]]&amp;"[")-1)),res_Name,0),IFERROR(MATCH(TRIM(LEFT(Tasks[[#This Row],[_Res1Text]],FIND("[",Tasks[[#This Row],[_Res1Text]]&amp;"[")-1)),res_Initials,0),0)))</f>
        <v>0</v>
      </c>
      <c r="DP33" s="43" t="n">
        <f aca="false">IF(Tasks[[#This Row],[_Res2Text]]="",0,IFERROR(MATCH(TRIM(LEFT(Tasks[[#This Row],[_Res2Text]],FIND("[",Tasks[[#This Row],[_Res2Text]]&amp;"[")-1)),res_Name,0),IFERROR(MATCH(TRIM(LEFT(Tasks[[#This Row],[_Res2Text]],FIND("[",Tasks[[#This Row],[_Res2Text]]&amp;"[")-1)),res_Initials,0),0)))</f>
        <v>0</v>
      </c>
      <c r="DQ33" s="43" t="n">
        <f aca="false">IF(Tasks[[#This Row],[_Res3Text]]="",0,IFERROR(MATCH(TRIM(LEFT(Tasks[[#This Row],[_Res3Text]],FIND("[",Tasks[[#This Row],[_Res3Text]]&amp;"[")-1)),res_Name,0),IFERROR(MATCH(TRIM(LEFT(Tasks[[#This Row],[_Res3Text]],FIND("[",Tasks[[#This Row],[_Res3Text]]&amp;"[")-1)),res_Initials,0),0)))</f>
        <v>0</v>
      </c>
      <c r="DR33" s="43" t="n">
        <f aca="false">IF(Tasks[[#This Row],[_Res4Text]]="",0,IFERROR(MATCH(TRIM(LEFT(Tasks[[#This Row],[_Res4Text]],FIND("[",Tasks[[#This Row],[_Res4Text]]&amp;"[")-1)),res_Name,0),IFERROR(MATCH(TRIM(LEFT(Tasks[[#This Row],[_Res4Text]],FIND("[",Tasks[[#This Row],[_Res4Text]]&amp;"[")-1)),res_Initials,0),0)))</f>
        <v>0</v>
      </c>
      <c r="DS33" s="43" t="str">
        <f aca="false">IF(Tasks[[#This Row],[_Res1Text]]="","",IF(Tasks[[#This Row],[_Res1Row]]&gt;0,INDEX(res_Name,Tasks[[#This Row],[_Res1Row]]),TRIM(LEFT(Tasks[[#This Row],[_Res1Text]],FIND("[",Tasks[[#This Row],[_Res1Text]]&amp;"[")-1))))</f>
        <v/>
      </c>
      <c r="DT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3" t="n">
        <f aca="false">IF(NOT(Tasks[[#This Row],[_IsLeaf]]=1),0,(Tasks[[#This Row],[_Resource1]]&lt;&gt;"")+(Tasks[[#This Row],[_Res2]]&lt;&gt;"")+(Tasks[[#This Row],[_Res3]]&lt;&gt;"")+(Tasks[[#This Row],[_Res4]]&lt;&gt;""))</f>
        <v>0</v>
      </c>
      <c r="DV33" s="43" t="str">
        <f aca="false">IF(Tasks[[#This Row],[_Res2Text]]="","",IF(Tasks[[#This Row],[_Res2Row]]&gt;0,INDEX(res_Name,Tasks[[#This Row],[_Res2Row]]),TRIM(LEFT(Tasks[[#This Row],[_Res2Text]],FIND("[",Tasks[[#This Row],[_Res2Text]]&amp;"[")-1))))</f>
        <v/>
      </c>
      <c r="DW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3" t="n">
        <f aca="false">IF(OR(NOT(Tasks[[#This Row],[_IsLeaf]]=1),Tasks[[#This Row],[_Res2Row]]=0),0,N(Tasks[[#This Row],[_Days]])*HoursPerDay*IF(Tasks[[#This Row],[_Res2Units]]="",DefaultUnits,Tasks[[#This Row],[_Res2Units]]))</f>
        <v>0</v>
      </c>
      <c r="DY33" s="43" t="n">
        <f aca="false">IF(AND(AND(Tasks[[#This Row],[_IsLeaf]]=1,Tasks[[#This Row],[_LeafTotalWork]]&gt;0),Tasks[[#This Row],[_Res2Work]]&gt;0),Tasks[[#This Row],[_Res2Work]]/(Tasks[[#This Row],[_FinishWorkday]]-Tasks[[#This Row],[_StartWorkday]]+1),0)</f>
        <v>0</v>
      </c>
      <c r="DZ33" s="43" t="n">
        <f aca="false">Tasks[[#This Row],[_Res2WorkPerWD]]*MAX(0,Tasks[[#This Row],[_StartWorkday]]-1)</f>
        <v>0</v>
      </c>
      <c r="EA33" s="43" t="n">
        <f aca="false">Tasks[[#This Row],[_Res2Work]]*Tasks[[#This Row],[_LeafProgress]]</f>
        <v>0</v>
      </c>
      <c r="EB33" s="43" t="str">
        <f aca="false">IF(Tasks[[#This Row],[_Res3Text]]="","",IF(Tasks[[#This Row],[_Res3Row]]&gt;0,INDEX(res_Name,Tasks[[#This Row],[_Res3Row]]),TRIM(LEFT(Tasks[[#This Row],[_Res3Text]],FIND("[",Tasks[[#This Row],[_Res3Text]]&amp;"[")-1))))</f>
        <v/>
      </c>
      <c r="EC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3" t="n">
        <f aca="false">IF(OR(NOT(Tasks[[#This Row],[_IsLeaf]]=1),Tasks[[#This Row],[_Res3Row]]=0),0,N(Tasks[[#This Row],[_Days]])*HoursPerDay*IF(Tasks[[#This Row],[_Res3Units]]="",DefaultUnits,Tasks[[#This Row],[_Res3Units]]))</f>
        <v>0</v>
      </c>
      <c r="EE33" s="43" t="n">
        <f aca="false">IF(AND(AND(Tasks[[#This Row],[_IsLeaf]]=1,Tasks[[#This Row],[_LeafTotalWork]]&gt;0),Tasks[[#This Row],[_Res3Work]]&gt;0),Tasks[[#This Row],[_Res3Work]]/(Tasks[[#This Row],[_FinishWorkday]]-Tasks[[#This Row],[_StartWorkday]]+1),0)</f>
        <v>0</v>
      </c>
      <c r="EF33" s="43" t="n">
        <f aca="false">Tasks[[#This Row],[_Res3WorkPerWD]]*MAX(0,Tasks[[#This Row],[_StartWorkday]]-1)</f>
        <v>0</v>
      </c>
      <c r="EG33" s="43" t="n">
        <f aca="false">Tasks[[#This Row],[_Res3Work]]*Tasks[[#This Row],[_LeafProgress]]</f>
        <v>0</v>
      </c>
      <c r="EH33" s="43" t="str">
        <f aca="false">IF(Tasks[[#This Row],[_Res4Text]]="","",IF(Tasks[[#This Row],[_Res4Row]]&gt;0,INDEX(res_Name,Tasks[[#This Row],[_Res4Row]]),TRIM(LEFT(Tasks[[#This Row],[_Res4Text]],FIND("[",Tasks[[#This Row],[_Res4Text]]&amp;"[")-1))))</f>
        <v/>
      </c>
      <c r="EI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3" t="n">
        <f aca="false">IF(OR(NOT(Tasks[[#This Row],[_IsLeaf]]=1),Tasks[[#This Row],[_Res4Row]]=0),0,N(Tasks[[#This Row],[_Days]])*HoursPerDay*IF(Tasks[[#This Row],[_Res4Units]]="",DefaultUnits,Tasks[[#This Row],[_Res4Units]]))</f>
        <v>0</v>
      </c>
      <c r="EK33" s="43" t="n">
        <f aca="false">IF(AND(AND(Tasks[[#This Row],[_IsLeaf]]=1,Tasks[[#This Row],[_LeafTotalWork]]&gt;0),Tasks[[#This Row],[_Res4Work]]&gt;0),Tasks[[#This Row],[_Res4Work]]/(Tasks[[#This Row],[_FinishWorkday]]-Tasks[[#This Row],[_StartWorkday]]+1),0)</f>
        <v>0</v>
      </c>
      <c r="EL33" s="43" t="n">
        <f aca="false">Tasks[[#This Row],[_Res4WorkPerWD]]*MAX(0,Tasks[[#This Row],[_StartWorkday]]-1)</f>
        <v>0</v>
      </c>
      <c r="EM33" s="43" t="n">
        <f aca="false">Tasks[[#This Row],[_Res4Work]]*Tasks[[#This Row],[_LeafProgress]]</f>
        <v>0</v>
      </c>
      <c r="EN33" s="43" t="n">
        <f aca="false">IF(ISNUMBER(Tasks[[#This Row],[% Complete]]),Tasks[[#This Row],[% Complete]],IF(Tasks[[#This Row],[Stage]]="",0,IFERROR(INDEX(stg_Pct,MATCH(Tasks[[#This Row],[Stage]],stg_Name,0)),0)))</f>
        <v>0</v>
      </c>
      <c r="EO33" s="43" t="n">
        <f aca="false">IF(NOT(Tasks[[#This Row],[_IsLeaf]]=1),0,IF(N(Tasks[[#This Row],[Actual Finish]])&gt;0,1,MIN(1,Tasks[[#This Row],[_Pct]])))</f>
        <v>0</v>
      </c>
      <c r="EP33" s="43" t="n">
        <f aca="false">IF(OR(NOT(Tasks[[#This Row],[_IsLeaf]]=1),Tasks[[#This Row],[_Res1Row]]=0),0,N(Tasks[[#This Row],[_Days]])*HoursPerDay*IF(Tasks[[#This Row],[_Units1]]="",DefaultUnits,Tasks[[#This Row],[_Units1]]))</f>
        <v>0</v>
      </c>
      <c r="EQ33" s="43" t="n">
        <f aca="false">Tasks[[#This Row],[_LeafWork]]+Tasks[[#This Row],[_Res2Work]]+Tasks[[#This Row],[_Res3Work]]+Tasks[[#This Row],[_Res4Work]]</f>
        <v>0</v>
      </c>
      <c r="ER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3" t="n">
        <f aca="false">IF(NOT(Tasks[[#This Row],[_IsLeaf]]=1),0,MAX(_xlfn.MAXIFS(Tasks[_Row],Tasks[_Pred1UID],Tasks[[#This Row],[UID]]),_xlfn.MAXIFS(Tasks[_Row],Tasks[_Pred2UID],Tasks[[#This Row],[UID]]),_xlfn.MAXIFS(Tasks[_Row],Tasks[_Pred3UID],Tasks[[#This Row],[UID]]),_xlfn.MAXIFS(Tasks[_Row],Tasks[_Pred4UID],Tasks[[#This Row],[UID]])))</f>
        <v>0</v>
      </c>
      <c r="FA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91" t="str">
        <f aca="false">IF(NOT(Tasks[[#This Row],[_IsLeaf]]=1),"",IF(N(Tasks[[#This Row],[_Days]])&lt;=0,Tasks[[#This Row],[_LeafLateFinish]],WORKDAY.INTL(Tasks[[#This Row],[_LeafLateFinish]],-(Tasks[[#This Row],[_Days]]-1),WorkWeek,Holidays)))</f>
        <v/>
      </c>
      <c r="FD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3" s="90" t="b">
        <f aca="false">AND(Tasks[[#This Row],[_IsLeaf]]=1,Tasks[[#This Row],[_LeafProgress]]&lt;1,N(Tasks[[#This Row],[_LeafTotalSlack]])&lt;=CriticalSlackDays)</f>
        <v>0</v>
      </c>
      <c r="FF33" s="43" t="n">
        <f aca="false">IF(AND(Tasks[[#This Row],[_IsLeaf]]=1,Tasks[[#This Row],[_ConstraintCode]]=1,Tasks[[#This Row],[Mode]]&lt;&gt;"Manual",N(Tasks[[#This Row],[Actual Start]])=0),MAX(0,N(Tasks[[#This Row],[Free Slack]])),0)</f>
        <v>0</v>
      </c>
      <c r="FG33" s="91" t="str">
        <f aca="false">IF(NOT(Tasks[[#This Row],[_IsLeaf]]=1),"",IF(Tasks[[#This Row],[_AlapShift]]=0,Tasks[[#This Row],[_LeafCalcStart]],WORKDAY.INTL(Tasks[[#This Row],[_LeafCalcStart]],Tasks[[#This Row],[_AlapShift]],WorkWeek,Holidays)))</f>
        <v/>
      </c>
      <c r="FH33" s="91" t="str">
        <f aca="false">IF(NOT(Tasks[[#This Row],[_IsLeaf]]=1),"",IF(Tasks[[#This Row],[_AlapShift]]=0,Tasks[[#This Row],[_LeafCalcFinish]],WORKDAY.INTL(Tasks[[#This Row],[_LeafCalcFinish]],Tasks[[#This Row],[_AlapShift]],WorkWeek,Holidays)))</f>
        <v/>
      </c>
      <c r="FI33" s="91" t="str">
        <f aca="false">IF(NOT(Tasks[[#This Row],[_IsLeaf]]=1),"",IF(Tasks[[#This Row],[_AlapShift]]=0,Tasks[[#This Row],[_LeafFcstStart]],WORKDAY.INTL(Tasks[[#This Row],[_LeafFcstStart]],Tasks[[#This Row],[_AlapShift]],WorkWeek,Holidays)))</f>
        <v/>
      </c>
      <c r="FJ33" s="91" t="str">
        <f aca="false">IF(NOT(Tasks[[#This Row],[_IsLeaf]]=1),"",IF(Tasks[[#This Row],[_AlapShift]]=0,Tasks[[#This Row],[_LeafFcstFinish]],WORKDAY.INTL(Tasks[[#This Row],[_LeafFcstFinish]],Tasks[[#This Row],[_AlapShift]],WorkWeek,Holidays)))</f>
        <v/>
      </c>
      <c r="FK33" s="91" t="str">
        <f aca="false">IF(Tasks[[#This Row],[Task Name]]="","",IF(Tasks[[#This Row],[_IsSummary]],MIN(INDEX(Tasks[_ShownCalcStart],Tasks[[#This Row],[_Row]]+1):INDEX(Tasks[_ShownCalcStart],Tasks[[#This Row],[_Row]]+Tasks[[#This Row],[_Descendants]])),Tasks[[#This Row],[_ShownCalcStart]]))</f>
        <v/>
      </c>
      <c r="FL33" s="91" t="str">
        <f aca="false">IF(Tasks[[#This Row],[Task Name]]="","",IF(Tasks[[#This Row],[_IsSummary]],MAX(INDEX(Tasks[_ShownCalcFinish],Tasks[[#This Row],[_Row]]+1):INDEX(Tasks[_ShownCalcFinish],Tasks[[#This Row],[_Row]]+Tasks[[#This Row],[_Descendants]])),Tasks[[#This Row],[_ShownCalcFinish]]))</f>
        <v/>
      </c>
      <c r="FM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3" s="43" t="n">
        <f aca="false">IF(AND(Tasks[[#This Row],[_IsLeaf]]=1,Tasks[[#This Row],[_LeafTotalWork]]&gt;0),NETWORKDAYS.INTL(ProjectStart,Tasks[[#This Row],[_ShownFcstStart]],WorkWeek,Holidays),0)</f>
        <v>0</v>
      </c>
      <c r="FZ33" s="43" t="n">
        <f aca="false">IF(AND(Tasks[[#This Row],[_IsLeaf]]=1,Tasks[[#This Row],[_LeafTotalWork]]&gt;0),MAX(Tasks[[#This Row],[_StartWorkday]],NETWORKDAYS.INTL(ProjectStart,Tasks[[#This Row],[_ShownFcstFinish]],WorkWeek,Holidays)),0)</f>
        <v>0</v>
      </c>
      <c r="GA33" s="43" t="n">
        <f aca="false">IF(AND(Tasks[[#This Row],[_IsLeaf]]=1,Tasks[[#This Row],[_LeafTotalWork]]&gt;0),Tasks[[#This Row],[_LeafWork]]/(Tasks[[#This Row],[_FinishWorkday]]-Tasks[[#This Row],[_StartWorkday]]+1),0)</f>
        <v>0</v>
      </c>
      <c r="GB33" s="43" t="n">
        <f aca="false">Tasks[[#This Row],[_WorkPerWorkday]]*(Tasks[[#This Row],[_StartWorkday]]-1)</f>
        <v>-0</v>
      </c>
      <c r="GC33" s="43" t="n">
        <f aca="false">IF(Tasks[[#This Row],[_IsLeaf]]=1,MAX(N(Tasks[[#This Row],[_Days]]),0.1),0)</f>
        <v>0</v>
      </c>
      <c r="GD33" s="43" t="n">
        <f aca="false">Tasks[[#This Row],[_WeightDur]]*Tasks[[#This Row],[_LeafProgress]]</f>
        <v>0</v>
      </c>
      <c r="GE33" s="43" t="n">
        <f aca="false">Tasks[[#This Row],[_WeightDur]]*Tasks[[#This Row],[_PlannedPct]]</f>
        <v>0</v>
      </c>
      <c r="GF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3" t="str">
        <f aca="false">IF(AND(Tasks[[#This Row],[_IsLeaf]]=1,N(Tasks[[#This Row],[_Days]])=0,Tasks[[#This Row],[_LeafProgress]]&lt;1),Tasks[[#This Row],[_ShownFcstFinish]]+Tasks[[#This Row],[_Row]]/100000,"")</f>
        <v/>
      </c>
      <c r="GH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3" s="43" t="str">
        <f aca="false">IF(Tasks[[#This Row],[Task Name]]="","",LEFT(Tasks[[#This Row],[WBS]],FIND(".",Tasks[[#This Row],[WBS]]&amp;".")-1))</f>
        <v/>
      </c>
      <c r="GJ33" s="43" t="str">
        <f aca="false">IF(AND(Tasks[[#This Row],[Task Name]]&lt;&gt;"",Tasks[[#This Row],[_Level]]=1),Tasks[[#This Row],[_Row]],"")</f>
        <v/>
      </c>
      <c r="GK33" s="43" t="str">
        <f aca="false">IF(AND(Tasks[[#This Row],[_IsLeaf]]=1,N(Tasks[[#This Row],[_Days]])=0),Tasks[[#This Row],[Planned Finish]]+Tasks[[#This Row],[_Row]]/100000,"")</f>
        <v/>
      </c>
      <c r="GL33" s="43" t="str">
        <f aca="false">IF(AND(Tasks[[#This Row],[_IsLeaf]]=1,Tasks[[#This Row],[_LeafProgress]]&lt;1,OR(N(Tasks[[#This Row],[Finish Var]])&gt;0,Tasks[[#This Row],[Status]]="Late Start")),MAX(0,Tasks[[#This Row],[Finish Var]])+1-Tasks[[#This Row],[_Row]]/1000000,"")</f>
        <v/>
      </c>
      <c r="GM33" s="43" t="str">
        <f aca="false">IF(AND(Tasks[[#This Row],[_IsLeaf]]=1,N(Tasks[[#This Row],[Actual Start]])=0,Tasks[[#This Row],[_ShownFcstStart]]&gt;=StatusDate,Tasks[[#This Row],[_ShownFcstStart]]&lt;=LookaheadEnd),Tasks[[#This Row],[_ShownFcstStart]]+Tasks[[#This Row],[_Row]]/100000,"")</f>
        <v/>
      </c>
      <c r="GN33" s="43" t="str">
        <f aca="false">IF(AND(Tasks[[#This Row],[_IsLeaf]]=1,Tasks[[#This Row],[_LeafProgress]]&lt;1,Tasks[[#This Row],[_ShownFcstFinish]]&gt;=StatusDate,Tasks[[#This Row],[_ShownFcstFinish]]&lt;=LookaheadEnd),Tasks[[#This Row],[_ShownFcstFinish]]+Tasks[[#This Row],[_Row]]/100000,"")</f>
        <v/>
      </c>
      <c r="GO33" s="43" t="str">
        <f aca="false">IF(Tasks[[#This Row],[_LeafCritical]],Tasks[[#This Row],[_ShownFcstStart]]+Tasks[[#This Row],[_Row]]/100000,"")</f>
        <v/>
      </c>
      <c r="GP33" s="43" t="n">
        <f aca="false">Tasks[[#This Row],[_LeafWork]]*Tasks[[#This Row],[_LeafProgress]]</f>
        <v>0</v>
      </c>
      <c r="GQ33" s="91" t="str">
        <f aca="false">IF(AND(Tasks[[#This Row],[_IsLeaf]]=1,Tasks[[#This Row],[_LeafProgress]]&gt;=1),IF(N(Tasks[[#This Row],[Actual Finish]])&gt;0,Tasks[[#This Row],[Actual Finish]],Tasks[[#This Row],[_ShownFcstFinish]]),"")</f>
        <v/>
      </c>
      <c r="GR33" s="43" t="n">
        <f aca="false">IF(Tasks[[#This Row],[_IsLeaf]]=1,N(Tasks[[#This Row],[Story Points]]),0)</f>
        <v>0</v>
      </c>
      <c r="GS33" s="43" t="str">
        <f aca="false">""</f>
        <v/>
      </c>
      <c r="GT33" s="90" t="b">
        <f aca="false">IF(Tasks[[#This Row],[Task Name]]="",FALSE(),AND(Tasks[[#This Row],[_IsLeaf]]=1,N(Tasks[[#This Row],[_Days]])=0))</f>
        <v>0</v>
      </c>
      <c r="GU33" s="91" t="n">
        <f aca="false">IF(Tasks[[#This Row],[Task Name]]="",0,IF(AND(Tasks[[#This Row],[_IsLeaf]]=1,NOT(Tasks[[#This Row],[_IsMilestone]]),N(Tasks[[#This Row],[Progress]])&gt;0),Tasks[[#This Row],[Start]],0))</f>
        <v>0</v>
      </c>
      <c r="GV33" s="91" t="n">
        <f aca="false">IF(Tasks[[#This Row],[_DoneFrom]]=0,0,IF(Tasks[[#This Row],[Progress]]&gt;=1,Tasks[[#This Row],[Finish]],MAX(Tasks[[#This Row],[_DoneFrom]],Tasks[[#This Row],[Start]]+ROUND((Tasks[[#This Row],[Finish]]-Tasks[[#This Row],[Start]]+1)*Tasks[[#This Row],[Progress]],0)-1)))</f>
        <v>0</v>
      </c>
      <c r="GW33" s="91" t="n">
        <f aca="false">IF(Tasks[[#This Row],[Task Name]]="",0,IF(OR(NOT(Tasks[[#This Row],[_IsLeaf]]=1),Tasks[[#This Row],[_IsMilestone]],N(Tasks[[#This Row],[Progress]])&gt;=1),0,IF(Tasks[[#This Row],[_DoneTo]]&gt;0,Tasks[[#This Row],[_DoneTo]]+1,Tasks[[#This Row],[Start]])))</f>
        <v>0</v>
      </c>
      <c r="GX33" s="91" t="n">
        <f aca="false">IF(Tasks[[#This Row],[_RemFrom]]=0,0,Tasks[[#This Row],[Finish]])</f>
        <v>0</v>
      </c>
      <c r="GY33" s="90" t="b">
        <f aca="false">IF(Tasks[[#This Row],[Task Name]]="",FALSE(),OR(NOT(BaselineSet),N(Tasks[[#This Row],[Baseline Start]])&gt;0))</f>
        <v>0</v>
      </c>
      <c r="GZ3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92" t="str">
        <f aca="false">IF(Tasks[[#This Row],[_IsLeaf]]=1,Tasks[[#This Row],[_Row]],"")</f>
        <v/>
      </c>
      <c r="HD33" s="92" t="str">
        <f aca="false">IFERROR(INDEX(Tasks[UID],SMALL(Tasks[_PickKey],Tasks[[#This Row],[_Row]]))&amp;" "&amp;INDEX(Tasks[Task Name],SMALL(Tasks[_PickKey],Tasks[[#This Row],[_Row]])),"")</f>
        <v/>
      </c>
      <c r="HE33" s="43" t="str">
        <f aca="false">IF(Tasks[[#This Row],[Task Name]]="","",IF(Tasks[[#This Row],[_IsSummary]],NETWORKDAYS.INTL(Tasks[[#This Row],[Start]],Tasks[[#This Row],[Finish]],WorkWeek,Holidays),N(Tasks[[#This Row],[_Days]])))</f>
        <v/>
      </c>
      <c r="HF33" s="43" t="n">
        <f aca="false">IF(Tasks[[#This Row],[Expected]]="",0,((Tasks[[#This Row],[Pessimistic]]-Tasks[[#This Row],[Optimistic]])/6)^2)</f>
        <v>0</v>
      </c>
      <c r="HG33" s="43" t="n">
        <f aca="false">IF(Tasks[[#This Row],[Expected]]="",0,Tasks[[#This Row],[Expected]]-N(Tasks[[#This Row],[_Days]]))</f>
        <v>0</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4"/>
      <c r="U34" s="23"/>
      <c r="V34" s="84"/>
      <c r="W34" s="23"/>
      <c r="X34" s="84"/>
      <c r="Y34" s="23"/>
      <c r="Z34" s="84"/>
      <c r="AA34" s="23"/>
      <c r="AB34" s="23"/>
      <c r="AC34" s="7"/>
      <c r="AD34" s="7"/>
      <c r="AE34" s="63" t="str">
        <f aca="false">IF(Tasks[[#This Row],[Task Name]]="","",IF(Tasks[[#This Row],[_IsSummary]],MIN(INDEX(Tasks[_ShownFcstStart],Tasks[[#This Row],[_Row]]+1):INDEX(Tasks[_ShownFcstStart],Tasks[[#This Row],[_Row]]+Tasks[[#This Row],[_Descendants]])),Tasks[[#This Row],[_ShownFcstStart]]))</f>
        <v/>
      </c>
      <c r="AF34" s="63"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4" s="7"/>
      <c r="AK34" s="22"/>
      <c r="AL34" s="23"/>
      <c r="AM34" s="7"/>
      <c r="AN34" s="47"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3" t="str">
        <f aca="false">IF(Tasks[[#This Row],[Task Name]]="","",IF(N(Tasks[[#This Row],[Baseline Start]])&gt;0,Tasks[[#This Row],[Baseline Start]],Tasks[[#This Row],[_CalcStart]]))</f>
        <v/>
      </c>
      <c r="AR34" s="63" t="str">
        <f aca="false">IF(Tasks[[#This Row],[Task Name]]="","",IF(N(Tasks[[#This Row],[Baseline Finish]])&gt;0,Tasks[[#This Row],[Baseline Finish]],Tasks[[#This Row],[_CalcFinish]]))</f>
        <v/>
      </c>
      <c r="AS34" s="47" t="str">
        <f aca="false">IF(Tasks[[#This Row],[Task Name]]="","",IF(Tasks[[#This Row],[Start]]&gt;=Tasks[[#This Row],[Planned Start]],NETWORKDAYS.INTL(Tasks[[#This Row],[Planned Start]],Tasks[[#This Row],[Start]],WorkWeek,Holidays)-1,1-NETWORKDAYS.INTL(Tasks[[#This Row],[Start]],Tasks[[#This Row],[Planned Start]],WorkWeek,Holidays)))</f>
        <v/>
      </c>
      <c r="AT34" s="63" t="str">
        <f aca="false">IF(Tasks[[#This Row],[Task Name]]="","",IF(Tasks[[#This Row],[_IsSummary]],MIN(INDEX(Tasks[_LeafLateStart],Tasks[[#This Row],[_Row]]+1):INDEX(Tasks[_LeafLateStart],Tasks[[#This Row],[_Row]]+Tasks[[#This Row],[_Descendants]])),Tasks[[#This Row],[_LeafLateStart]]))</f>
        <v/>
      </c>
      <c r="AU34" s="63" t="str">
        <f aca="false">IF(Tasks[[#This Row],[Task Name]]="","",IF(Tasks[[#This Row],[_IsSummary]],MAX(INDEX(Tasks[_LeafLateFinish],Tasks[[#This Row],[_Row]]+1):INDEX(Tasks[_LeafLateFinish],Tasks[[#This Row],[_Row]]+Tasks[[#This Row],[_Descendants]])),Tasks[[#This Row],[_LeafLateFinish]]))</f>
        <v/>
      </c>
      <c r="AV34" s="47"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5"/>
      <c r="BA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6"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7"/>
      <c r="BJ34" s="22"/>
      <c r="BK34" s="47" t="str">
        <f aca="false">IF(OR(Tasks[[#This Row],[Task Name]]="",Tasks[[#This Row],[Baseline Duration]]=""),"",Tasks[[#This Row],[_SpanDays]]-N(Tasks[[#This Row],[Baseline Duration]]))</f>
        <v/>
      </c>
      <c r="BL34" s="86" t="str">
        <f aca="false">IF(OR(Tasks[[#This Row],[Task Name]]="",Tasks[[#This Row],[Baseline Work]]=""),"",Tasks[[#This Row],[Work]]-N(Tasks[[#This Row],[Baseline Work]]))</f>
        <v/>
      </c>
      <c r="BM34" s="63" t="str">
        <f aca="false">IF(Tasks[[#This Row],[Task Name]]="","",IF(OR(TakeBaseline="Yes",N(Tasks[[#This Row],[Baseline Start]])=0),Tasks[[#This Row],[Start]],Tasks[[#This Row],[Baseline Start]]))</f>
        <v/>
      </c>
      <c r="BN34" s="63" t="str">
        <f aca="false">IF(Tasks[[#This Row],[Task Name]]="","",IF(OR(TakeBaseline="Yes",N(Tasks[[#This Row],[Baseline Finish]])=0),Tasks[[#This Row],[Finish]],Tasks[[#This Row],[Baseline Finish]]))</f>
        <v/>
      </c>
      <c r="BO34" s="21" t="str">
        <f aca="false">IF(Tasks[[#This Row],[Task Name]]="","",IF(OR(TakeBaseline="Yes",N(Tasks[[#This Row],[Baseline Duration]])=0),Tasks[[#This Row],[_SpanDays]],Tasks[[#This Row],[Baseline Duration]]))</f>
        <v/>
      </c>
      <c r="BP34" s="86" t="str">
        <f aca="false">IF(Tasks[[#This Row],[Task Name]]="","",IF(OR(TakeBaseline="Yes",N(Tasks[[#This Row],[Baseline Work]])=0),Tasks[[#This Row],[Work]],Tasks[[#This Row],[Baseline Work]]))</f>
        <v/>
      </c>
      <c r="BQ34" s="7"/>
      <c r="BR34" s="7"/>
      <c r="BS34" s="22"/>
      <c r="BT34" s="88"/>
      <c r="BU34" s="23"/>
      <c r="BV34" s="23"/>
      <c r="BW34" s="23"/>
      <c r="BX34" s="89" t="str">
        <f aca="false">IF(AND(Tasks[[#This Row],[_IsLeaf]]=1,ISNUMBER(Tasks[[#This Row],[Optimistic]]),ISNUMBER(Tasks[[#This Row],[Pessimistic]])),ROUND((Tasks[[#This Row],[Optimistic]]+4*N(Tasks[[#This Row],[_Days]])+Tasks[[#This Row],[Pessimistic]])/6,1),"")</f>
        <v/>
      </c>
      <c r="BY34" s="87"/>
      <c r="BZ34" s="87"/>
      <c r="CA34" s="22"/>
      <c r="CB34" s="43" t="str">
        <f aca="false">IF(Tasks[[#This Row],[Task Name]]="","",MAX(1,N(Tasks[[#This Row],[Level]])))</f>
        <v/>
      </c>
      <c r="CC34" s="43" t="n">
        <f aca="false">ROW()-ROW(Tasks[[#Headers],[ID]])</f>
        <v>29</v>
      </c>
      <c r="CD34" s="43" t="n">
        <f aca="false">IF(OR(Tasks[[#This Row],[Task Name]]="",Tasks[[#This Row],[_Level]]&lt;=1),0,IFERROR(LOOKUP(2,1/(Tasks[[#Headers],[_Level]]:Tasks[[#This Row],[_Level]]=Tasks[[#This Row],[_Level]]-1),ROW(Tasks[[#Headers],[_Level]]:Tasks[[#This Row],[_Level]])),0))</f>
        <v>0</v>
      </c>
      <c r="CE34" s="43" t="n">
        <f aca="false">IFERROR(N(INDEX(Tasks[_Level],Tasks[[#This Row],[_Row]]+1)),0)</f>
        <v>0</v>
      </c>
      <c r="CF34" s="90" t="b">
        <f aca="false">AND(Tasks[[#This Row],[Task Name]]&lt;&gt;"",Tasks[[#This Row],[_NextLevel]]&gt;Tasks[[#This Row],[_Level]])</f>
        <v>0</v>
      </c>
      <c r="CG34" s="43" t="n">
        <f aca="false">IF(Tasks[[#This Row],[_IsSummary]],COUNTIF(Tasks[WBS],Tasks[[#This Row],[WBS]]&amp;".*"),0)</f>
        <v>0</v>
      </c>
      <c r="CH34" s="43" t="n">
        <f aca="false">IF(AND(Tasks[[#This Row],[Task Name]]&lt;&gt;"",NOT(Tasks[[#This Row],[_IsSummary]])),1,0)</f>
        <v>0</v>
      </c>
      <c r="CI34" s="43" t="n">
        <f aca="false">IF(N(Tasks[[#This Row],[_Pred1UID]])=0,0,IFERROR(MATCH(Tasks[[#This Row],[_Pred1UID]],Tasks[UID],0),-1))</f>
        <v>0</v>
      </c>
      <c r="CJ34" s="43" t="n">
        <f aca="false">IF(N(Tasks[[#This Row],[_Pred2UID]])=0,0,IFERROR(MATCH(Tasks[[#This Row],[_Pred2UID]],Tasks[UID],0),-1))</f>
        <v>0</v>
      </c>
      <c r="CK34" s="43" t="n">
        <f aca="false">IF(N(Tasks[[#This Row],[_Pred3UID]])=0,0,IFERROR(MATCH(Tasks[[#This Row],[_Pred3UID]],Tasks[UID],0),-1))</f>
        <v>0</v>
      </c>
      <c r="CL34" s="43" t="n">
        <f aca="false">IF(N(Tasks[[#This Row],[_Pred4UID]])=0,0,IFERROR(MATCH(Tasks[[#This Row],[_Pred4UID]],Tasks[UID],0),-1))</f>
        <v>0</v>
      </c>
      <c r="CM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4" s="91" t="n">
        <f aca="false">IF(OR(Tasks[[#This Row],[_ConstraintCode]]=2,Tasks[[#This Row],[_ConstraintCode]]=3,Tasks[[#This Row],[_ConstraintCode]]=4,Tasks[[#This Row],[_ConstraintCode]]=6),Tasks[[#This Row],[_ConstraintStart]],0)</f>
        <v>0</v>
      </c>
      <c r="CP34" s="91" t="n">
        <f aca="false">IF(OR(Tasks[[#This Row],[_ConstraintCode]]=2,Tasks[[#This Row],[_ConstraintCode]]=3,Tasks[[#This Row],[_ConstraintCode]]=5,Tasks[[#This Row],[_ConstraintCode]]=7),Tasks[[#This Row],[_ConstraintStart]],2958465)</f>
        <v>2958465</v>
      </c>
      <c r="CQ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91" t="str">
        <f aca="false">IF(NOT(Tasks[[#This Row],[_IsLeaf]]=1),"",IF(N(Tasks[[#This Row],[_Days]])&lt;=0,Tasks[[#This Row],[_LeafCalcStart]],WORKDAY.INTL(Tasks[[#This Row],[_LeafCalcStart]],Tasks[[#This Row],[_Days]]-1,WorkWeek,Holidays)))</f>
        <v/>
      </c>
      <c r="CS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3" t="str">
        <f aca="false">IF(Tasks[[#This Row],[_Predecessors]]="","",TRIM(MID(SUBSTITUTE(SUBSTITUTE(SUBSTITUTE(UPPER(Tasks[[#This Row],[_Predecessors]]),";",",")," ",""),",",REPT(" ",99)),1,99)))</f>
        <v/>
      </c>
      <c r="CV34" s="43" t="str">
        <f aca="false">IF(Tasks[[#This Row],[_Pred1Text]]="","",IFERROR(VALUE(LEFT(Tasks[[#This Row],[_Pred1Text]],MIN(FIND("F",Tasks[[#This Row],[_Pred1Text]]&amp;"F"),FIND("S",Tasks[[#This Row],[_Pred1Text]]&amp;"S"),FIND("+",Tasks[[#This Row],[_Pred1Text]]&amp;"+"),FIND("-",Tasks[[#This Row],[_Pred1Text]]&amp;"-"))-1)),""))</f>
        <v/>
      </c>
      <c r="CW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3" t="str">
        <f aca="false">IF(Tasks[[#This Row],[_Pred1Text]]="","",TRIM(MID(SUBSTITUTE(SUBSTITUTE(SUBSTITUTE(UPPER(Tasks[[#This Row],[_Predecessors]]),";",",")," ",""),",",REPT(" ",99)),100,99)))</f>
        <v/>
      </c>
      <c r="CZ34" s="43" t="str">
        <f aca="false">IF(Tasks[[#This Row],[_Pred2Text]]="","",IFERROR(VALUE(LEFT(Tasks[[#This Row],[_Pred2Text]],MIN(FIND("F",Tasks[[#This Row],[_Pred2Text]]&amp;"F"),FIND("S",Tasks[[#This Row],[_Pred2Text]]&amp;"S"),FIND("+",Tasks[[#This Row],[_Pred2Text]]&amp;"+"),FIND("-",Tasks[[#This Row],[_Pred2Text]]&amp;"-"))-1)),""))</f>
        <v/>
      </c>
      <c r="DA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3" t="str">
        <f aca="false">IF(Tasks[[#This Row],[_Pred2Text]]="","",TRIM(MID(SUBSTITUTE(SUBSTITUTE(SUBSTITUTE(UPPER(Tasks[[#This Row],[_Predecessors]]),";",",")," ",""),",",REPT(" ",99)),199,99)))</f>
        <v/>
      </c>
      <c r="DD34" s="43" t="str">
        <f aca="false">IF(Tasks[[#This Row],[_Pred3Text]]="","",IFERROR(VALUE(LEFT(Tasks[[#This Row],[_Pred3Text]],MIN(FIND("F",Tasks[[#This Row],[_Pred3Text]]&amp;"F"),FIND("S",Tasks[[#This Row],[_Pred3Text]]&amp;"S"),FIND("+",Tasks[[#This Row],[_Pred3Text]]&amp;"+"),FIND("-",Tasks[[#This Row],[_Pred3Text]]&amp;"-"))-1)),""))</f>
        <v/>
      </c>
      <c r="DE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3" t="str">
        <f aca="false">IF(Tasks[[#This Row],[_Pred3Text]]="","",TRIM(MID(SUBSTITUTE(SUBSTITUTE(SUBSTITUTE(UPPER(Tasks[[#This Row],[_Predecessors]]),";",",")," ",""),",",REPT(" ",99)),298,99)))</f>
        <v/>
      </c>
      <c r="DH34" s="43" t="str">
        <f aca="false">IF(Tasks[[#This Row],[_Pred4Text]]="","",IFERROR(VALUE(LEFT(Tasks[[#This Row],[_Pred4Text]],MIN(FIND("F",Tasks[[#This Row],[_Pred4Text]]&amp;"F"),FIND("S",Tasks[[#This Row],[_Pred4Text]]&amp;"S"),FIND("+",Tasks[[#This Row],[_Pred4Text]]&amp;"+"),FIND("-",Tasks[[#This Row],[_Pred4Text]]&amp;"-"))-1)),""))</f>
        <v/>
      </c>
      <c r="DI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3" t="str">
        <f aca="false">IF(OR(Tasks[[#This Row],[Task Name]]="",Tasks[[#This Row],[_Resources]]=""),"",TRIM(MID(SUBSTITUTE(Tasks[[#This Row],[_Resources]],",",REPT(" ",99)),1,99)))</f>
        <v/>
      </c>
      <c r="DL34" s="43" t="str">
        <f aca="false">IF(Tasks[[#This Row],[_Res1Text]]="","",TRIM(MID(SUBSTITUTE(Tasks[[#This Row],[_Resources]],",",REPT(" ",99)),100,99)))</f>
        <v/>
      </c>
      <c r="DM34" s="43" t="str">
        <f aca="false">IF(Tasks[[#This Row],[_Res2Text]]="","",TRIM(MID(SUBSTITUTE(Tasks[[#This Row],[_Resources]],",",REPT(" ",99)),199,99)))</f>
        <v/>
      </c>
      <c r="DN34" s="43" t="str">
        <f aca="false">IF(Tasks[[#This Row],[_Res3Text]]="","",TRIM(MID(SUBSTITUTE(Tasks[[#This Row],[_Resources]],",",REPT(" ",99)),298,99)))</f>
        <v/>
      </c>
      <c r="DO34" s="43" t="n">
        <f aca="false">IF(Tasks[[#This Row],[_Res1Text]]="",0,IFERROR(MATCH(TRIM(LEFT(Tasks[[#This Row],[_Res1Text]],FIND("[",Tasks[[#This Row],[_Res1Text]]&amp;"[")-1)),res_Name,0),IFERROR(MATCH(TRIM(LEFT(Tasks[[#This Row],[_Res1Text]],FIND("[",Tasks[[#This Row],[_Res1Text]]&amp;"[")-1)),res_Initials,0),0)))</f>
        <v>0</v>
      </c>
      <c r="DP34" s="43" t="n">
        <f aca="false">IF(Tasks[[#This Row],[_Res2Text]]="",0,IFERROR(MATCH(TRIM(LEFT(Tasks[[#This Row],[_Res2Text]],FIND("[",Tasks[[#This Row],[_Res2Text]]&amp;"[")-1)),res_Name,0),IFERROR(MATCH(TRIM(LEFT(Tasks[[#This Row],[_Res2Text]],FIND("[",Tasks[[#This Row],[_Res2Text]]&amp;"[")-1)),res_Initials,0),0)))</f>
        <v>0</v>
      </c>
      <c r="DQ34" s="43" t="n">
        <f aca="false">IF(Tasks[[#This Row],[_Res3Text]]="",0,IFERROR(MATCH(TRIM(LEFT(Tasks[[#This Row],[_Res3Text]],FIND("[",Tasks[[#This Row],[_Res3Text]]&amp;"[")-1)),res_Name,0),IFERROR(MATCH(TRIM(LEFT(Tasks[[#This Row],[_Res3Text]],FIND("[",Tasks[[#This Row],[_Res3Text]]&amp;"[")-1)),res_Initials,0),0)))</f>
        <v>0</v>
      </c>
      <c r="DR34" s="43" t="n">
        <f aca="false">IF(Tasks[[#This Row],[_Res4Text]]="",0,IFERROR(MATCH(TRIM(LEFT(Tasks[[#This Row],[_Res4Text]],FIND("[",Tasks[[#This Row],[_Res4Text]]&amp;"[")-1)),res_Name,0),IFERROR(MATCH(TRIM(LEFT(Tasks[[#This Row],[_Res4Text]],FIND("[",Tasks[[#This Row],[_Res4Text]]&amp;"[")-1)),res_Initials,0),0)))</f>
        <v>0</v>
      </c>
      <c r="DS34" s="43" t="str">
        <f aca="false">IF(Tasks[[#This Row],[_Res1Text]]="","",IF(Tasks[[#This Row],[_Res1Row]]&gt;0,INDEX(res_Name,Tasks[[#This Row],[_Res1Row]]),TRIM(LEFT(Tasks[[#This Row],[_Res1Text]],FIND("[",Tasks[[#This Row],[_Res1Text]]&amp;"[")-1))))</f>
        <v/>
      </c>
      <c r="DT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3" t="n">
        <f aca="false">IF(NOT(Tasks[[#This Row],[_IsLeaf]]=1),0,(Tasks[[#This Row],[_Resource1]]&lt;&gt;"")+(Tasks[[#This Row],[_Res2]]&lt;&gt;"")+(Tasks[[#This Row],[_Res3]]&lt;&gt;"")+(Tasks[[#This Row],[_Res4]]&lt;&gt;""))</f>
        <v>0</v>
      </c>
      <c r="DV34" s="43" t="str">
        <f aca="false">IF(Tasks[[#This Row],[_Res2Text]]="","",IF(Tasks[[#This Row],[_Res2Row]]&gt;0,INDEX(res_Name,Tasks[[#This Row],[_Res2Row]]),TRIM(LEFT(Tasks[[#This Row],[_Res2Text]],FIND("[",Tasks[[#This Row],[_Res2Text]]&amp;"[")-1))))</f>
        <v/>
      </c>
      <c r="DW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3" t="n">
        <f aca="false">IF(OR(NOT(Tasks[[#This Row],[_IsLeaf]]=1),Tasks[[#This Row],[_Res2Row]]=0),0,N(Tasks[[#This Row],[_Days]])*HoursPerDay*IF(Tasks[[#This Row],[_Res2Units]]="",DefaultUnits,Tasks[[#This Row],[_Res2Units]]))</f>
        <v>0</v>
      </c>
      <c r="DY34" s="43" t="n">
        <f aca="false">IF(AND(AND(Tasks[[#This Row],[_IsLeaf]]=1,Tasks[[#This Row],[_LeafTotalWork]]&gt;0),Tasks[[#This Row],[_Res2Work]]&gt;0),Tasks[[#This Row],[_Res2Work]]/(Tasks[[#This Row],[_FinishWorkday]]-Tasks[[#This Row],[_StartWorkday]]+1),0)</f>
        <v>0</v>
      </c>
      <c r="DZ34" s="43" t="n">
        <f aca="false">Tasks[[#This Row],[_Res2WorkPerWD]]*MAX(0,Tasks[[#This Row],[_StartWorkday]]-1)</f>
        <v>0</v>
      </c>
      <c r="EA34" s="43" t="n">
        <f aca="false">Tasks[[#This Row],[_Res2Work]]*Tasks[[#This Row],[_LeafProgress]]</f>
        <v>0</v>
      </c>
      <c r="EB34" s="43" t="str">
        <f aca="false">IF(Tasks[[#This Row],[_Res3Text]]="","",IF(Tasks[[#This Row],[_Res3Row]]&gt;0,INDEX(res_Name,Tasks[[#This Row],[_Res3Row]]),TRIM(LEFT(Tasks[[#This Row],[_Res3Text]],FIND("[",Tasks[[#This Row],[_Res3Text]]&amp;"[")-1))))</f>
        <v/>
      </c>
      <c r="EC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3" t="n">
        <f aca="false">IF(OR(NOT(Tasks[[#This Row],[_IsLeaf]]=1),Tasks[[#This Row],[_Res3Row]]=0),0,N(Tasks[[#This Row],[_Days]])*HoursPerDay*IF(Tasks[[#This Row],[_Res3Units]]="",DefaultUnits,Tasks[[#This Row],[_Res3Units]]))</f>
        <v>0</v>
      </c>
      <c r="EE34" s="43" t="n">
        <f aca="false">IF(AND(AND(Tasks[[#This Row],[_IsLeaf]]=1,Tasks[[#This Row],[_LeafTotalWork]]&gt;0),Tasks[[#This Row],[_Res3Work]]&gt;0),Tasks[[#This Row],[_Res3Work]]/(Tasks[[#This Row],[_FinishWorkday]]-Tasks[[#This Row],[_StartWorkday]]+1),0)</f>
        <v>0</v>
      </c>
      <c r="EF34" s="43" t="n">
        <f aca="false">Tasks[[#This Row],[_Res3WorkPerWD]]*MAX(0,Tasks[[#This Row],[_StartWorkday]]-1)</f>
        <v>0</v>
      </c>
      <c r="EG34" s="43" t="n">
        <f aca="false">Tasks[[#This Row],[_Res3Work]]*Tasks[[#This Row],[_LeafProgress]]</f>
        <v>0</v>
      </c>
      <c r="EH34" s="43" t="str">
        <f aca="false">IF(Tasks[[#This Row],[_Res4Text]]="","",IF(Tasks[[#This Row],[_Res4Row]]&gt;0,INDEX(res_Name,Tasks[[#This Row],[_Res4Row]]),TRIM(LEFT(Tasks[[#This Row],[_Res4Text]],FIND("[",Tasks[[#This Row],[_Res4Text]]&amp;"[")-1))))</f>
        <v/>
      </c>
      <c r="EI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3" t="n">
        <f aca="false">IF(OR(NOT(Tasks[[#This Row],[_IsLeaf]]=1),Tasks[[#This Row],[_Res4Row]]=0),0,N(Tasks[[#This Row],[_Days]])*HoursPerDay*IF(Tasks[[#This Row],[_Res4Units]]="",DefaultUnits,Tasks[[#This Row],[_Res4Units]]))</f>
        <v>0</v>
      </c>
      <c r="EK34" s="43" t="n">
        <f aca="false">IF(AND(AND(Tasks[[#This Row],[_IsLeaf]]=1,Tasks[[#This Row],[_LeafTotalWork]]&gt;0),Tasks[[#This Row],[_Res4Work]]&gt;0),Tasks[[#This Row],[_Res4Work]]/(Tasks[[#This Row],[_FinishWorkday]]-Tasks[[#This Row],[_StartWorkday]]+1),0)</f>
        <v>0</v>
      </c>
      <c r="EL34" s="43" t="n">
        <f aca="false">Tasks[[#This Row],[_Res4WorkPerWD]]*MAX(0,Tasks[[#This Row],[_StartWorkday]]-1)</f>
        <v>0</v>
      </c>
      <c r="EM34" s="43" t="n">
        <f aca="false">Tasks[[#This Row],[_Res4Work]]*Tasks[[#This Row],[_LeafProgress]]</f>
        <v>0</v>
      </c>
      <c r="EN34" s="43" t="n">
        <f aca="false">IF(ISNUMBER(Tasks[[#This Row],[% Complete]]),Tasks[[#This Row],[% Complete]],IF(Tasks[[#This Row],[Stage]]="",0,IFERROR(INDEX(stg_Pct,MATCH(Tasks[[#This Row],[Stage]],stg_Name,0)),0)))</f>
        <v>0</v>
      </c>
      <c r="EO34" s="43" t="n">
        <f aca="false">IF(NOT(Tasks[[#This Row],[_IsLeaf]]=1),0,IF(N(Tasks[[#This Row],[Actual Finish]])&gt;0,1,MIN(1,Tasks[[#This Row],[_Pct]])))</f>
        <v>0</v>
      </c>
      <c r="EP34" s="43" t="n">
        <f aca="false">IF(OR(NOT(Tasks[[#This Row],[_IsLeaf]]=1),Tasks[[#This Row],[_Res1Row]]=0),0,N(Tasks[[#This Row],[_Days]])*HoursPerDay*IF(Tasks[[#This Row],[_Units1]]="",DefaultUnits,Tasks[[#This Row],[_Units1]]))</f>
        <v>0</v>
      </c>
      <c r="EQ34" s="43" t="n">
        <f aca="false">Tasks[[#This Row],[_LeafWork]]+Tasks[[#This Row],[_Res2Work]]+Tasks[[#This Row],[_Res3Work]]+Tasks[[#This Row],[_Res4Work]]</f>
        <v>0</v>
      </c>
      <c r="ER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3" t="n">
        <f aca="false">IF(NOT(Tasks[[#This Row],[_IsLeaf]]=1),0,MAX(_xlfn.MAXIFS(Tasks[_Row],Tasks[_Pred1UID],Tasks[[#This Row],[UID]]),_xlfn.MAXIFS(Tasks[_Row],Tasks[_Pred2UID],Tasks[[#This Row],[UID]]),_xlfn.MAXIFS(Tasks[_Row],Tasks[_Pred3UID],Tasks[[#This Row],[UID]]),_xlfn.MAXIFS(Tasks[_Row],Tasks[_Pred4UID],Tasks[[#This Row],[UID]])))</f>
        <v>0</v>
      </c>
      <c r="FA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91" t="str">
        <f aca="false">IF(NOT(Tasks[[#This Row],[_IsLeaf]]=1),"",IF(N(Tasks[[#This Row],[_Days]])&lt;=0,Tasks[[#This Row],[_LeafLateFinish]],WORKDAY.INTL(Tasks[[#This Row],[_LeafLateFinish]],-(Tasks[[#This Row],[_Days]]-1),WorkWeek,Holidays)))</f>
        <v/>
      </c>
      <c r="FD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4" s="90" t="b">
        <f aca="false">AND(Tasks[[#This Row],[_IsLeaf]]=1,Tasks[[#This Row],[_LeafProgress]]&lt;1,N(Tasks[[#This Row],[_LeafTotalSlack]])&lt;=CriticalSlackDays)</f>
        <v>0</v>
      </c>
      <c r="FF34" s="43" t="n">
        <f aca="false">IF(AND(Tasks[[#This Row],[_IsLeaf]]=1,Tasks[[#This Row],[_ConstraintCode]]=1,Tasks[[#This Row],[Mode]]&lt;&gt;"Manual",N(Tasks[[#This Row],[Actual Start]])=0),MAX(0,N(Tasks[[#This Row],[Free Slack]])),0)</f>
        <v>0</v>
      </c>
      <c r="FG34" s="91" t="str">
        <f aca="false">IF(NOT(Tasks[[#This Row],[_IsLeaf]]=1),"",IF(Tasks[[#This Row],[_AlapShift]]=0,Tasks[[#This Row],[_LeafCalcStart]],WORKDAY.INTL(Tasks[[#This Row],[_LeafCalcStart]],Tasks[[#This Row],[_AlapShift]],WorkWeek,Holidays)))</f>
        <v/>
      </c>
      <c r="FH34" s="91" t="str">
        <f aca="false">IF(NOT(Tasks[[#This Row],[_IsLeaf]]=1),"",IF(Tasks[[#This Row],[_AlapShift]]=0,Tasks[[#This Row],[_LeafCalcFinish]],WORKDAY.INTL(Tasks[[#This Row],[_LeafCalcFinish]],Tasks[[#This Row],[_AlapShift]],WorkWeek,Holidays)))</f>
        <v/>
      </c>
      <c r="FI34" s="91" t="str">
        <f aca="false">IF(NOT(Tasks[[#This Row],[_IsLeaf]]=1),"",IF(Tasks[[#This Row],[_AlapShift]]=0,Tasks[[#This Row],[_LeafFcstStart]],WORKDAY.INTL(Tasks[[#This Row],[_LeafFcstStart]],Tasks[[#This Row],[_AlapShift]],WorkWeek,Holidays)))</f>
        <v/>
      </c>
      <c r="FJ34" s="91" t="str">
        <f aca="false">IF(NOT(Tasks[[#This Row],[_IsLeaf]]=1),"",IF(Tasks[[#This Row],[_AlapShift]]=0,Tasks[[#This Row],[_LeafFcstFinish]],WORKDAY.INTL(Tasks[[#This Row],[_LeafFcstFinish]],Tasks[[#This Row],[_AlapShift]],WorkWeek,Holidays)))</f>
        <v/>
      </c>
      <c r="FK34" s="91" t="str">
        <f aca="false">IF(Tasks[[#This Row],[Task Name]]="","",IF(Tasks[[#This Row],[_IsSummary]],MIN(INDEX(Tasks[_ShownCalcStart],Tasks[[#This Row],[_Row]]+1):INDEX(Tasks[_ShownCalcStart],Tasks[[#This Row],[_Row]]+Tasks[[#This Row],[_Descendants]])),Tasks[[#This Row],[_ShownCalcStart]]))</f>
        <v/>
      </c>
      <c r="FL34" s="91" t="str">
        <f aca="false">IF(Tasks[[#This Row],[Task Name]]="","",IF(Tasks[[#This Row],[_IsSummary]],MAX(INDEX(Tasks[_ShownCalcFinish],Tasks[[#This Row],[_Row]]+1):INDEX(Tasks[_ShownCalcFinish],Tasks[[#This Row],[_Row]]+Tasks[[#This Row],[_Descendants]])),Tasks[[#This Row],[_ShownCalcFinish]]))</f>
        <v/>
      </c>
      <c r="FM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4" s="43" t="n">
        <f aca="false">IF(AND(Tasks[[#This Row],[_IsLeaf]]=1,Tasks[[#This Row],[_LeafTotalWork]]&gt;0),NETWORKDAYS.INTL(ProjectStart,Tasks[[#This Row],[_ShownFcstStart]],WorkWeek,Holidays),0)</f>
        <v>0</v>
      </c>
      <c r="FZ34" s="43" t="n">
        <f aca="false">IF(AND(Tasks[[#This Row],[_IsLeaf]]=1,Tasks[[#This Row],[_LeafTotalWork]]&gt;0),MAX(Tasks[[#This Row],[_StartWorkday]],NETWORKDAYS.INTL(ProjectStart,Tasks[[#This Row],[_ShownFcstFinish]],WorkWeek,Holidays)),0)</f>
        <v>0</v>
      </c>
      <c r="GA34" s="43" t="n">
        <f aca="false">IF(AND(Tasks[[#This Row],[_IsLeaf]]=1,Tasks[[#This Row],[_LeafTotalWork]]&gt;0),Tasks[[#This Row],[_LeafWork]]/(Tasks[[#This Row],[_FinishWorkday]]-Tasks[[#This Row],[_StartWorkday]]+1),0)</f>
        <v>0</v>
      </c>
      <c r="GB34" s="43" t="n">
        <f aca="false">Tasks[[#This Row],[_WorkPerWorkday]]*(Tasks[[#This Row],[_StartWorkday]]-1)</f>
        <v>-0</v>
      </c>
      <c r="GC34" s="43" t="n">
        <f aca="false">IF(Tasks[[#This Row],[_IsLeaf]]=1,MAX(N(Tasks[[#This Row],[_Days]]),0.1),0)</f>
        <v>0</v>
      </c>
      <c r="GD34" s="43" t="n">
        <f aca="false">Tasks[[#This Row],[_WeightDur]]*Tasks[[#This Row],[_LeafProgress]]</f>
        <v>0</v>
      </c>
      <c r="GE34" s="43" t="n">
        <f aca="false">Tasks[[#This Row],[_WeightDur]]*Tasks[[#This Row],[_PlannedPct]]</f>
        <v>0</v>
      </c>
      <c r="GF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3" t="str">
        <f aca="false">IF(AND(Tasks[[#This Row],[_IsLeaf]]=1,N(Tasks[[#This Row],[_Days]])=0,Tasks[[#This Row],[_LeafProgress]]&lt;1),Tasks[[#This Row],[_ShownFcstFinish]]+Tasks[[#This Row],[_Row]]/100000,"")</f>
        <v/>
      </c>
      <c r="GH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4" s="43" t="str">
        <f aca="false">IF(Tasks[[#This Row],[Task Name]]="","",LEFT(Tasks[[#This Row],[WBS]],FIND(".",Tasks[[#This Row],[WBS]]&amp;".")-1))</f>
        <v/>
      </c>
      <c r="GJ34" s="43" t="str">
        <f aca="false">IF(AND(Tasks[[#This Row],[Task Name]]&lt;&gt;"",Tasks[[#This Row],[_Level]]=1),Tasks[[#This Row],[_Row]],"")</f>
        <v/>
      </c>
      <c r="GK34" s="43" t="str">
        <f aca="false">IF(AND(Tasks[[#This Row],[_IsLeaf]]=1,N(Tasks[[#This Row],[_Days]])=0),Tasks[[#This Row],[Planned Finish]]+Tasks[[#This Row],[_Row]]/100000,"")</f>
        <v/>
      </c>
      <c r="GL34" s="43" t="str">
        <f aca="false">IF(AND(Tasks[[#This Row],[_IsLeaf]]=1,Tasks[[#This Row],[_LeafProgress]]&lt;1,OR(N(Tasks[[#This Row],[Finish Var]])&gt;0,Tasks[[#This Row],[Status]]="Late Start")),MAX(0,Tasks[[#This Row],[Finish Var]])+1-Tasks[[#This Row],[_Row]]/1000000,"")</f>
        <v/>
      </c>
      <c r="GM34" s="43" t="str">
        <f aca="false">IF(AND(Tasks[[#This Row],[_IsLeaf]]=1,N(Tasks[[#This Row],[Actual Start]])=0,Tasks[[#This Row],[_ShownFcstStart]]&gt;=StatusDate,Tasks[[#This Row],[_ShownFcstStart]]&lt;=LookaheadEnd),Tasks[[#This Row],[_ShownFcstStart]]+Tasks[[#This Row],[_Row]]/100000,"")</f>
        <v/>
      </c>
      <c r="GN34" s="43" t="str">
        <f aca="false">IF(AND(Tasks[[#This Row],[_IsLeaf]]=1,Tasks[[#This Row],[_LeafProgress]]&lt;1,Tasks[[#This Row],[_ShownFcstFinish]]&gt;=StatusDate,Tasks[[#This Row],[_ShownFcstFinish]]&lt;=LookaheadEnd),Tasks[[#This Row],[_ShownFcstFinish]]+Tasks[[#This Row],[_Row]]/100000,"")</f>
        <v/>
      </c>
      <c r="GO34" s="43" t="str">
        <f aca="false">IF(Tasks[[#This Row],[_LeafCritical]],Tasks[[#This Row],[_ShownFcstStart]]+Tasks[[#This Row],[_Row]]/100000,"")</f>
        <v/>
      </c>
      <c r="GP34" s="43" t="n">
        <f aca="false">Tasks[[#This Row],[_LeafWork]]*Tasks[[#This Row],[_LeafProgress]]</f>
        <v>0</v>
      </c>
      <c r="GQ34" s="91" t="str">
        <f aca="false">IF(AND(Tasks[[#This Row],[_IsLeaf]]=1,Tasks[[#This Row],[_LeafProgress]]&gt;=1),IF(N(Tasks[[#This Row],[Actual Finish]])&gt;0,Tasks[[#This Row],[Actual Finish]],Tasks[[#This Row],[_ShownFcstFinish]]),"")</f>
        <v/>
      </c>
      <c r="GR34" s="43" t="n">
        <f aca="false">IF(Tasks[[#This Row],[_IsLeaf]]=1,N(Tasks[[#This Row],[Story Points]]),0)</f>
        <v>0</v>
      </c>
      <c r="GS34" s="43" t="str">
        <f aca="false">""</f>
        <v/>
      </c>
      <c r="GT34" s="90" t="b">
        <f aca="false">IF(Tasks[[#This Row],[Task Name]]="",FALSE(),AND(Tasks[[#This Row],[_IsLeaf]]=1,N(Tasks[[#This Row],[_Days]])=0))</f>
        <v>0</v>
      </c>
      <c r="GU34" s="91" t="n">
        <f aca="false">IF(Tasks[[#This Row],[Task Name]]="",0,IF(AND(Tasks[[#This Row],[_IsLeaf]]=1,NOT(Tasks[[#This Row],[_IsMilestone]]),N(Tasks[[#This Row],[Progress]])&gt;0),Tasks[[#This Row],[Start]],0))</f>
        <v>0</v>
      </c>
      <c r="GV34" s="91" t="n">
        <f aca="false">IF(Tasks[[#This Row],[_DoneFrom]]=0,0,IF(Tasks[[#This Row],[Progress]]&gt;=1,Tasks[[#This Row],[Finish]],MAX(Tasks[[#This Row],[_DoneFrom]],Tasks[[#This Row],[Start]]+ROUND((Tasks[[#This Row],[Finish]]-Tasks[[#This Row],[Start]]+1)*Tasks[[#This Row],[Progress]],0)-1)))</f>
        <v>0</v>
      </c>
      <c r="GW34" s="91" t="n">
        <f aca="false">IF(Tasks[[#This Row],[Task Name]]="",0,IF(OR(NOT(Tasks[[#This Row],[_IsLeaf]]=1),Tasks[[#This Row],[_IsMilestone]],N(Tasks[[#This Row],[Progress]])&gt;=1),0,IF(Tasks[[#This Row],[_DoneTo]]&gt;0,Tasks[[#This Row],[_DoneTo]]+1,Tasks[[#This Row],[Start]])))</f>
        <v>0</v>
      </c>
      <c r="GX34" s="91" t="n">
        <f aca="false">IF(Tasks[[#This Row],[_RemFrom]]=0,0,Tasks[[#This Row],[Finish]])</f>
        <v>0</v>
      </c>
      <c r="GY34" s="90" t="b">
        <f aca="false">IF(Tasks[[#This Row],[Task Name]]="",FALSE(),OR(NOT(BaselineSet),N(Tasks[[#This Row],[Baseline Start]])&gt;0))</f>
        <v>0</v>
      </c>
      <c r="GZ3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92" t="str">
        <f aca="false">IF(Tasks[[#This Row],[_IsLeaf]]=1,Tasks[[#This Row],[_Row]],"")</f>
        <v/>
      </c>
      <c r="HD34" s="92" t="str">
        <f aca="false">IFERROR(INDEX(Tasks[UID],SMALL(Tasks[_PickKey],Tasks[[#This Row],[_Row]]))&amp;" "&amp;INDEX(Tasks[Task Name],SMALL(Tasks[_PickKey],Tasks[[#This Row],[_Row]])),"")</f>
        <v/>
      </c>
      <c r="HE34" s="43" t="str">
        <f aca="false">IF(Tasks[[#This Row],[Task Name]]="","",IF(Tasks[[#This Row],[_IsSummary]],NETWORKDAYS.INTL(Tasks[[#This Row],[Start]],Tasks[[#This Row],[Finish]],WorkWeek,Holidays),N(Tasks[[#This Row],[_Days]])))</f>
        <v/>
      </c>
      <c r="HF34" s="43" t="n">
        <f aca="false">IF(Tasks[[#This Row],[Expected]]="",0,((Tasks[[#This Row],[Pessimistic]]-Tasks[[#This Row],[Optimistic]])/6)^2)</f>
        <v>0</v>
      </c>
      <c r="HG34" s="43" t="n">
        <f aca="false">IF(Tasks[[#This Row],[Expected]]="",0,Tasks[[#This Row],[Expected]]-N(Tasks[[#This Row],[_Days]]))</f>
        <v>0</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4"/>
      <c r="U35" s="23"/>
      <c r="V35" s="84"/>
      <c r="W35" s="23"/>
      <c r="X35" s="84"/>
      <c r="Y35" s="23"/>
      <c r="Z35" s="84"/>
      <c r="AA35" s="23"/>
      <c r="AB35" s="23"/>
      <c r="AC35" s="7"/>
      <c r="AD35" s="7"/>
      <c r="AE35" s="63" t="str">
        <f aca="false">IF(Tasks[[#This Row],[Task Name]]="","",IF(Tasks[[#This Row],[_IsSummary]],MIN(INDEX(Tasks[_ShownFcstStart],Tasks[[#This Row],[_Row]]+1):INDEX(Tasks[_ShownFcstStart],Tasks[[#This Row],[_Row]]+Tasks[[#This Row],[_Descendants]])),Tasks[[#This Row],[_ShownFcstStart]]))</f>
        <v/>
      </c>
      <c r="AF35" s="63"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5" s="7"/>
      <c r="AK35" s="22"/>
      <c r="AL35" s="23"/>
      <c r="AM35" s="7"/>
      <c r="AN35" s="47"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3" t="str">
        <f aca="false">IF(Tasks[[#This Row],[Task Name]]="","",IF(N(Tasks[[#This Row],[Baseline Start]])&gt;0,Tasks[[#This Row],[Baseline Start]],Tasks[[#This Row],[_CalcStart]]))</f>
        <v/>
      </c>
      <c r="AR35" s="63" t="str">
        <f aca="false">IF(Tasks[[#This Row],[Task Name]]="","",IF(N(Tasks[[#This Row],[Baseline Finish]])&gt;0,Tasks[[#This Row],[Baseline Finish]],Tasks[[#This Row],[_CalcFinish]]))</f>
        <v/>
      </c>
      <c r="AS35" s="47" t="str">
        <f aca="false">IF(Tasks[[#This Row],[Task Name]]="","",IF(Tasks[[#This Row],[Start]]&gt;=Tasks[[#This Row],[Planned Start]],NETWORKDAYS.INTL(Tasks[[#This Row],[Planned Start]],Tasks[[#This Row],[Start]],WorkWeek,Holidays)-1,1-NETWORKDAYS.INTL(Tasks[[#This Row],[Start]],Tasks[[#This Row],[Planned Start]],WorkWeek,Holidays)))</f>
        <v/>
      </c>
      <c r="AT35" s="63" t="str">
        <f aca="false">IF(Tasks[[#This Row],[Task Name]]="","",IF(Tasks[[#This Row],[_IsSummary]],MIN(INDEX(Tasks[_LeafLateStart],Tasks[[#This Row],[_Row]]+1):INDEX(Tasks[_LeafLateStart],Tasks[[#This Row],[_Row]]+Tasks[[#This Row],[_Descendants]])),Tasks[[#This Row],[_LeafLateStart]]))</f>
        <v/>
      </c>
      <c r="AU35" s="63" t="str">
        <f aca="false">IF(Tasks[[#This Row],[Task Name]]="","",IF(Tasks[[#This Row],[_IsSummary]],MAX(INDEX(Tasks[_LeafLateFinish],Tasks[[#This Row],[_Row]]+1):INDEX(Tasks[_LeafLateFinish],Tasks[[#This Row],[_Row]]+Tasks[[#This Row],[_Descendants]])),Tasks[[#This Row],[_LeafLateFinish]]))</f>
        <v/>
      </c>
      <c r="AV35" s="47"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5"/>
      <c r="BA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6"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7"/>
      <c r="BJ35" s="22"/>
      <c r="BK35" s="47" t="str">
        <f aca="false">IF(OR(Tasks[[#This Row],[Task Name]]="",Tasks[[#This Row],[Baseline Duration]]=""),"",Tasks[[#This Row],[_SpanDays]]-N(Tasks[[#This Row],[Baseline Duration]]))</f>
        <v/>
      </c>
      <c r="BL35" s="86" t="str">
        <f aca="false">IF(OR(Tasks[[#This Row],[Task Name]]="",Tasks[[#This Row],[Baseline Work]]=""),"",Tasks[[#This Row],[Work]]-N(Tasks[[#This Row],[Baseline Work]]))</f>
        <v/>
      </c>
      <c r="BM35" s="63" t="str">
        <f aca="false">IF(Tasks[[#This Row],[Task Name]]="","",IF(OR(TakeBaseline="Yes",N(Tasks[[#This Row],[Baseline Start]])=0),Tasks[[#This Row],[Start]],Tasks[[#This Row],[Baseline Start]]))</f>
        <v/>
      </c>
      <c r="BN35" s="63" t="str">
        <f aca="false">IF(Tasks[[#This Row],[Task Name]]="","",IF(OR(TakeBaseline="Yes",N(Tasks[[#This Row],[Baseline Finish]])=0),Tasks[[#This Row],[Finish]],Tasks[[#This Row],[Baseline Finish]]))</f>
        <v/>
      </c>
      <c r="BO35" s="21" t="str">
        <f aca="false">IF(Tasks[[#This Row],[Task Name]]="","",IF(OR(TakeBaseline="Yes",N(Tasks[[#This Row],[Baseline Duration]])=0),Tasks[[#This Row],[_SpanDays]],Tasks[[#This Row],[Baseline Duration]]))</f>
        <v/>
      </c>
      <c r="BP35" s="86" t="str">
        <f aca="false">IF(Tasks[[#This Row],[Task Name]]="","",IF(OR(TakeBaseline="Yes",N(Tasks[[#This Row],[Baseline Work]])=0),Tasks[[#This Row],[Work]],Tasks[[#This Row],[Baseline Work]]))</f>
        <v/>
      </c>
      <c r="BQ35" s="7"/>
      <c r="BR35" s="7"/>
      <c r="BS35" s="22"/>
      <c r="BT35" s="88"/>
      <c r="BU35" s="23"/>
      <c r="BV35" s="23"/>
      <c r="BW35" s="23"/>
      <c r="BX35" s="89" t="str">
        <f aca="false">IF(AND(Tasks[[#This Row],[_IsLeaf]]=1,ISNUMBER(Tasks[[#This Row],[Optimistic]]),ISNUMBER(Tasks[[#This Row],[Pessimistic]])),ROUND((Tasks[[#This Row],[Optimistic]]+4*N(Tasks[[#This Row],[_Days]])+Tasks[[#This Row],[Pessimistic]])/6,1),"")</f>
        <v/>
      </c>
      <c r="BY35" s="87"/>
      <c r="BZ35" s="87"/>
      <c r="CA35" s="22"/>
      <c r="CB35" s="43" t="str">
        <f aca="false">IF(Tasks[[#This Row],[Task Name]]="","",MAX(1,N(Tasks[[#This Row],[Level]])))</f>
        <v/>
      </c>
      <c r="CC35" s="43" t="n">
        <f aca="false">ROW()-ROW(Tasks[[#Headers],[ID]])</f>
        <v>30</v>
      </c>
      <c r="CD35" s="43" t="n">
        <f aca="false">IF(OR(Tasks[[#This Row],[Task Name]]="",Tasks[[#This Row],[_Level]]&lt;=1),0,IFERROR(LOOKUP(2,1/(Tasks[[#Headers],[_Level]]:Tasks[[#This Row],[_Level]]=Tasks[[#This Row],[_Level]]-1),ROW(Tasks[[#Headers],[_Level]]:Tasks[[#This Row],[_Level]])),0))</f>
        <v>0</v>
      </c>
      <c r="CE35" s="43" t="n">
        <f aca="false">IFERROR(N(INDEX(Tasks[_Level],Tasks[[#This Row],[_Row]]+1)),0)</f>
        <v>0</v>
      </c>
      <c r="CF35" s="90" t="b">
        <f aca="false">AND(Tasks[[#This Row],[Task Name]]&lt;&gt;"",Tasks[[#This Row],[_NextLevel]]&gt;Tasks[[#This Row],[_Level]])</f>
        <v>0</v>
      </c>
      <c r="CG35" s="43" t="n">
        <f aca="false">IF(Tasks[[#This Row],[_IsSummary]],COUNTIF(Tasks[WBS],Tasks[[#This Row],[WBS]]&amp;".*"),0)</f>
        <v>0</v>
      </c>
      <c r="CH35" s="43" t="n">
        <f aca="false">IF(AND(Tasks[[#This Row],[Task Name]]&lt;&gt;"",NOT(Tasks[[#This Row],[_IsSummary]])),1,0)</f>
        <v>0</v>
      </c>
      <c r="CI35" s="43" t="n">
        <f aca="false">IF(N(Tasks[[#This Row],[_Pred1UID]])=0,0,IFERROR(MATCH(Tasks[[#This Row],[_Pred1UID]],Tasks[UID],0),-1))</f>
        <v>0</v>
      </c>
      <c r="CJ35" s="43" t="n">
        <f aca="false">IF(N(Tasks[[#This Row],[_Pred2UID]])=0,0,IFERROR(MATCH(Tasks[[#This Row],[_Pred2UID]],Tasks[UID],0),-1))</f>
        <v>0</v>
      </c>
      <c r="CK35" s="43" t="n">
        <f aca="false">IF(N(Tasks[[#This Row],[_Pred3UID]])=0,0,IFERROR(MATCH(Tasks[[#This Row],[_Pred3UID]],Tasks[UID],0),-1))</f>
        <v>0</v>
      </c>
      <c r="CL35" s="43" t="n">
        <f aca="false">IF(N(Tasks[[#This Row],[_Pred4UID]])=0,0,IFERROR(MATCH(Tasks[[#This Row],[_Pred4UID]],Tasks[UID],0),-1))</f>
        <v>0</v>
      </c>
      <c r="CM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5" s="91" t="n">
        <f aca="false">IF(OR(Tasks[[#This Row],[_ConstraintCode]]=2,Tasks[[#This Row],[_ConstraintCode]]=3,Tasks[[#This Row],[_ConstraintCode]]=4,Tasks[[#This Row],[_ConstraintCode]]=6),Tasks[[#This Row],[_ConstraintStart]],0)</f>
        <v>0</v>
      </c>
      <c r="CP35" s="91" t="n">
        <f aca="false">IF(OR(Tasks[[#This Row],[_ConstraintCode]]=2,Tasks[[#This Row],[_ConstraintCode]]=3,Tasks[[#This Row],[_ConstraintCode]]=5,Tasks[[#This Row],[_ConstraintCode]]=7),Tasks[[#This Row],[_ConstraintStart]],2958465)</f>
        <v>2958465</v>
      </c>
      <c r="CQ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91" t="str">
        <f aca="false">IF(NOT(Tasks[[#This Row],[_IsLeaf]]=1),"",IF(N(Tasks[[#This Row],[_Days]])&lt;=0,Tasks[[#This Row],[_LeafCalcStart]],WORKDAY.INTL(Tasks[[#This Row],[_LeafCalcStart]],Tasks[[#This Row],[_Days]]-1,WorkWeek,Holidays)))</f>
        <v/>
      </c>
      <c r="CS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3" t="str">
        <f aca="false">IF(Tasks[[#This Row],[_Predecessors]]="","",TRIM(MID(SUBSTITUTE(SUBSTITUTE(SUBSTITUTE(UPPER(Tasks[[#This Row],[_Predecessors]]),";",",")," ",""),",",REPT(" ",99)),1,99)))</f>
        <v/>
      </c>
      <c r="CV35" s="43" t="str">
        <f aca="false">IF(Tasks[[#This Row],[_Pred1Text]]="","",IFERROR(VALUE(LEFT(Tasks[[#This Row],[_Pred1Text]],MIN(FIND("F",Tasks[[#This Row],[_Pred1Text]]&amp;"F"),FIND("S",Tasks[[#This Row],[_Pred1Text]]&amp;"S"),FIND("+",Tasks[[#This Row],[_Pred1Text]]&amp;"+"),FIND("-",Tasks[[#This Row],[_Pred1Text]]&amp;"-"))-1)),""))</f>
        <v/>
      </c>
      <c r="CW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3" t="str">
        <f aca="false">IF(Tasks[[#This Row],[_Pred1Text]]="","",TRIM(MID(SUBSTITUTE(SUBSTITUTE(SUBSTITUTE(UPPER(Tasks[[#This Row],[_Predecessors]]),";",",")," ",""),",",REPT(" ",99)),100,99)))</f>
        <v/>
      </c>
      <c r="CZ35" s="43" t="str">
        <f aca="false">IF(Tasks[[#This Row],[_Pred2Text]]="","",IFERROR(VALUE(LEFT(Tasks[[#This Row],[_Pred2Text]],MIN(FIND("F",Tasks[[#This Row],[_Pred2Text]]&amp;"F"),FIND("S",Tasks[[#This Row],[_Pred2Text]]&amp;"S"),FIND("+",Tasks[[#This Row],[_Pred2Text]]&amp;"+"),FIND("-",Tasks[[#This Row],[_Pred2Text]]&amp;"-"))-1)),""))</f>
        <v/>
      </c>
      <c r="DA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3" t="str">
        <f aca="false">IF(Tasks[[#This Row],[_Pred2Text]]="","",TRIM(MID(SUBSTITUTE(SUBSTITUTE(SUBSTITUTE(UPPER(Tasks[[#This Row],[_Predecessors]]),";",",")," ",""),",",REPT(" ",99)),199,99)))</f>
        <v/>
      </c>
      <c r="DD35" s="43" t="str">
        <f aca="false">IF(Tasks[[#This Row],[_Pred3Text]]="","",IFERROR(VALUE(LEFT(Tasks[[#This Row],[_Pred3Text]],MIN(FIND("F",Tasks[[#This Row],[_Pred3Text]]&amp;"F"),FIND("S",Tasks[[#This Row],[_Pred3Text]]&amp;"S"),FIND("+",Tasks[[#This Row],[_Pred3Text]]&amp;"+"),FIND("-",Tasks[[#This Row],[_Pred3Text]]&amp;"-"))-1)),""))</f>
        <v/>
      </c>
      <c r="DE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3" t="str">
        <f aca="false">IF(Tasks[[#This Row],[_Pred3Text]]="","",TRIM(MID(SUBSTITUTE(SUBSTITUTE(SUBSTITUTE(UPPER(Tasks[[#This Row],[_Predecessors]]),";",",")," ",""),",",REPT(" ",99)),298,99)))</f>
        <v/>
      </c>
      <c r="DH35" s="43" t="str">
        <f aca="false">IF(Tasks[[#This Row],[_Pred4Text]]="","",IFERROR(VALUE(LEFT(Tasks[[#This Row],[_Pred4Text]],MIN(FIND("F",Tasks[[#This Row],[_Pred4Text]]&amp;"F"),FIND("S",Tasks[[#This Row],[_Pred4Text]]&amp;"S"),FIND("+",Tasks[[#This Row],[_Pred4Text]]&amp;"+"),FIND("-",Tasks[[#This Row],[_Pred4Text]]&amp;"-"))-1)),""))</f>
        <v/>
      </c>
      <c r="DI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3" t="str">
        <f aca="false">IF(OR(Tasks[[#This Row],[Task Name]]="",Tasks[[#This Row],[_Resources]]=""),"",TRIM(MID(SUBSTITUTE(Tasks[[#This Row],[_Resources]],",",REPT(" ",99)),1,99)))</f>
        <v/>
      </c>
      <c r="DL35" s="43" t="str">
        <f aca="false">IF(Tasks[[#This Row],[_Res1Text]]="","",TRIM(MID(SUBSTITUTE(Tasks[[#This Row],[_Resources]],",",REPT(" ",99)),100,99)))</f>
        <v/>
      </c>
      <c r="DM35" s="43" t="str">
        <f aca="false">IF(Tasks[[#This Row],[_Res2Text]]="","",TRIM(MID(SUBSTITUTE(Tasks[[#This Row],[_Resources]],",",REPT(" ",99)),199,99)))</f>
        <v/>
      </c>
      <c r="DN35" s="43" t="str">
        <f aca="false">IF(Tasks[[#This Row],[_Res3Text]]="","",TRIM(MID(SUBSTITUTE(Tasks[[#This Row],[_Resources]],",",REPT(" ",99)),298,99)))</f>
        <v/>
      </c>
      <c r="DO35" s="43" t="n">
        <f aca="false">IF(Tasks[[#This Row],[_Res1Text]]="",0,IFERROR(MATCH(TRIM(LEFT(Tasks[[#This Row],[_Res1Text]],FIND("[",Tasks[[#This Row],[_Res1Text]]&amp;"[")-1)),res_Name,0),IFERROR(MATCH(TRIM(LEFT(Tasks[[#This Row],[_Res1Text]],FIND("[",Tasks[[#This Row],[_Res1Text]]&amp;"[")-1)),res_Initials,0),0)))</f>
        <v>0</v>
      </c>
      <c r="DP35" s="43" t="n">
        <f aca="false">IF(Tasks[[#This Row],[_Res2Text]]="",0,IFERROR(MATCH(TRIM(LEFT(Tasks[[#This Row],[_Res2Text]],FIND("[",Tasks[[#This Row],[_Res2Text]]&amp;"[")-1)),res_Name,0),IFERROR(MATCH(TRIM(LEFT(Tasks[[#This Row],[_Res2Text]],FIND("[",Tasks[[#This Row],[_Res2Text]]&amp;"[")-1)),res_Initials,0),0)))</f>
        <v>0</v>
      </c>
      <c r="DQ35" s="43" t="n">
        <f aca="false">IF(Tasks[[#This Row],[_Res3Text]]="",0,IFERROR(MATCH(TRIM(LEFT(Tasks[[#This Row],[_Res3Text]],FIND("[",Tasks[[#This Row],[_Res3Text]]&amp;"[")-1)),res_Name,0),IFERROR(MATCH(TRIM(LEFT(Tasks[[#This Row],[_Res3Text]],FIND("[",Tasks[[#This Row],[_Res3Text]]&amp;"[")-1)),res_Initials,0),0)))</f>
        <v>0</v>
      </c>
      <c r="DR35" s="43" t="n">
        <f aca="false">IF(Tasks[[#This Row],[_Res4Text]]="",0,IFERROR(MATCH(TRIM(LEFT(Tasks[[#This Row],[_Res4Text]],FIND("[",Tasks[[#This Row],[_Res4Text]]&amp;"[")-1)),res_Name,0),IFERROR(MATCH(TRIM(LEFT(Tasks[[#This Row],[_Res4Text]],FIND("[",Tasks[[#This Row],[_Res4Text]]&amp;"[")-1)),res_Initials,0),0)))</f>
        <v>0</v>
      </c>
      <c r="DS35" s="43" t="str">
        <f aca="false">IF(Tasks[[#This Row],[_Res1Text]]="","",IF(Tasks[[#This Row],[_Res1Row]]&gt;0,INDEX(res_Name,Tasks[[#This Row],[_Res1Row]]),TRIM(LEFT(Tasks[[#This Row],[_Res1Text]],FIND("[",Tasks[[#This Row],[_Res1Text]]&amp;"[")-1))))</f>
        <v/>
      </c>
      <c r="DT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3" t="n">
        <f aca="false">IF(NOT(Tasks[[#This Row],[_IsLeaf]]=1),0,(Tasks[[#This Row],[_Resource1]]&lt;&gt;"")+(Tasks[[#This Row],[_Res2]]&lt;&gt;"")+(Tasks[[#This Row],[_Res3]]&lt;&gt;"")+(Tasks[[#This Row],[_Res4]]&lt;&gt;""))</f>
        <v>0</v>
      </c>
      <c r="DV35" s="43" t="str">
        <f aca="false">IF(Tasks[[#This Row],[_Res2Text]]="","",IF(Tasks[[#This Row],[_Res2Row]]&gt;0,INDEX(res_Name,Tasks[[#This Row],[_Res2Row]]),TRIM(LEFT(Tasks[[#This Row],[_Res2Text]],FIND("[",Tasks[[#This Row],[_Res2Text]]&amp;"[")-1))))</f>
        <v/>
      </c>
      <c r="DW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3" t="n">
        <f aca="false">IF(OR(NOT(Tasks[[#This Row],[_IsLeaf]]=1),Tasks[[#This Row],[_Res2Row]]=0),0,N(Tasks[[#This Row],[_Days]])*HoursPerDay*IF(Tasks[[#This Row],[_Res2Units]]="",DefaultUnits,Tasks[[#This Row],[_Res2Units]]))</f>
        <v>0</v>
      </c>
      <c r="DY35" s="43" t="n">
        <f aca="false">IF(AND(AND(Tasks[[#This Row],[_IsLeaf]]=1,Tasks[[#This Row],[_LeafTotalWork]]&gt;0),Tasks[[#This Row],[_Res2Work]]&gt;0),Tasks[[#This Row],[_Res2Work]]/(Tasks[[#This Row],[_FinishWorkday]]-Tasks[[#This Row],[_StartWorkday]]+1),0)</f>
        <v>0</v>
      </c>
      <c r="DZ35" s="43" t="n">
        <f aca="false">Tasks[[#This Row],[_Res2WorkPerWD]]*MAX(0,Tasks[[#This Row],[_StartWorkday]]-1)</f>
        <v>0</v>
      </c>
      <c r="EA35" s="43" t="n">
        <f aca="false">Tasks[[#This Row],[_Res2Work]]*Tasks[[#This Row],[_LeafProgress]]</f>
        <v>0</v>
      </c>
      <c r="EB35" s="43" t="str">
        <f aca="false">IF(Tasks[[#This Row],[_Res3Text]]="","",IF(Tasks[[#This Row],[_Res3Row]]&gt;0,INDEX(res_Name,Tasks[[#This Row],[_Res3Row]]),TRIM(LEFT(Tasks[[#This Row],[_Res3Text]],FIND("[",Tasks[[#This Row],[_Res3Text]]&amp;"[")-1))))</f>
        <v/>
      </c>
      <c r="EC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3" t="n">
        <f aca="false">IF(OR(NOT(Tasks[[#This Row],[_IsLeaf]]=1),Tasks[[#This Row],[_Res3Row]]=0),0,N(Tasks[[#This Row],[_Days]])*HoursPerDay*IF(Tasks[[#This Row],[_Res3Units]]="",DefaultUnits,Tasks[[#This Row],[_Res3Units]]))</f>
        <v>0</v>
      </c>
      <c r="EE35" s="43" t="n">
        <f aca="false">IF(AND(AND(Tasks[[#This Row],[_IsLeaf]]=1,Tasks[[#This Row],[_LeafTotalWork]]&gt;0),Tasks[[#This Row],[_Res3Work]]&gt;0),Tasks[[#This Row],[_Res3Work]]/(Tasks[[#This Row],[_FinishWorkday]]-Tasks[[#This Row],[_StartWorkday]]+1),0)</f>
        <v>0</v>
      </c>
      <c r="EF35" s="43" t="n">
        <f aca="false">Tasks[[#This Row],[_Res3WorkPerWD]]*MAX(0,Tasks[[#This Row],[_StartWorkday]]-1)</f>
        <v>0</v>
      </c>
      <c r="EG35" s="43" t="n">
        <f aca="false">Tasks[[#This Row],[_Res3Work]]*Tasks[[#This Row],[_LeafProgress]]</f>
        <v>0</v>
      </c>
      <c r="EH35" s="43" t="str">
        <f aca="false">IF(Tasks[[#This Row],[_Res4Text]]="","",IF(Tasks[[#This Row],[_Res4Row]]&gt;0,INDEX(res_Name,Tasks[[#This Row],[_Res4Row]]),TRIM(LEFT(Tasks[[#This Row],[_Res4Text]],FIND("[",Tasks[[#This Row],[_Res4Text]]&amp;"[")-1))))</f>
        <v/>
      </c>
      <c r="EI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3" t="n">
        <f aca="false">IF(OR(NOT(Tasks[[#This Row],[_IsLeaf]]=1),Tasks[[#This Row],[_Res4Row]]=0),0,N(Tasks[[#This Row],[_Days]])*HoursPerDay*IF(Tasks[[#This Row],[_Res4Units]]="",DefaultUnits,Tasks[[#This Row],[_Res4Units]]))</f>
        <v>0</v>
      </c>
      <c r="EK35" s="43" t="n">
        <f aca="false">IF(AND(AND(Tasks[[#This Row],[_IsLeaf]]=1,Tasks[[#This Row],[_LeafTotalWork]]&gt;0),Tasks[[#This Row],[_Res4Work]]&gt;0),Tasks[[#This Row],[_Res4Work]]/(Tasks[[#This Row],[_FinishWorkday]]-Tasks[[#This Row],[_StartWorkday]]+1),0)</f>
        <v>0</v>
      </c>
      <c r="EL35" s="43" t="n">
        <f aca="false">Tasks[[#This Row],[_Res4WorkPerWD]]*MAX(0,Tasks[[#This Row],[_StartWorkday]]-1)</f>
        <v>0</v>
      </c>
      <c r="EM35" s="43" t="n">
        <f aca="false">Tasks[[#This Row],[_Res4Work]]*Tasks[[#This Row],[_LeafProgress]]</f>
        <v>0</v>
      </c>
      <c r="EN35" s="43" t="n">
        <f aca="false">IF(ISNUMBER(Tasks[[#This Row],[% Complete]]),Tasks[[#This Row],[% Complete]],IF(Tasks[[#This Row],[Stage]]="",0,IFERROR(INDEX(stg_Pct,MATCH(Tasks[[#This Row],[Stage]],stg_Name,0)),0)))</f>
        <v>0</v>
      </c>
      <c r="EO35" s="43" t="n">
        <f aca="false">IF(NOT(Tasks[[#This Row],[_IsLeaf]]=1),0,IF(N(Tasks[[#This Row],[Actual Finish]])&gt;0,1,MIN(1,Tasks[[#This Row],[_Pct]])))</f>
        <v>0</v>
      </c>
      <c r="EP35" s="43" t="n">
        <f aca="false">IF(OR(NOT(Tasks[[#This Row],[_IsLeaf]]=1),Tasks[[#This Row],[_Res1Row]]=0),0,N(Tasks[[#This Row],[_Days]])*HoursPerDay*IF(Tasks[[#This Row],[_Units1]]="",DefaultUnits,Tasks[[#This Row],[_Units1]]))</f>
        <v>0</v>
      </c>
      <c r="EQ35" s="43" t="n">
        <f aca="false">Tasks[[#This Row],[_LeafWork]]+Tasks[[#This Row],[_Res2Work]]+Tasks[[#This Row],[_Res3Work]]+Tasks[[#This Row],[_Res4Work]]</f>
        <v>0</v>
      </c>
      <c r="ER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3" t="n">
        <f aca="false">IF(NOT(Tasks[[#This Row],[_IsLeaf]]=1),0,MAX(_xlfn.MAXIFS(Tasks[_Row],Tasks[_Pred1UID],Tasks[[#This Row],[UID]]),_xlfn.MAXIFS(Tasks[_Row],Tasks[_Pred2UID],Tasks[[#This Row],[UID]]),_xlfn.MAXIFS(Tasks[_Row],Tasks[_Pred3UID],Tasks[[#This Row],[UID]]),_xlfn.MAXIFS(Tasks[_Row],Tasks[_Pred4UID],Tasks[[#This Row],[UID]])))</f>
        <v>0</v>
      </c>
      <c r="FA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91" t="str">
        <f aca="false">IF(NOT(Tasks[[#This Row],[_IsLeaf]]=1),"",IF(N(Tasks[[#This Row],[_Days]])&lt;=0,Tasks[[#This Row],[_LeafLateFinish]],WORKDAY.INTL(Tasks[[#This Row],[_LeafLateFinish]],-(Tasks[[#This Row],[_Days]]-1),WorkWeek,Holidays)))</f>
        <v/>
      </c>
      <c r="FD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5" s="90" t="b">
        <f aca="false">AND(Tasks[[#This Row],[_IsLeaf]]=1,Tasks[[#This Row],[_LeafProgress]]&lt;1,N(Tasks[[#This Row],[_LeafTotalSlack]])&lt;=CriticalSlackDays)</f>
        <v>0</v>
      </c>
      <c r="FF35" s="43" t="n">
        <f aca="false">IF(AND(Tasks[[#This Row],[_IsLeaf]]=1,Tasks[[#This Row],[_ConstraintCode]]=1,Tasks[[#This Row],[Mode]]&lt;&gt;"Manual",N(Tasks[[#This Row],[Actual Start]])=0),MAX(0,N(Tasks[[#This Row],[Free Slack]])),0)</f>
        <v>0</v>
      </c>
      <c r="FG35" s="91" t="str">
        <f aca="false">IF(NOT(Tasks[[#This Row],[_IsLeaf]]=1),"",IF(Tasks[[#This Row],[_AlapShift]]=0,Tasks[[#This Row],[_LeafCalcStart]],WORKDAY.INTL(Tasks[[#This Row],[_LeafCalcStart]],Tasks[[#This Row],[_AlapShift]],WorkWeek,Holidays)))</f>
        <v/>
      </c>
      <c r="FH35" s="91" t="str">
        <f aca="false">IF(NOT(Tasks[[#This Row],[_IsLeaf]]=1),"",IF(Tasks[[#This Row],[_AlapShift]]=0,Tasks[[#This Row],[_LeafCalcFinish]],WORKDAY.INTL(Tasks[[#This Row],[_LeafCalcFinish]],Tasks[[#This Row],[_AlapShift]],WorkWeek,Holidays)))</f>
        <v/>
      </c>
      <c r="FI35" s="91" t="str">
        <f aca="false">IF(NOT(Tasks[[#This Row],[_IsLeaf]]=1),"",IF(Tasks[[#This Row],[_AlapShift]]=0,Tasks[[#This Row],[_LeafFcstStart]],WORKDAY.INTL(Tasks[[#This Row],[_LeafFcstStart]],Tasks[[#This Row],[_AlapShift]],WorkWeek,Holidays)))</f>
        <v/>
      </c>
      <c r="FJ35" s="91" t="str">
        <f aca="false">IF(NOT(Tasks[[#This Row],[_IsLeaf]]=1),"",IF(Tasks[[#This Row],[_AlapShift]]=0,Tasks[[#This Row],[_LeafFcstFinish]],WORKDAY.INTL(Tasks[[#This Row],[_LeafFcstFinish]],Tasks[[#This Row],[_AlapShift]],WorkWeek,Holidays)))</f>
        <v/>
      </c>
      <c r="FK35" s="91" t="str">
        <f aca="false">IF(Tasks[[#This Row],[Task Name]]="","",IF(Tasks[[#This Row],[_IsSummary]],MIN(INDEX(Tasks[_ShownCalcStart],Tasks[[#This Row],[_Row]]+1):INDEX(Tasks[_ShownCalcStart],Tasks[[#This Row],[_Row]]+Tasks[[#This Row],[_Descendants]])),Tasks[[#This Row],[_ShownCalcStart]]))</f>
        <v/>
      </c>
      <c r="FL35" s="91" t="str">
        <f aca="false">IF(Tasks[[#This Row],[Task Name]]="","",IF(Tasks[[#This Row],[_IsSummary]],MAX(INDEX(Tasks[_ShownCalcFinish],Tasks[[#This Row],[_Row]]+1):INDEX(Tasks[_ShownCalcFinish],Tasks[[#This Row],[_Row]]+Tasks[[#This Row],[_Descendants]])),Tasks[[#This Row],[_ShownCalcFinish]]))</f>
        <v/>
      </c>
      <c r="FM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5" s="43" t="n">
        <f aca="false">IF(AND(Tasks[[#This Row],[_IsLeaf]]=1,Tasks[[#This Row],[_LeafTotalWork]]&gt;0),NETWORKDAYS.INTL(ProjectStart,Tasks[[#This Row],[_ShownFcstStart]],WorkWeek,Holidays),0)</f>
        <v>0</v>
      </c>
      <c r="FZ35" s="43" t="n">
        <f aca="false">IF(AND(Tasks[[#This Row],[_IsLeaf]]=1,Tasks[[#This Row],[_LeafTotalWork]]&gt;0),MAX(Tasks[[#This Row],[_StartWorkday]],NETWORKDAYS.INTL(ProjectStart,Tasks[[#This Row],[_ShownFcstFinish]],WorkWeek,Holidays)),0)</f>
        <v>0</v>
      </c>
      <c r="GA35" s="43" t="n">
        <f aca="false">IF(AND(Tasks[[#This Row],[_IsLeaf]]=1,Tasks[[#This Row],[_LeafTotalWork]]&gt;0),Tasks[[#This Row],[_LeafWork]]/(Tasks[[#This Row],[_FinishWorkday]]-Tasks[[#This Row],[_StartWorkday]]+1),0)</f>
        <v>0</v>
      </c>
      <c r="GB35" s="43" t="n">
        <f aca="false">Tasks[[#This Row],[_WorkPerWorkday]]*(Tasks[[#This Row],[_StartWorkday]]-1)</f>
        <v>-0</v>
      </c>
      <c r="GC35" s="43" t="n">
        <f aca="false">IF(Tasks[[#This Row],[_IsLeaf]]=1,MAX(N(Tasks[[#This Row],[_Days]]),0.1),0)</f>
        <v>0</v>
      </c>
      <c r="GD35" s="43" t="n">
        <f aca="false">Tasks[[#This Row],[_WeightDur]]*Tasks[[#This Row],[_LeafProgress]]</f>
        <v>0</v>
      </c>
      <c r="GE35" s="43" t="n">
        <f aca="false">Tasks[[#This Row],[_WeightDur]]*Tasks[[#This Row],[_PlannedPct]]</f>
        <v>0</v>
      </c>
      <c r="GF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3" t="str">
        <f aca="false">IF(AND(Tasks[[#This Row],[_IsLeaf]]=1,N(Tasks[[#This Row],[_Days]])=0,Tasks[[#This Row],[_LeafProgress]]&lt;1),Tasks[[#This Row],[_ShownFcstFinish]]+Tasks[[#This Row],[_Row]]/100000,"")</f>
        <v/>
      </c>
      <c r="GH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5" s="43" t="str">
        <f aca="false">IF(Tasks[[#This Row],[Task Name]]="","",LEFT(Tasks[[#This Row],[WBS]],FIND(".",Tasks[[#This Row],[WBS]]&amp;".")-1))</f>
        <v/>
      </c>
      <c r="GJ35" s="43" t="str">
        <f aca="false">IF(AND(Tasks[[#This Row],[Task Name]]&lt;&gt;"",Tasks[[#This Row],[_Level]]=1),Tasks[[#This Row],[_Row]],"")</f>
        <v/>
      </c>
      <c r="GK35" s="43" t="str">
        <f aca="false">IF(AND(Tasks[[#This Row],[_IsLeaf]]=1,N(Tasks[[#This Row],[_Days]])=0),Tasks[[#This Row],[Planned Finish]]+Tasks[[#This Row],[_Row]]/100000,"")</f>
        <v/>
      </c>
      <c r="GL35" s="43" t="str">
        <f aca="false">IF(AND(Tasks[[#This Row],[_IsLeaf]]=1,Tasks[[#This Row],[_LeafProgress]]&lt;1,OR(N(Tasks[[#This Row],[Finish Var]])&gt;0,Tasks[[#This Row],[Status]]="Late Start")),MAX(0,Tasks[[#This Row],[Finish Var]])+1-Tasks[[#This Row],[_Row]]/1000000,"")</f>
        <v/>
      </c>
      <c r="GM35" s="43" t="str">
        <f aca="false">IF(AND(Tasks[[#This Row],[_IsLeaf]]=1,N(Tasks[[#This Row],[Actual Start]])=0,Tasks[[#This Row],[_ShownFcstStart]]&gt;=StatusDate,Tasks[[#This Row],[_ShownFcstStart]]&lt;=LookaheadEnd),Tasks[[#This Row],[_ShownFcstStart]]+Tasks[[#This Row],[_Row]]/100000,"")</f>
        <v/>
      </c>
      <c r="GN35" s="43" t="str">
        <f aca="false">IF(AND(Tasks[[#This Row],[_IsLeaf]]=1,Tasks[[#This Row],[_LeafProgress]]&lt;1,Tasks[[#This Row],[_ShownFcstFinish]]&gt;=StatusDate,Tasks[[#This Row],[_ShownFcstFinish]]&lt;=LookaheadEnd),Tasks[[#This Row],[_ShownFcstFinish]]+Tasks[[#This Row],[_Row]]/100000,"")</f>
        <v/>
      </c>
      <c r="GO35" s="43" t="str">
        <f aca="false">IF(Tasks[[#This Row],[_LeafCritical]],Tasks[[#This Row],[_ShownFcstStart]]+Tasks[[#This Row],[_Row]]/100000,"")</f>
        <v/>
      </c>
      <c r="GP35" s="43" t="n">
        <f aca="false">Tasks[[#This Row],[_LeafWork]]*Tasks[[#This Row],[_LeafProgress]]</f>
        <v>0</v>
      </c>
      <c r="GQ35" s="91" t="str">
        <f aca="false">IF(AND(Tasks[[#This Row],[_IsLeaf]]=1,Tasks[[#This Row],[_LeafProgress]]&gt;=1),IF(N(Tasks[[#This Row],[Actual Finish]])&gt;0,Tasks[[#This Row],[Actual Finish]],Tasks[[#This Row],[_ShownFcstFinish]]),"")</f>
        <v/>
      </c>
      <c r="GR35" s="43" t="n">
        <f aca="false">IF(Tasks[[#This Row],[_IsLeaf]]=1,N(Tasks[[#This Row],[Story Points]]),0)</f>
        <v>0</v>
      </c>
      <c r="GS35" s="43" t="str">
        <f aca="false">""</f>
        <v/>
      </c>
      <c r="GT35" s="90" t="b">
        <f aca="false">IF(Tasks[[#This Row],[Task Name]]="",FALSE(),AND(Tasks[[#This Row],[_IsLeaf]]=1,N(Tasks[[#This Row],[_Days]])=0))</f>
        <v>0</v>
      </c>
      <c r="GU35" s="91" t="n">
        <f aca="false">IF(Tasks[[#This Row],[Task Name]]="",0,IF(AND(Tasks[[#This Row],[_IsLeaf]]=1,NOT(Tasks[[#This Row],[_IsMilestone]]),N(Tasks[[#This Row],[Progress]])&gt;0),Tasks[[#This Row],[Start]],0))</f>
        <v>0</v>
      </c>
      <c r="GV35" s="91" t="n">
        <f aca="false">IF(Tasks[[#This Row],[_DoneFrom]]=0,0,IF(Tasks[[#This Row],[Progress]]&gt;=1,Tasks[[#This Row],[Finish]],MAX(Tasks[[#This Row],[_DoneFrom]],Tasks[[#This Row],[Start]]+ROUND((Tasks[[#This Row],[Finish]]-Tasks[[#This Row],[Start]]+1)*Tasks[[#This Row],[Progress]],0)-1)))</f>
        <v>0</v>
      </c>
      <c r="GW35" s="91" t="n">
        <f aca="false">IF(Tasks[[#This Row],[Task Name]]="",0,IF(OR(NOT(Tasks[[#This Row],[_IsLeaf]]=1),Tasks[[#This Row],[_IsMilestone]],N(Tasks[[#This Row],[Progress]])&gt;=1),0,IF(Tasks[[#This Row],[_DoneTo]]&gt;0,Tasks[[#This Row],[_DoneTo]]+1,Tasks[[#This Row],[Start]])))</f>
        <v>0</v>
      </c>
      <c r="GX35" s="91" t="n">
        <f aca="false">IF(Tasks[[#This Row],[_RemFrom]]=0,0,Tasks[[#This Row],[Finish]])</f>
        <v>0</v>
      </c>
      <c r="GY35" s="90" t="b">
        <f aca="false">IF(Tasks[[#This Row],[Task Name]]="",FALSE(),OR(NOT(BaselineSet),N(Tasks[[#This Row],[Baseline Start]])&gt;0))</f>
        <v>0</v>
      </c>
      <c r="GZ3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92" t="str">
        <f aca="false">IF(Tasks[[#This Row],[_IsLeaf]]=1,Tasks[[#This Row],[_Row]],"")</f>
        <v/>
      </c>
      <c r="HD35" s="92" t="str">
        <f aca="false">IFERROR(INDEX(Tasks[UID],SMALL(Tasks[_PickKey],Tasks[[#This Row],[_Row]]))&amp;" "&amp;INDEX(Tasks[Task Name],SMALL(Tasks[_PickKey],Tasks[[#This Row],[_Row]])),"")</f>
        <v/>
      </c>
      <c r="HE35" s="43" t="str">
        <f aca="false">IF(Tasks[[#This Row],[Task Name]]="","",IF(Tasks[[#This Row],[_IsSummary]],NETWORKDAYS.INTL(Tasks[[#This Row],[Start]],Tasks[[#This Row],[Finish]],WorkWeek,Holidays),N(Tasks[[#This Row],[_Days]])))</f>
        <v/>
      </c>
      <c r="HF35" s="43" t="n">
        <f aca="false">IF(Tasks[[#This Row],[Expected]]="",0,((Tasks[[#This Row],[Pessimistic]]-Tasks[[#This Row],[Optimistic]])/6)^2)</f>
        <v>0</v>
      </c>
      <c r="HG35" s="43" t="n">
        <f aca="false">IF(Tasks[[#This Row],[Expected]]="",0,Tasks[[#This Row],[Expected]]-N(Tasks[[#This Row],[_Days]]))</f>
        <v>0</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4"/>
      <c r="U36" s="23"/>
      <c r="V36" s="84"/>
      <c r="W36" s="23"/>
      <c r="X36" s="84"/>
      <c r="Y36" s="23"/>
      <c r="Z36" s="84"/>
      <c r="AA36" s="23"/>
      <c r="AB36" s="23"/>
      <c r="AC36" s="7"/>
      <c r="AD36" s="7"/>
      <c r="AE36" s="63" t="str">
        <f aca="false">IF(Tasks[[#This Row],[Task Name]]="","",IF(Tasks[[#This Row],[_IsSummary]],MIN(INDEX(Tasks[_ShownFcstStart],Tasks[[#This Row],[_Row]]+1):INDEX(Tasks[_ShownFcstStart],Tasks[[#This Row],[_Row]]+Tasks[[#This Row],[_Descendants]])),Tasks[[#This Row],[_ShownFcstStart]]))</f>
        <v/>
      </c>
      <c r="AF36" s="63"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6" s="7"/>
      <c r="AK36" s="22"/>
      <c r="AL36" s="23"/>
      <c r="AM36" s="7"/>
      <c r="AN36" s="47"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3" t="str">
        <f aca="false">IF(Tasks[[#This Row],[Task Name]]="","",IF(N(Tasks[[#This Row],[Baseline Start]])&gt;0,Tasks[[#This Row],[Baseline Start]],Tasks[[#This Row],[_CalcStart]]))</f>
        <v/>
      </c>
      <c r="AR36" s="63" t="str">
        <f aca="false">IF(Tasks[[#This Row],[Task Name]]="","",IF(N(Tasks[[#This Row],[Baseline Finish]])&gt;0,Tasks[[#This Row],[Baseline Finish]],Tasks[[#This Row],[_CalcFinish]]))</f>
        <v/>
      </c>
      <c r="AS36" s="47" t="str">
        <f aca="false">IF(Tasks[[#This Row],[Task Name]]="","",IF(Tasks[[#This Row],[Start]]&gt;=Tasks[[#This Row],[Planned Start]],NETWORKDAYS.INTL(Tasks[[#This Row],[Planned Start]],Tasks[[#This Row],[Start]],WorkWeek,Holidays)-1,1-NETWORKDAYS.INTL(Tasks[[#This Row],[Start]],Tasks[[#This Row],[Planned Start]],WorkWeek,Holidays)))</f>
        <v/>
      </c>
      <c r="AT36" s="63" t="str">
        <f aca="false">IF(Tasks[[#This Row],[Task Name]]="","",IF(Tasks[[#This Row],[_IsSummary]],MIN(INDEX(Tasks[_LeafLateStart],Tasks[[#This Row],[_Row]]+1):INDEX(Tasks[_LeafLateStart],Tasks[[#This Row],[_Row]]+Tasks[[#This Row],[_Descendants]])),Tasks[[#This Row],[_LeafLateStart]]))</f>
        <v/>
      </c>
      <c r="AU36" s="63" t="str">
        <f aca="false">IF(Tasks[[#This Row],[Task Name]]="","",IF(Tasks[[#This Row],[_IsSummary]],MAX(INDEX(Tasks[_LeafLateFinish],Tasks[[#This Row],[_Row]]+1):INDEX(Tasks[_LeafLateFinish],Tasks[[#This Row],[_Row]]+Tasks[[#This Row],[_Descendants]])),Tasks[[#This Row],[_LeafLateFinish]]))</f>
        <v/>
      </c>
      <c r="AV36" s="47"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5"/>
      <c r="BA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6"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7"/>
      <c r="BJ36" s="22"/>
      <c r="BK36" s="47" t="str">
        <f aca="false">IF(OR(Tasks[[#This Row],[Task Name]]="",Tasks[[#This Row],[Baseline Duration]]=""),"",Tasks[[#This Row],[_SpanDays]]-N(Tasks[[#This Row],[Baseline Duration]]))</f>
        <v/>
      </c>
      <c r="BL36" s="86" t="str">
        <f aca="false">IF(OR(Tasks[[#This Row],[Task Name]]="",Tasks[[#This Row],[Baseline Work]]=""),"",Tasks[[#This Row],[Work]]-N(Tasks[[#This Row],[Baseline Work]]))</f>
        <v/>
      </c>
      <c r="BM36" s="63" t="str">
        <f aca="false">IF(Tasks[[#This Row],[Task Name]]="","",IF(OR(TakeBaseline="Yes",N(Tasks[[#This Row],[Baseline Start]])=0),Tasks[[#This Row],[Start]],Tasks[[#This Row],[Baseline Start]]))</f>
        <v/>
      </c>
      <c r="BN36" s="63" t="str">
        <f aca="false">IF(Tasks[[#This Row],[Task Name]]="","",IF(OR(TakeBaseline="Yes",N(Tasks[[#This Row],[Baseline Finish]])=0),Tasks[[#This Row],[Finish]],Tasks[[#This Row],[Baseline Finish]]))</f>
        <v/>
      </c>
      <c r="BO36" s="21" t="str">
        <f aca="false">IF(Tasks[[#This Row],[Task Name]]="","",IF(OR(TakeBaseline="Yes",N(Tasks[[#This Row],[Baseline Duration]])=0),Tasks[[#This Row],[_SpanDays]],Tasks[[#This Row],[Baseline Duration]]))</f>
        <v/>
      </c>
      <c r="BP36" s="86" t="str">
        <f aca="false">IF(Tasks[[#This Row],[Task Name]]="","",IF(OR(TakeBaseline="Yes",N(Tasks[[#This Row],[Baseline Work]])=0),Tasks[[#This Row],[Work]],Tasks[[#This Row],[Baseline Work]]))</f>
        <v/>
      </c>
      <c r="BQ36" s="7"/>
      <c r="BR36" s="7"/>
      <c r="BS36" s="22"/>
      <c r="BT36" s="88"/>
      <c r="BU36" s="23"/>
      <c r="BV36" s="23"/>
      <c r="BW36" s="23"/>
      <c r="BX36" s="89" t="str">
        <f aca="false">IF(AND(Tasks[[#This Row],[_IsLeaf]]=1,ISNUMBER(Tasks[[#This Row],[Optimistic]]),ISNUMBER(Tasks[[#This Row],[Pessimistic]])),ROUND((Tasks[[#This Row],[Optimistic]]+4*N(Tasks[[#This Row],[_Days]])+Tasks[[#This Row],[Pessimistic]])/6,1),"")</f>
        <v/>
      </c>
      <c r="BY36" s="87"/>
      <c r="BZ36" s="87"/>
      <c r="CA36" s="22"/>
      <c r="CB36" s="43" t="str">
        <f aca="false">IF(Tasks[[#This Row],[Task Name]]="","",MAX(1,N(Tasks[[#This Row],[Level]])))</f>
        <v/>
      </c>
      <c r="CC36" s="43" t="n">
        <f aca="false">ROW()-ROW(Tasks[[#Headers],[ID]])</f>
        <v>31</v>
      </c>
      <c r="CD36" s="43" t="n">
        <f aca="false">IF(OR(Tasks[[#This Row],[Task Name]]="",Tasks[[#This Row],[_Level]]&lt;=1),0,IFERROR(LOOKUP(2,1/(Tasks[[#Headers],[_Level]]:Tasks[[#This Row],[_Level]]=Tasks[[#This Row],[_Level]]-1),ROW(Tasks[[#Headers],[_Level]]:Tasks[[#This Row],[_Level]])),0))</f>
        <v>0</v>
      </c>
      <c r="CE36" s="43" t="n">
        <f aca="false">IFERROR(N(INDEX(Tasks[_Level],Tasks[[#This Row],[_Row]]+1)),0)</f>
        <v>0</v>
      </c>
      <c r="CF36" s="90" t="b">
        <f aca="false">AND(Tasks[[#This Row],[Task Name]]&lt;&gt;"",Tasks[[#This Row],[_NextLevel]]&gt;Tasks[[#This Row],[_Level]])</f>
        <v>0</v>
      </c>
      <c r="CG36" s="43" t="n">
        <f aca="false">IF(Tasks[[#This Row],[_IsSummary]],COUNTIF(Tasks[WBS],Tasks[[#This Row],[WBS]]&amp;".*"),0)</f>
        <v>0</v>
      </c>
      <c r="CH36" s="43" t="n">
        <f aca="false">IF(AND(Tasks[[#This Row],[Task Name]]&lt;&gt;"",NOT(Tasks[[#This Row],[_IsSummary]])),1,0)</f>
        <v>0</v>
      </c>
      <c r="CI36" s="43" t="n">
        <f aca="false">IF(N(Tasks[[#This Row],[_Pred1UID]])=0,0,IFERROR(MATCH(Tasks[[#This Row],[_Pred1UID]],Tasks[UID],0),-1))</f>
        <v>0</v>
      </c>
      <c r="CJ36" s="43" t="n">
        <f aca="false">IF(N(Tasks[[#This Row],[_Pred2UID]])=0,0,IFERROR(MATCH(Tasks[[#This Row],[_Pred2UID]],Tasks[UID],0),-1))</f>
        <v>0</v>
      </c>
      <c r="CK36" s="43" t="n">
        <f aca="false">IF(N(Tasks[[#This Row],[_Pred3UID]])=0,0,IFERROR(MATCH(Tasks[[#This Row],[_Pred3UID]],Tasks[UID],0),-1))</f>
        <v>0</v>
      </c>
      <c r="CL36" s="43" t="n">
        <f aca="false">IF(N(Tasks[[#This Row],[_Pred4UID]])=0,0,IFERROR(MATCH(Tasks[[#This Row],[_Pred4UID]],Tasks[UID],0),-1))</f>
        <v>0</v>
      </c>
      <c r="CM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6" s="91" t="n">
        <f aca="false">IF(OR(Tasks[[#This Row],[_ConstraintCode]]=2,Tasks[[#This Row],[_ConstraintCode]]=3,Tasks[[#This Row],[_ConstraintCode]]=4,Tasks[[#This Row],[_ConstraintCode]]=6),Tasks[[#This Row],[_ConstraintStart]],0)</f>
        <v>0</v>
      </c>
      <c r="CP36" s="91" t="n">
        <f aca="false">IF(OR(Tasks[[#This Row],[_ConstraintCode]]=2,Tasks[[#This Row],[_ConstraintCode]]=3,Tasks[[#This Row],[_ConstraintCode]]=5,Tasks[[#This Row],[_ConstraintCode]]=7),Tasks[[#This Row],[_ConstraintStart]],2958465)</f>
        <v>2958465</v>
      </c>
      <c r="CQ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91" t="str">
        <f aca="false">IF(NOT(Tasks[[#This Row],[_IsLeaf]]=1),"",IF(N(Tasks[[#This Row],[_Days]])&lt;=0,Tasks[[#This Row],[_LeafCalcStart]],WORKDAY.INTL(Tasks[[#This Row],[_LeafCalcStart]],Tasks[[#This Row],[_Days]]-1,WorkWeek,Holidays)))</f>
        <v/>
      </c>
      <c r="CS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3" t="str">
        <f aca="false">IF(Tasks[[#This Row],[_Predecessors]]="","",TRIM(MID(SUBSTITUTE(SUBSTITUTE(SUBSTITUTE(UPPER(Tasks[[#This Row],[_Predecessors]]),";",",")," ",""),",",REPT(" ",99)),1,99)))</f>
        <v/>
      </c>
      <c r="CV36" s="43" t="str">
        <f aca="false">IF(Tasks[[#This Row],[_Pred1Text]]="","",IFERROR(VALUE(LEFT(Tasks[[#This Row],[_Pred1Text]],MIN(FIND("F",Tasks[[#This Row],[_Pred1Text]]&amp;"F"),FIND("S",Tasks[[#This Row],[_Pred1Text]]&amp;"S"),FIND("+",Tasks[[#This Row],[_Pred1Text]]&amp;"+"),FIND("-",Tasks[[#This Row],[_Pred1Text]]&amp;"-"))-1)),""))</f>
        <v/>
      </c>
      <c r="CW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3" t="str">
        <f aca="false">IF(Tasks[[#This Row],[_Pred1Text]]="","",TRIM(MID(SUBSTITUTE(SUBSTITUTE(SUBSTITUTE(UPPER(Tasks[[#This Row],[_Predecessors]]),";",",")," ",""),",",REPT(" ",99)),100,99)))</f>
        <v/>
      </c>
      <c r="CZ36" s="43" t="str">
        <f aca="false">IF(Tasks[[#This Row],[_Pred2Text]]="","",IFERROR(VALUE(LEFT(Tasks[[#This Row],[_Pred2Text]],MIN(FIND("F",Tasks[[#This Row],[_Pred2Text]]&amp;"F"),FIND("S",Tasks[[#This Row],[_Pred2Text]]&amp;"S"),FIND("+",Tasks[[#This Row],[_Pred2Text]]&amp;"+"),FIND("-",Tasks[[#This Row],[_Pred2Text]]&amp;"-"))-1)),""))</f>
        <v/>
      </c>
      <c r="DA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3" t="str">
        <f aca="false">IF(Tasks[[#This Row],[_Pred2Text]]="","",TRIM(MID(SUBSTITUTE(SUBSTITUTE(SUBSTITUTE(UPPER(Tasks[[#This Row],[_Predecessors]]),";",",")," ",""),",",REPT(" ",99)),199,99)))</f>
        <v/>
      </c>
      <c r="DD36" s="43" t="str">
        <f aca="false">IF(Tasks[[#This Row],[_Pred3Text]]="","",IFERROR(VALUE(LEFT(Tasks[[#This Row],[_Pred3Text]],MIN(FIND("F",Tasks[[#This Row],[_Pred3Text]]&amp;"F"),FIND("S",Tasks[[#This Row],[_Pred3Text]]&amp;"S"),FIND("+",Tasks[[#This Row],[_Pred3Text]]&amp;"+"),FIND("-",Tasks[[#This Row],[_Pred3Text]]&amp;"-"))-1)),""))</f>
        <v/>
      </c>
      <c r="DE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3" t="str">
        <f aca="false">IF(Tasks[[#This Row],[_Pred3Text]]="","",TRIM(MID(SUBSTITUTE(SUBSTITUTE(SUBSTITUTE(UPPER(Tasks[[#This Row],[_Predecessors]]),";",",")," ",""),",",REPT(" ",99)),298,99)))</f>
        <v/>
      </c>
      <c r="DH36" s="43" t="str">
        <f aca="false">IF(Tasks[[#This Row],[_Pred4Text]]="","",IFERROR(VALUE(LEFT(Tasks[[#This Row],[_Pred4Text]],MIN(FIND("F",Tasks[[#This Row],[_Pred4Text]]&amp;"F"),FIND("S",Tasks[[#This Row],[_Pred4Text]]&amp;"S"),FIND("+",Tasks[[#This Row],[_Pred4Text]]&amp;"+"),FIND("-",Tasks[[#This Row],[_Pred4Text]]&amp;"-"))-1)),""))</f>
        <v/>
      </c>
      <c r="DI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3" t="str">
        <f aca="false">IF(OR(Tasks[[#This Row],[Task Name]]="",Tasks[[#This Row],[_Resources]]=""),"",TRIM(MID(SUBSTITUTE(Tasks[[#This Row],[_Resources]],",",REPT(" ",99)),1,99)))</f>
        <v/>
      </c>
      <c r="DL36" s="43" t="str">
        <f aca="false">IF(Tasks[[#This Row],[_Res1Text]]="","",TRIM(MID(SUBSTITUTE(Tasks[[#This Row],[_Resources]],",",REPT(" ",99)),100,99)))</f>
        <v/>
      </c>
      <c r="DM36" s="43" t="str">
        <f aca="false">IF(Tasks[[#This Row],[_Res2Text]]="","",TRIM(MID(SUBSTITUTE(Tasks[[#This Row],[_Resources]],",",REPT(" ",99)),199,99)))</f>
        <v/>
      </c>
      <c r="DN36" s="43" t="str">
        <f aca="false">IF(Tasks[[#This Row],[_Res3Text]]="","",TRIM(MID(SUBSTITUTE(Tasks[[#This Row],[_Resources]],",",REPT(" ",99)),298,99)))</f>
        <v/>
      </c>
      <c r="DO36" s="43" t="n">
        <f aca="false">IF(Tasks[[#This Row],[_Res1Text]]="",0,IFERROR(MATCH(TRIM(LEFT(Tasks[[#This Row],[_Res1Text]],FIND("[",Tasks[[#This Row],[_Res1Text]]&amp;"[")-1)),res_Name,0),IFERROR(MATCH(TRIM(LEFT(Tasks[[#This Row],[_Res1Text]],FIND("[",Tasks[[#This Row],[_Res1Text]]&amp;"[")-1)),res_Initials,0),0)))</f>
        <v>0</v>
      </c>
      <c r="DP36" s="43" t="n">
        <f aca="false">IF(Tasks[[#This Row],[_Res2Text]]="",0,IFERROR(MATCH(TRIM(LEFT(Tasks[[#This Row],[_Res2Text]],FIND("[",Tasks[[#This Row],[_Res2Text]]&amp;"[")-1)),res_Name,0),IFERROR(MATCH(TRIM(LEFT(Tasks[[#This Row],[_Res2Text]],FIND("[",Tasks[[#This Row],[_Res2Text]]&amp;"[")-1)),res_Initials,0),0)))</f>
        <v>0</v>
      </c>
      <c r="DQ36" s="43" t="n">
        <f aca="false">IF(Tasks[[#This Row],[_Res3Text]]="",0,IFERROR(MATCH(TRIM(LEFT(Tasks[[#This Row],[_Res3Text]],FIND("[",Tasks[[#This Row],[_Res3Text]]&amp;"[")-1)),res_Name,0),IFERROR(MATCH(TRIM(LEFT(Tasks[[#This Row],[_Res3Text]],FIND("[",Tasks[[#This Row],[_Res3Text]]&amp;"[")-1)),res_Initials,0),0)))</f>
        <v>0</v>
      </c>
      <c r="DR36" s="43" t="n">
        <f aca="false">IF(Tasks[[#This Row],[_Res4Text]]="",0,IFERROR(MATCH(TRIM(LEFT(Tasks[[#This Row],[_Res4Text]],FIND("[",Tasks[[#This Row],[_Res4Text]]&amp;"[")-1)),res_Name,0),IFERROR(MATCH(TRIM(LEFT(Tasks[[#This Row],[_Res4Text]],FIND("[",Tasks[[#This Row],[_Res4Text]]&amp;"[")-1)),res_Initials,0),0)))</f>
        <v>0</v>
      </c>
      <c r="DS36" s="43" t="str">
        <f aca="false">IF(Tasks[[#This Row],[_Res1Text]]="","",IF(Tasks[[#This Row],[_Res1Row]]&gt;0,INDEX(res_Name,Tasks[[#This Row],[_Res1Row]]),TRIM(LEFT(Tasks[[#This Row],[_Res1Text]],FIND("[",Tasks[[#This Row],[_Res1Text]]&amp;"[")-1))))</f>
        <v/>
      </c>
      <c r="DT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3" t="n">
        <f aca="false">IF(NOT(Tasks[[#This Row],[_IsLeaf]]=1),0,(Tasks[[#This Row],[_Resource1]]&lt;&gt;"")+(Tasks[[#This Row],[_Res2]]&lt;&gt;"")+(Tasks[[#This Row],[_Res3]]&lt;&gt;"")+(Tasks[[#This Row],[_Res4]]&lt;&gt;""))</f>
        <v>0</v>
      </c>
      <c r="DV36" s="43" t="str">
        <f aca="false">IF(Tasks[[#This Row],[_Res2Text]]="","",IF(Tasks[[#This Row],[_Res2Row]]&gt;0,INDEX(res_Name,Tasks[[#This Row],[_Res2Row]]),TRIM(LEFT(Tasks[[#This Row],[_Res2Text]],FIND("[",Tasks[[#This Row],[_Res2Text]]&amp;"[")-1))))</f>
        <v/>
      </c>
      <c r="DW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3" t="n">
        <f aca="false">IF(OR(NOT(Tasks[[#This Row],[_IsLeaf]]=1),Tasks[[#This Row],[_Res2Row]]=0),0,N(Tasks[[#This Row],[_Days]])*HoursPerDay*IF(Tasks[[#This Row],[_Res2Units]]="",DefaultUnits,Tasks[[#This Row],[_Res2Units]]))</f>
        <v>0</v>
      </c>
      <c r="DY36" s="43" t="n">
        <f aca="false">IF(AND(AND(Tasks[[#This Row],[_IsLeaf]]=1,Tasks[[#This Row],[_LeafTotalWork]]&gt;0),Tasks[[#This Row],[_Res2Work]]&gt;0),Tasks[[#This Row],[_Res2Work]]/(Tasks[[#This Row],[_FinishWorkday]]-Tasks[[#This Row],[_StartWorkday]]+1),0)</f>
        <v>0</v>
      </c>
      <c r="DZ36" s="43" t="n">
        <f aca="false">Tasks[[#This Row],[_Res2WorkPerWD]]*MAX(0,Tasks[[#This Row],[_StartWorkday]]-1)</f>
        <v>0</v>
      </c>
      <c r="EA36" s="43" t="n">
        <f aca="false">Tasks[[#This Row],[_Res2Work]]*Tasks[[#This Row],[_LeafProgress]]</f>
        <v>0</v>
      </c>
      <c r="EB36" s="43" t="str">
        <f aca="false">IF(Tasks[[#This Row],[_Res3Text]]="","",IF(Tasks[[#This Row],[_Res3Row]]&gt;0,INDEX(res_Name,Tasks[[#This Row],[_Res3Row]]),TRIM(LEFT(Tasks[[#This Row],[_Res3Text]],FIND("[",Tasks[[#This Row],[_Res3Text]]&amp;"[")-1))))</f>
        <v/>
      </c>
      <c r="EC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3" t="n">
        <f aca="false">IF(OR(NOT(Tasks[[#This Row],[_IsLeaf]]=1),Tasks[[#This Row],[_Res3Row]]=0),0,N(Tasks[[#This Row],[_Days]])*HoursPerDay*IF(Tasks[[#This Row],[_Res3Units]]="",DefaultUnits,Tasks[[#This Row],[_Res3Units]]))</f>
        <v>0</v>
      </c>
      <c r="EE36" s="43" t="n">
        <f aca="false">IF(AND(AND(Tasks[[#This Row],[_IsLeaf]]=1,Tasks[[#This Row],[_LeafTotalWork]]&gt;0),Tasks[[#This Row],[_Res3Work]]&gt;0),Tasks[[#This Row],[_Res3Work]]/(Tasks[[#This Row],[_FinishWorkday]]-Tasks[[#This Row],[_StartWorkday]]+1),0)</f>
        <v>0</v>
      </c>
      <c r="EF36" s="43" t="n">
        <f aca="false">Tasks[[#This Row],[_Res3WorkPerWD]]*MAX(0,Tasks[[#This Row],[_StartWorkday]]-1)</f>
        <v>0</v>
      </c>
      <c r="EG36" s="43" t="n">
        <f aca="false">Tasks[[#This Row],[_Res3Work]]*Tasks[[#This Row],[_LeafProgress]]</f>
        <v>0</v>
      </c>
      <c r="EH36" s="43" t="str">
        <f aca="false">IF(Tasks[[#This Row],[_Res4Text]]="","",IF(Tasks[[#This Row],[_Res4Row]]&gt;0,INDEX(res_Name,Tasks[[#This Row],[_Res4Row]]),TRIM(LEFT(Tasks[[#This Row],[_Res4Text]],FIND("[",Tasks[[#This Row],[_Res4Text]]&amp;"[")-1))))</f>
        <v/>
      </c>
      <c r="EI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3" t="n">
        <f aca="false">IF(OR(NOT(Tasks[[#This Row],[_IsLeaf]]=1),Tasks[[#This Row],[_Res4Row]]=0),0,N(Tasks[[#This Row],[_Days]])*HoursPerDay*IF(Tasks[[#This Row],[_Res4Units]]="",DefaultUnits,Tasks[[#This Row],[_Res4Units]]))</f>
        <v>0</v>
      </c>
      <c r="EK36" s="43" t="n">
        <f aca="false">IF(AND(AND(Tasks[[#This Row],[_IsLeaf]]=1,Tasks[[#This Row],[_LeafTotalWork]]&gt;0),Tasks[[#This Row],[_Res4Work]]&gt;0),Tasks[[#This Row],[_Res4Work]]/(Tasks[[#This Row],[_FinishWorkday]]-Tasks[[#This Row],[_StartWorkday]]+1),0)</f>
        <v>0</v>
      </c>
      <c r="EL36" s="43" t="n">
        <f aca="false">Tasks[[#This Row],[_Res4WorkPerWD]]*MAX(0,Tasks[[#This Row],[_StartWorkday]]-1)</f>
        <v>0</v>
      </c>
      <c r="EM36" s="43" t="n">
        <f aca="false">Tasks[[#This Row],[_Res4Work]]*Tasks[[#This Row],[_LeafProgress]]</f>
        <v>0</v>
      </c>
      <c r="EN36" s="43" t="n">
        <f aca="false">IF(ISNUMBER(Tasks[[#This Row],[% Complete]]),Tasks[[#This Row],[% Complete]],IF(Tasks[[#This Row],[Stage]]="",0,IFERROR(INDEX(stg_Pct,MATCH(Tasks[[#This Row],[Stage]],stg_Name,0)),0)))</f>
        <v>0</v>
      </c>
      <c r="EO36" s="43" t="n">
        <f aca="false">IF(NOT(Tasks[[#This Row],[_IsLeaf]]=1),0,IF(N(Tasks[[#This Row],[Actual Finish]])&gt;0,1,MIN(1,Tasks[[#This Row],[_Pct]])))</f>
        <v>0</v>
      </c>
      <c r="EP36" s="43" t="n">
        <f aca="false">IF(OR(NOT(Tasks[[#This Row],[_IsLeaf]]=1),Tasks[[#This Row],[_Res1Row]]=0),0,N(Tasks[[#This Row],[_Days]])*HoursPerDay*IF(Tasks[[#This Row],[_Units1]]="",DefaultUnits,Tasks[[#This Row],[_Units1]]))</f>
        <v>0</v>
      </c>
      <c r="EQ36" s="43" t="n">
        <f aca="false">Tasks[[#This Row],[_LeafWork]]+Tasks[[#This Row],[_Res2Work]]+Tasks[[#This Row],[_Res3Work]]+Tasks[[#This Row],[_Res4Work]]</f>
        <v>0</v>
      </c>
      <c r="ER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3" t="n">
        <f aca="false">IF(NOT(Tasks[[#This Row],[_IsLeaf]]=1),0,MAX(_xlfn.MAXIFS(Tasks[_Row],Tasks[_Pred1UID],Tasks[[#This Row],[UID]]),_xlfn.MAXIFS(Tasks[_Row],Tasks[_Pred2UID],Tasks[[#This Row],[UID]]),_xlfn.MAXIFS(Tasks[_Row],Tasks[_Pred3UID],Tasks[[#This Row],[UID]]),_xlfn.MAXIFS(Tasks[_Row],Tasks[_Pred4UID],Tasks[[#This Row],[UID]])))</f>
        <v>0</v>
      </c>
      <c r="FA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91" t="str">
        <f aca="false">IF(NOT(Tasks[[#This Row],[_IsLeaf]]=1),"",IF(N(Tasks[[#This Row],[_Days]])&lt;=0,Tasks[[#This Row],[_LeafLateFinish]],WORKDAY.INTL(Tasks[[#This Row],[_LeafLateFinish]],-(Tasks[[#This Row],[_Days]]-1),WorkWeek,Holidays)))</f>
        <v/>
      </c>
      <c r="FD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6" s="90" t="b">
        <f aca="false">AND(Tasks[[#This Row],[_IsLeaf]]=1,Tasks[[#This Row],[_LeafProgress]]&lt;1,N(Tasks[[#This Row],[_LeafTotalSlack]])&lt;=CriticalSlackDays)</f>
        <v>0</v>
      </c>
      <c r="FF36" s="43" t="n">
        <f aca="false">IF(AND(Tasks[[#This Row],[_IsLeaf]]=1,Tasks[[#This Row],[_ConstraintCode]]=1,Tasks[[#This Row],[Mode]]&lt;&gt;"Manual",N(Tasks[[#This Row],[Actual Start]])=0),MAX(0,N(Tasks[[#This Row],[Free Slack]])),0)</f>
        <v>0</v>
      </c>
      <c r="FG36" s="91" t="str">
        <f aca="false">IF(NOT(Tasks[[#This Row],[_IsLeaf]]=1),"",IF(Tasks[[#This Row],[_AlapShift]]=0,Tasks[[#This Row],[_LeafCalcStart]],WORKDAY.INTL(Tasks[[#This Row],[_LeafCalcStart]],Tasks[[#This Row],[_AlapShift]],WorkWeek,Holidays)))</f>
        <v/>
      </c>
      <c r="FH36" s="91" t="str">
        <f aca="false">IF(NOT(Tasks[[#This Row],[_IsLeaf]]=1),"",IF(Tasks[[#This Row],[_AlapShift]]=0,Tasks[[#This Row],[_LeafCalcFinish]],WORKDAY.INTL(Tasks[[#This Row],[_LeafCalcFinish]],Tasks[[#This Row],[_AlapShift]],WorkWeek,Holidays)))</f>
        <v/>
      </c>
      <c r="FI36" s="91" t="str">
        <f aca="false">IF(NOT(Tasks[[#This Row],[_IsLeaf]]=1),"",IF(Tasks[[#This Row],[_AlapShift]]=0,Tasks[[#This Row],[_LeafFcstStart]],WORKDAY.INTL(Tasks[[#This Row],[_LeafFcstStart]],Tasks[[#This Row],[_AlapShift]],WorkWeek,Holidays)))</f>
        <v/>
      </c>
      <c r="FJ36" s="91" t="str">
        <f aca="false">IF(NOT(Tasks[[#This Row],[_IsLeaf]]=1),"",IF(Tasks[[#This Row],[_AlapShift]]=0,Tasks[[#This Row],[_LeafFcstFinish]],WORKDAY.INTL(Tasks[[#This Row],[_LeafFcstFinish]],Tasks[[#This Row],[_AlapShift]],WorkWeek,Holidays)))</f>
        <v/>
      </c>
      <c r="FK36" s="91" t="str">
        <f aca="false">IF(Tasks[[#This Row],[Task Name]]="","",IF(Tasks[[#This Row],[_IsSummary]],MIN(INDEX(Tasks[_ShownCalcStart],Tasks[[#This Row],[_Row]]+1):INDEX(Tasks[_ShownCalcStart],Tasks[[#This Row],[_Row]]+Tasks[[#This Row],[_Descendants]])),Tasks[[#This Row],[_ShownCalcStart]]))</f>
        <v/>
      </c>
      <c r="FL36" s="91" t="str">
        <f aca="false">IF(Tasks[[#This Row],[Task Name]]="","",IF(Tasks[[#This Row],[_IsSummary]],MAX(INDEX(Tasks[_ShownCalcFinish],Tasks[[#This Row],[_Row]]+1):INDEX(Tasks[_ShownCalcFinish],Tasks[[#This Row],[_Row]]+Tasks[[#This Row],[_Descendants]])),Tasks[[#This Row],[_ShownCalcFinish]]))</f>
        <v/>
      </c>
      <c r="FM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6" s="43" t="n">
        <f aca="false">IF(AND(Tasks[[#This Row],[_IsLeaf]]=1,Tasks[[#This Row],[_LeafTotalWork]]&gt;0),NETWORKDAYS.INTL(ProjectStart,Tasks[[#This Row],[_ShownFcstStart]],WorkWeek,Holidays),0)</f>
        <v>0</v>
      </c>
      <c r="FZ36" s="43" t="n">
        <f aca="false">IF(AND(Tasks[[#This Row],[_IsLeaf]]=1,Tasks[[#This Row],[_LeafTotalWork]]&gt;0),MAX(Tasks[[#This Row],[_StartWorkday]],NETWORKDAYS.INTL(ProjectStart,Tasks[[#This Row],[_ShownFcstFinish]],WorkWeek,Holidays)),0)</f>
        <v>0</v>
      </c>
      <c r="GA36" s="43" t="n">
        <f aca="false">IF(AND(Tasks[[#This Row],[_IsLeaf]]=1,Tasks[[#This Row],[_LeafTotalWork]]&gt;0),Tasks[[#This Row],[_LeafWork]]/(Tasks[[#This Row],[_FinishWorkday]]-Tasks[[#This Row],[_StartWorkday]]+1),0)</f>
        <v>0</v>
      </c>
      <c r="GB36" s="43" t="n">
        <f aca="false">Tasks[[#This Row],[_WorkPerWorkday]]*(Tasks[[#This Row],[_StartWorkday]]-1)</f>
        <v>-0</v>
      </c>
      <c r="GC36" s="43" t="n">
        <f aca="false">IF(Tasks[[#This Row],[_IsLeaf]]=1,MAX(N(Tasks[[#This Row],[_Days]]),0.1),0)</f>
        <v>0</v>
      </c>
      <c r="GD36" s="43" t="n">
        <f aca="false">Tasks[[#This Row],[_WeightDur]]*Tasks[[#This Row],[_LeafProgress]]</f>
        <v>0</v>
      </c>
      <c r="GE36" s="43" t="n">
        <f aca="false">Tasks[[#This Row],[_WeightDur]]*Tasks[[#This Row],[_PlannedPct]]</f>
        <v>0</v>
      </c>
      <c r="GF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3" t="str">
        <f aca="false">IF(AND(Tasks[[#This Row],[_IsLeaf]]=1,N(Tasks[[#This Row],[_Days]])=0,Tasks[[#This Row],[_LeafProgress]]&lt;1),Tasks[[#This Row],[_ShownFcstFinish]]+Tasks[[#This Row],[_Row]]/100000,"")</f>
        <v/>
      </c>
      <c r="GH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6" s="43" t="str">
        <f aca="false">IF(Tasks[[#This Row],[Task Name]]="","",LEFT(Tasks[[#This Row],[WBS]],FIND(".",Tasks[[#This Row],[WBS]]&amp;".")-1))</f>
        <v/>
      </c>
      <c r="GJ36" s="43" t="str">
        <f aca="false">IF(AND(Tasks[[#This Row],[Task Name]]&lt;&gt;"",Tasks[[#This Row],[_Level]]=1),Tasks[[#This Row],[_Row]],"")</f>
        <v/>
      </c>
      <c r="GK36" s="43" t="str">
        <f aca="false">IF(AND(Tasks[[#This Row],[_IsLeaf]]=1,N(Tasks[[#This Row],[_Days]])=0),Tasks[[#This Row],[Planned Finish]]+Tasks[[#This Row],[_Row]]/100000,"")</f>
        <v/>
      </c>
      <c r="GL36" s="43" t="str">
        <f aca="false">IF(AND(Tasks[[#This Row],[_IsLeaf]]=1,Tasks[[#This Row],[_LeafProgress]]&lt;1,OR(N(Tasks[[#This Row],[Finish Var]])&gt;0,Tasks[[#This Row],[Status]]="Late Start")),MAX(0,Tasks[[#This Row],[Finish Var]])+1-Tasks[[#This Row],[_Row]]/1000000,"")</f>
        <v/>
      </c>
      <c r="GM36" s="43" t="str">
        <f aca="false">IF(AND(Tasks[[#This Row],[_IsLeaf]]=1,N(Tasks[[#This Row],[Actual Start]])=0,Tasks[[#This Row],[_ShownFcstStart]]&gt;=StatusDate,Tasks[[#This Row],[_ShownFcstStart]]&lt;=LookaheadEnd),Tasks[[#This Row],[_ShownFcstStart]]+Tasks[[#This Row],[_Row]]/100000,"")</f>
        <v/>
      </c>
      <c r="GN36" s="43" t="str">
        <f aca="false">IF(AND(Tasks[[#This Row],[_IsLeaf]]=1,Tasks[[#This Row],[_LeafProgress]]&lt;1,Tasks[[#This Row],[_ShownFcstFinish]]&gt;=StatusDate,Tasks[[#This Row],[_ShownFcstFinish]]&lt;=LookaheadEnd),Tasks[[#This Row],[_ShownFcstFinish]]+Tasks[[#This Row],[_Row]]/100000,"")</f>
        <v/>
      </c>
      <c r="GO36" s="43" t="str">
        <f aca="false">IF(Tasks[[#This Row],[_LeafCritical]],Tasks[[#This Row],[_ShownFcstStart]]+Tasks[[#This Row],[_Row]]/100000,"")</f>
        <v/>
      </c>
      <c r="GP36" s="43" t="n">
        <f aca="false">Tasks[[#This Row],[_LeafWork]]*Tasks[[#This Row],[_LeafProgress]]</f>
        <v>0</v>
      </c>
      <c r="GQ36" s="91" t="str">
        <f aca="false">IF(AND(Tasks[[#This Row],[_IsLeaf]]=1,Tasks[[#This Row],[_LeafProgress]]&gt;=1),IF(N(Tasks[[#This Row],[Actual Finish]])&gt;0,Tasks[[#This Row],[Actual Finish]],Tasks[[#This Row],[_ShownFcstFinish]]),"")</f>
        <v/>
      </c>
      <c r="GR36" s="43" t="n">
        <f aca="false">IF(Tasks[[#This Row],[_IsLeaf]]=1,N(Tasks[[#This Row],[Story Points]]),0)</f>
        <v>0</v>
      </c>
      <c r="GS36" s="43" t="str">
        <f aca="false">""</f>
        <v/>
      </c>
      <c r="GT36" s="90" t="b">
        <f aca="false">IF(Tasks[[#This Row],[Task Name]]="",FALSE(),AND(Tasks[[#This Row],[_IsLeaf]]=1,N(Tasks[[#This Row],[_Days]])=0))</f>
        <v>0</v>
      </c>
      <c r="GU36" s="91" t="n">
        <f aca="false">IF(Tasks[[#This Row],[Task Name]]="",0,IF(AND(Tasks[[#This Row],[_IsLeaf]]=1,NOT(Tasks[[#This Row],[_IsMilestone]]),N(Tasks[[#This Row],[Progress]])&gt;0),Tasks[[#This Row],[Start]],0))</f>
        <v>0</v>
      </c>
      <c r="GV36" s="91" t="n">
        <f aca="false">IF(Tasks[[#This Row],[_DoneFrom]]=0,0,IF(Tasks[[#This Row],[Progress]]&gt;=1,Tasks[[#This Row],[Finish]],MAX(Tasks[[#This Row],[_DoneFrom]],Tasks[[#This Row],[Start]]+ROUND((Tasks[[#This Row],[Finish]]-Tasks[[#This Row],[Start]]+1)*Tasks[[#This Row],[Progress]],0)-1)))</f>
        <v>0</v>
      </c>
      <c r="GW36" s="91" t="n">
        <f aca="false">IF(Tasks[[#This Row],[Task Name]]="",0,IF(OR(NOT(Tasks[[#This Row],[_IsLeaf]]=1),Tasks[[#This Row],[_IsMilestone]],N(Tasks[[#This Row],[Progress]])&gt;=1),0,IF(Tasks[[#This Row],[_DoneTo]]&gt;0,Tasks[[#This Row],[_DoneTo]]+1,Tasks[[#This Row],[Start]])))</f>
        <v>0</v>
      </c>
      <c r="GX36" s="91" t="n">
        <f aca="false">IF(Tasks[[#This Row],[_RemFrom]]=0,0,Tasks[[#This Row],[Finish]])</f>
        <v>0</v>
      </c>
      <c r="GY36" s="90" t="b">
        <f aca="false">IF(Tasks[[#This Row],[Task Name]]="",FALSE(),OR(NOT(BaselineSet),N(Tasks[[#This Row],[Baseline Start]])&gt;0))</f>
        <v>0</v>
      </c>
      <c r="GZ3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92" t="str">
        <f aca="false">IF(Tasks[[#This Row],[_IsLeaf]]=1,Tasks[[#This Row],[_Row]],"")</f>
        <v/>
      </c>
      <c r="HD36" s="92" t="str">
        <f aca="false">IFERROR(INDEX(Tasks[UID],SMALL(Tasks[_PickKey],Tasks[[#This Row],[_Row]]))&amp;" "&amp;INDEX(Tasks[Task Name],SMALL(Tasks[_PickKey],Tasks[[#This Row],[_Row]])),"")</f>
        <v/>
      </c>
      <c r="HE36" s="43" t="str">
        <f aca="false">IF(Tasks[[#This Row],[Task Name]]="","",IF(Tasks[[#This Row],[_IsSummary]],NETWORKDAYS.INTL(Tasks[[#This Row],[Start]],Tasks[[#This Row],[Finish]],WorkWeek,Holidays),N(Tasks[[#This Row],[_Days]])))</f>
        <v/>
      </c>
      <c r="HF36" s="43" t="n">
        <f aca="false">IF(Tasks[[#This Row],[Expected]]="",0,((Tasks[[#This Row],[Pessimistic]]-Tasks[[#This Row],[Optimistic]])/6)^2)</f>
        <v>0</v>
      </c>
      <c r="HG36" s="43" t="n">
        <f aca="false">IF(Tasks[[#This Row],[Expected]]="",0,Tasks[[#This Row],[Expected]]-N(Tasks[[#This Row],[_Days]]))</f>
        <v>0</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4"/>
      <c r="U37" s="23"/>
      <c r="V37" s="84"/>
      <c r="W37" s="23"/>
      <c r="X37" s="84"/>
      <c r="Y37" s="23"/>
      <c r="Z37" s="84"/>
      <c r="AA37" s="23"/>
      <c r="AB37" s="23"/>
      <c r="AC37" s="7"/>
      <c r="AD37" s="7"/>
      <c r="AE37" s="63" t="str">
        <f aca="false">IF(Tasks[[#This Row],[Task Name]]="","",IF(Tasks[[#This Row],[_IsSummary]],MIN(INDEX(Tasks[_ShownFcstStart],Tasks[[#This Row],[_Row]]+1):INDEX(Tasks[_ShownFcstStart],Tasks[[#This Row],[_Row]]+Tasks[[#This Row],[_Descendants]])),Tasks[[#This Row],[_ShownFcstStart]]))</f>
        <v/>
      </c>
      <c r="AF37" s="63"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7" s="7"/>
      <c r="AK37" s="22"/>
      <c r="AL37" s="23"/>
      <c r="AM37" s="7"/>
      <c r="AN37" s="47"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3" t="str">
        <f aca="false">IF(Tasks[[#This Row],[Task Name]]="","",IF(N(Tasks[[#This Row],[Baseline Start]])&gt;0,Tasks[[#This Row],[Baseline Start]],Tasks[[#This Row],[_CalcStart]]))</f>
        <v/>
      </c>
      <c r="AR37" s="63" t="str">
        <f aca="false">IF(Tasks[[#This Row],[Task Name]]="","",IF(N(Tasks[[#This Row],[Baseline Finish]])&gt;0,Tasks[[#This Row],[Baseline Finish]],Tasks[[#This Row],[_CalcFinish]]))</f>
        <v/>
      </c>
      <c r="AS37" s="47" t="str">
        <f aca="false">IF(Tasks[[#This Row],[Task Name]]="","",IF(Tasks[[#This Row],[Start]]&gt;=Tasks[[#This Row],[Planned Start]],NETWORKDAYS.INTL(Tasks[[#This Row],[Planned Start]],Tasks[[#This Row],[Start]],WorkWeek,Holidays)-1,1-NETWORKDAYS.INTL(Tasks[[#This Row],[Start]],Tasks[[#This Row],[Planned Start]],WorkWeek,Holidays)))</f>
        <v/>
      </c>
      <c r="AT37" s="63" t="str">
        <f aca="false">IF(Tasks[[#This Row],[Task Name]]="","",IF(Tasks[[#This Row],[_IsSummary]],MIN(INDEX(Tasks[_LeafLateStart],Tasks[[#This Row],[_Row]]+1):INDEX(Tasks[_LeafLateStart],Tasks[[#This Row],[_Row]]+Tasks[[#This Row],[_Descendants]])),Tasks[[#This Row],[_LeafLateStart]]))</f>
        <v/>
      </c>
      <c r="AU37" s="63" t="str">
        <f aca="false">IF(Tasks[[#This Row],[Task Name]]="","",IF(Tasks[[#This Row],[_IsSummary]],MAX(INDEX(Tasks[_LeafLateFinish],Tasks[[#This Row],[_Row]]+1):INDEX(Tasks[_LeafLateFinish],Tasks[[#This Row],[_Row]]+Tasks[[#This Row],[_Descendants]])),Tasks[[#This Row],[_LeafLateFinish]]))</f>
        <v/>
      </c>
      <c r="AV37" s="47"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5"/>
      <c r="BA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6"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7"/>
      <c r="BJ37" s="22"/>
      <c r="BK37" s="47" t="str">
        <f aca="false">IF(OR(Tasks[[#This Row],[Task Name]]="",Tasks[[#This Row],[Baseline Duration]]=""),"",Tasks[[#This Row],[_SpanDays]]-N(Tasks[[#This Row],[Baseline Duration]]))</f>
        <v/>
      </c>
      <c r="BL37" s="86" t="str">
        <f aca="false">IF(OR(Tasks[[#This Row],[Task Name]]="",Tasks[[#This Row],[Baseline Work]]=""),"",Tasks[[#This Row],[Work]]-N(Tasks[[#This Row],[Baseline Work]]))</f>
        <v/>
      </c>
      <c r="BM37" s="63" t="str">
        <f aca="false">IF(Tasks[[#This Row],[Task Name]]="","",IF(OR(TakeBaseline="Yes",N(Tasks[[#This Row],[Baseline Start]])=0),Tasks[[#This Row],[Start]],Tasks[[#This Row],[Baseline Start]]))</f>
        <v/>
      </c>
      <c r="BN37" s="63" t="str">
        <f aca="false">IF(Tasks[[#This Row],[Task Name]]="","",IF(OR(TakeBaseline="Yes",N(Tasks[[#This Row],[Baseline Finish]])=0),Tasks[[#This Row],[Finish]],Tasks[[#This Row],[Baseline Finish]]))</f>
        <v/>
      </c>
      <c r="BO37" s="21" t="str">
        <f aca="false">IF(Tasks[[#This Row],[Task Name]]="","",IF(OR(TakeBaseline="Yes",N(Tasks[[#This Row],[Baseline Duration]])=0),Tasks[[#This Row],[_SpanDays]],Tasks[[#This Row],[Baseline Duration]]))</f>
        <v/>
      </c>
      <c r="BP37" s="86" t="str">
        <f aca="false">IF(Tasks[[#This Row],[Task Name]]="","",IF(OR(TakeBaseline="Yes",N(Tasks[[#This Row],[Baseline Work]])=0),Tasks[[#This Row],[Work]],Tasks[[#This Row],[Baseline Work]]))</f>
        <v/>
      </c>
      <c r="BQ37" s="7"/>
      <c r="BR37" s="7"/>
      <c r="BS37" s="22"/>
      <c r="BT37" s="88"/>
      <c r="BU37" s="23"/>
      <c r="BV37" s="23"/>
      <c r="BW37" s="23"/>
      <c r="BX37" s="89" t="str">
        <f aca="false">IF(AND(Tasks[[#This Row],[_IsLeaf]]=1,ISNUMBER(Tasks[[#This Row],[Optimistic]]),ISNUMBER(Tasks[[#This Row],[Pessimistic]])),ROUND((Tasks[[#This Row],[Optimistic]]+4*N(Tasks[[#This Row],[_Days]])+Tasks[[#This Row],[Pessimistic]])/6,1),"")</f>
        <v/>
      </c>
      <c r="BY37" s="87"/>
      <c r="BZ37" s="87"/>
      <c r="CA37" s="22"/>
      <c r="CB37" s="43" t="str">
        <f aca="false">IF(Tasks[[#This Row],[Task Name]]="","",MAX(1,N(Tasks[[#This Row],[Level]])))</f>
        <v/>
      </c>
      <c r="CC37" s="43" t="n">
        <f aca="false">ROW()-ROW(Tasks[[#Headers],[ID]])</f>
        <v>32</v>
      </c>
      <c r="CD37" s="43" t="n">
        <f aca="false">IF(OR(Tasks[[#This Row],[Task Name]]="",Tasks[[#This Row],[_Level]]&lt;=1),0,IFERROR(LOOKUP(2,1/(Tasks[[#Headers],[_Level]]:Tasks[[#This Row],[_Level]]=Tasks[[#This Row],[_Level]]-1),ROW(Tasks[[#Headers],[_Level]]:Tasks[[#This Row],[_Level]])),0))</f>
        <v>0</v>
      </c>
      <c r="CE37" s="43" t="n">
        <f aca="false">IFERROR(N(INDEX(Tasks[_Level],Tasks[[#This Row],[_Row]]+1)),0)</f>
        <v>0</v>
      </c>
      <c r="CF37" s="90" t="b">
        <f aca="false">AND(Tasks[[#This Row],[Task Name]]&lt;&gt;"",Tasks[[#This Row],[_NextLevel]]&gt;Tasks[[#This Row],[_Level]])</f>
        <v>0</v>
      </c>
      <c r="CG37" s="43" t="n">
        <f aca="false">IF(Tasks[[#This Row],[_IsSummary]],COUNTIF(Tasks[WBS],Tasks[[#This Row],[WBS]]&amp;".*"),0)</f>
        <v>0</v>
      </c>
      <c r="CH37" s="43" t="n">
        <f aca="false">IF(AND(Tasks[[#This Row],[Task Name]]&lt;&gt;"",NOT(Tasks[[#This Row],[_IsSummary]])),1,0)</f>
        <v>0</v>
      </c>
      <c r="CI37" s="43" t="n">
        <f aca="false">IF(N(Tasks[[#This Row],[_Pred1UID]])=0,0,IFERROR(MATCH(Tasks[[#This Row],[_Pred1UID]],Tasks[UID],0),-1))</f>
        <v>0</v>
      </c>
      <c r="CJ37" s="43" t="n">
        <f aca="false">IF(N(Tasks[[#This Row],[_Pred2UID]])=0,0,IFERROR(MATCH(Tasks[[#This Row],[_Pred2UID]],Tasks[UID],0),-1))</f>
        <v>0</v>
      </c>
      <c r="CK37" s="43" t="n">
        <f aca="false">IF(N(Tasks[[#This Row],[_Pred3UID]])=0,0,IFERROR(MATCH(Tasks[[#This Row],[_Pred3UID]],Tasks[UID],0),-1))</f>
        <v>0</v>
      </c>
      <c r="CL37" s="43" t="n">
        <f aca="false">IF(N(Tasks[[#This Row],[_Pred4UID]])=0,0,IFERROR(MATCH(Tasks[[#This Row],[_Pred4UID]],Tasks[UID],0),-1))</f>
        <v>0</v>
      </c>
      <c r="CM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7" s="91" t="n">
        <f aca="false">IF(OR(Tasks[[#This Row],[_ConstraintCode]]=2,Tasks[[#This Row],[_ConstraintCode]]=3,Tasks[[#This Row],[_ConstraintCode]]=4,Tasks[[#This Row],[_ConstraintCode]]=6),Tasks[[#This Row],[_ConstraintStart]],0)</f>
        <v>0</v>
      </c>
      <c r="CP37" s="91" t="n">
        <f aca="false">IF(OR(Tasks[[#This Row],[_ConstraintCode]]=2,Tasks[[#This Row],[_ConstraintCode]]=3,Tasks[[#This Row],[_ConstraintCode]]=5,Tasks[[#This Row],[_ConstraintCode]]=7),Tasks[[#This Row],[_ConstraintStart]],2958465)</f>
        <v>2958465</v>
      </c>
      <c r="CQ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91" t="str">
        <f aca="false">IF(NOT(Tasks[[#This Row],[_IsLeaf]]=1),"",IF(N(Tasks[[#This Row],[_Days]])&lt;=0,Tasks[[#This Row],[_LeafCalcStart]],WORKDAY.INTL(Tasks[[#This Row],[_LeafCalcStart]],Tasks[[#This Row],[_Days]]-1,WorkWeek,Holidays)))</f>
        <v/>
      </c>
      <c r="CS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3" t="str">
        <f aca="false">IF(Tasks[[#This Row],[_Predecessors]]="","",TRIM(MID(SUBSTITUTE(SUBSTITUTE(SUBSTITUTE(UPPER(Tasks[[#This Row],[_Predecessors]]),";",",")," ",""),",",REPT(" ",99)),1,99)))</f>
        <v/>
      </c>
      <c r="CV37" s="43" t="str">
        <f aca="false">IF(Tasks[[#This Row],[_Pred1Text]]="","",IFERROR(VALUE(LEFT(Tasks[[#This Row],[_Pred1Text]],MIN(FIND("F",Tasks[[#This Row],[_Pred1Text]]&amp;"F"),FIND("S",Tasks[[#This Row],[_Pred1Text]]&amp;"S"),FIND("+",Tasks[[#This Row],[_Pred1Text]]&amp;"+"),FIND("-",Tasks[[#This Row],[_Pred1Text]]&amp;"-"))-1)),""))</f>
        <v/>
      </c>
      <c r="CW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3" t="str">
        <f aca="false">IF(Tasks[[#This Row],[_Pred1Text]]="","",TRIM(MID(SUBSTITUTE(SUBSTITUTE(SUBSTITUTE(UPPER(Tasks[[#This Row],[_Predecessors]]),";",",")," ",""),",",REPT(" ",99)),100,99)))</f>
        <v/>
      </c>
      <c r="CZ37" s="43" t="str">
        <f aca="false">IF(Tasks[[#This Row],[_Pred2Text]]="","",IFERROR(VALUE(LEFT(Tasks[[#This Row],[_Pred2Text]],MIN(FIND("F",Tasks[[#This Row],[_Pred2Text]]&amp;"F"),FIND("S",Tasks[[#This Row],[_Pred2Text]]&amp;"S"),FIND("+",Tasks[[#This Row],[_Pred2Text]]&amp;"+"),FIND("-",Tasks[[#This Row],[_Pred2Text]]&amp;"-"))-1)),""))</f>
        <v/>
      </c>
      <c r="DA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3" t="str">
        <f aca="false">IF(Tasks[[#This Row],[_Pred2Text]]="","",TRIM(MID(SUBSTITUTE(SUBSTITUTE(SUBSTITUTE(UPPER(Tasks[[#This Row],[_Predecessors]]),";",",")," ",""),",",REPT(" ",99)),199,99)))</f>
        <v/>
      </c>
      <c r="DD37" s="43" t="str">
        <f aca="false">IF(Tasks[[#This Row],[_Pred3Text]]="","",IFERROR(VALUE(LEFT(Tasks[[#This Row],[_Pred3Text]],MIN(FIND("F",Tasks[[#This Row],[_Pred3Text]]&amp;"F"),FIND("S",Tasks[[#This Row],[_Pred3Text]]&amp;"S"),FIND("+",Tasks[[#This Row],[_Pred3Text]]&amp;"+"),FIND("-",Tasks[[#This Row],[_Pred3Text]]&amp;"-"))-1)),""))</f>
        <v/>
      </c>
      <c r="DE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3" t="str">
        <f aca="false">IF(Tasks[[#This Row],[_Pred3Text]]="","",TRIM(MID(SUBSTITUTE(SUBSTITUTE(SUBSTITUTE(UPPER(Tasks[[#This Row],[_Predecessors]]),";",",")," ",""),",",REPT(" ",99)),298,99)))</f>
        <v/>
      </c>
      <c r="DH37" s="43" t="str">
        <f aca="false">IF(Tasks[[#This Row],[_Pred4Text]]="","",IFERROR(VALUE(LEFT(Tasks[[#This Row],[_Pred4Text]],MIN(FIND("F",Tasks[[#This Row],[_Pred4Text]]&amp;"F"),FIND("S",Tasks[[#This Row],[_Pred4Text]]&amp;"S"),FIND("+",Tasks[[#This Row],[_Pred4Text]]&amp;"+"),FIND("-",Tasks[[#This Row],[_Pred4Text]]&amp;"-"))-1)),""))</f>
        <v/>
      </c>
      <c r="DI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3" t="str">
        <f aca="false">IF(OR(Tasks[[#This Row],[Task Name]]="",Tasks[[#This Row],[_Resources]]=""),"",TRIM(MID(SUBSTITUTE(Tasks[[#This Row],[_Resources]],",",REPT(" ",99)),1,99)))</f>
        <v/>
      </c>
      <c r="DL37" s="43" t="str">
        <f aca="false">IF(Tasks[[#This Row],[_Res1Text]]="","",TRIM(MID(SUBSTITUTE(Tasks[[#This Row],[_Resources]],",",REPT(" ",99)),100,99)))</f>
        <v/>
      </c>
      <c r="DM37" s="43" t="str">
        <f aca="false">IF(Tasks[[#This Row],[_Res2Text]]="","",TRIM(MID(SUBSTITUTE(Tasks[[#This Row],[_Resources]],",",REPT(" ",99)),199,99)))</f>
        <v/>
      </c>
      <c r="DN37" s="43" t="str">
        <f aca="false">IF(Tasks[[#This Row],[_Res3Text]]="","",TRIM(MID(SUBSTITUTE(Tasks[[#This Row],[_Resources]],",",REPT(" ",99)),298,99)))</f>
        <v/>
      </c>
      <c r="DO37" s="43" t="n">
        <f aca="false">IF(Tasks[[#This Row],[_Res1Text]]="",0,IFERROR(MATCH(TRIM(LEFT(Tasks[[#This Row],[_Res1Text]],FIND("[",Tasks[[#This Row],[_Res1Text]]&amp;"[")-1)),res_Name,0),IFERROR(MATCH(TRIM(LEFT(Tasks[[#This Row],[_Res1Text]],FIND("[",Tasks[[#This Row],[_Res1Text]]&amp;"[")-1)),res_Initials,0),0)))</f>
        <v>0</v>
      </c>
      <c r="DP37" s="43" t="n">
        <f aca="false">IF(Tasks[[#This Row],[_Res2Text]]="",0,IFERROR(MATCH(TRIM(LEFT(Tasks[[#This Row],[_Res2Text]],FIND("[",Tasks[[#This Row],[_Res2Text]]&amp;"[")-1)),res_Name,0),IFERROR(MATCH(TRIM(LEFT(Tasks[[#This Row],[_Res2Text]],FIND("[",Tasks[[#This Row],[_Res2Text]]&amp;"[")-1)),res_Initials,0),0)))</f>
        <v>0</v>
      </c>
      <c r="DQ37" s="43" t="n">
        <f aca="false">IF(Tasks[[#This Row],[_Res3Text]]="",0,IFERROR(MATCH(TRIM(LEFT(Tasks[[#This Row],[_Res3Text]],FIND("[",Tasks[[#This Row],[_Res3Text]]&amp;"[")-1)),res_Name,0),IFERROR(MATCH(TRIM(LEFT(Tasks[[#This Row],[_Res3Text]],FIND("[",Tasks[[#This Row],[_Res3Text]]&amp;"[")-1)),res_Initials,0),0)))</f>
        <v>0</v>
      </c>
      <c r="DR37" s="43" t="n">
        <f aca="false">IF(Tasks[[#This Row],[_Res4Text]]="",0,IFERROR(MATCH(TRIM(LEFT(Tasks[[#This Row],[_Res4Text]],FIND("[",Tasks[[#This Row],[_Res4Text]]&amp;"[")-1)),res_Name,0),IFERROR(MATCH(TRIM(LEFT(Tasks[[#This Row],[_Res4Text]],FIND("[",Tasks[[#This Row],[_Res4Text]]&amp;"[")-1)),res_Initials,0),0)))</f>
        <v>0</v>
      </c>
      <c r="DS37" s="43" t="str">
        <f aca="false">IF(Tasks[[#This Row],[_Res1Text]]="","",IF(Tasks[[#This Row],[_Res1Row]]&gt;0,INDEX(res_Name,Tasks[[#This Row],[_Res1Row]]),TRIM(LEFT(Tasks[[#This Row],[_Res1Text]],FIND("[",Tasks[[#This Row],[_Res1Text]]&amp;"[")-1))))</f>
        <v/>
      </c>
      <c r="DT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3" t="n">
        <f aca="false">IF(NOT(Tasks[[#This Row],[_IsLeaf]]=1),0,(Tasks[[#This Row],[_Resource1]]&lt;&gt;"")+(Tasks[[#This Row],[_Res2]]&lt;&gt;"")+(Tasks[[#This Row],[_Res3]]&lt;&gt;"")+(Tasks[[#This Row],[_Res4]]&lt;&gt;""))</f>
        <v>0</v>
      </c>
      <c r="DV37" s="43" t="str">
        <f aca="false">IF(Tasks[[#This Row],[_Res2Text]]="","",IF(Tasks[[#This Row],[_Res2Row]]&gt;0,INDEX(res_Name,Tasks[[#This Row],[_Res2Row]]),TRIM(LEFT(Tasks[[#This Row],[_Res2Text]],FIND("[",Tasks[[#This Row],[_Res2Text]]&amp;"[")-1))))</f>
        <v/>
      </c>
      <c r="DW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3" t="n">
        <f aca="false">IF(OR(NOT(Tasks[[#This Row],[_IsLeaf]]=1),Tasks[[#This Row],[_Res2Row]]=0),0,N(Tasks[[#This Row],[_Days]])*HoursPerDay*IF(Tasks[[#This Row],[_Res2Units]]="",DefaultUnits,Tasks[[#This Row],[_Res2Units]]))</f>
        <v>0</v>
      </c>
      <c r="DY37" s="43" t="n">
        <f aca="false">IF(AND(AND(Tasks[[#This Row],[_IsLeaf]]=1,Tasks[[#This Row],[_LeafTotalWork]]&gt;0),Tasks[[#This Row],[_Res2Work]]&gt;0),Tasks[[#This Row],[_Res2Work]]/(Tasks[[#This Row],[_FinishWorkday]]-Tasks[[#This Row],[_StartWorkday]]+1),0)</f>
        <v>0</v>
      </c>
      <c r="DZ37" s="43" t="n">
        <f aca="false">Tasks[[#This Row],[_Res2WorkPerWD]]*MAX(0,Tasks[[#This Row],[_StartWorkday]]-1)</f>
        <v>0</v>
      </c>
      <c r="EA37" s="43" t="n">
        <f aca="false">Tasks[[#This Row],[_Res2Work]]*Tasks[[#This Row],[_LeafProgress]]</f>
        <v>0</v>
      </c>
      <c r="EB37" s="43" t="str">
        <f aca="false">IF(Tasks[[#This Row],[_Res3Text]]="","",IF(Tasks[[#This Row],[_Res3Row]]&gt;0,INDEX(res_Name,Tasks[[#This Row],[_Res3Row]]),TRIM(LEFT(Tasks[[#This Row],[_Res3Text]],FIND("[",Tasks[[#This Row],[_Res3Text]]&amp;"[")-1))))</f>
        <v/>
      </c>
      <c r="EC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3" t="n">
        <f aca="false">IF(OR(NOT(Tasks[[#This Row],[_IsLeaf]]=1),Tasks[[#This Row],[_Res3Row]]=0),0,N(Tasks[[#This Row],[_Days]])*HoursPerDay*IF(Tasks[[#This Row],[_Res3Units]]="",DefaultUnits,Tasks[[#This Row],[_Res3Units]]))</f>
        <v>0</v>
      </c>
      <c r="EE37" s="43" t="n">
        <f aca="false">IF(AND(AND(Tasks[[#This Row],[_IsLeaf]]=1,Tasks[[#This Row],[_LeafTotalWork]]&gt;0),Tasks[[#This Row],[_Res3Work]]&gt;0),Tasks[[#This Row],[_Res3Work]]/(Tasks[[#This Row],[_FinishWorkday]]-Tasks[[#This Row],[_StartWorkday]]+1),0)</f>
        <v>0</v>
      </c>
      <c r="EF37" s="43" t="n">
        <f aca="false">Tasks[[#This Row],[_Res3WorkPerWD]]*MAX(0,Tasks[[#This Row],[_StartWorkday]]-1)</f>
        <v>0</v>
      </c>
      <c r="EG37" s="43" t="n">
        <f aca="false">Tasks[[#This Row],[_Res3Work]]*Tasks[[#This Row],[_LeafProgress]]</f>
        <v>0</v>
      </c>
      <c r="EH37" s="43" t="str">
        <f aca="false">IF(Tasks[[#This Row],[_Res4Text]]="","",IF(Tasks[[#This Row],[_Res4Row]]&gt;0,INDEX(res_Name,Tasks[[#This Row],[_Res4Row]]),TRIM(LEFT(Tasks[[#This Row],[_Res4Text]],FIND("[",Tasks[[#This Row],[_Res4Text]]&amp;"[")-1))))</f>
        <v/>
      </c>
      <c r="EI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3" t="n">
        <f aca="false">IF(OR(NOT(Tasks[[#This Row],[_IsLeaf]]=1),Tasks[[#This Row],[_Res4Row]]=0),0,N(Tasks[[#This Row],[_Days]])*HoursPerDay*IF(Tasks[[#This Row],[_Res4Units]]="",DefaultUnits,Tasks[[#This Row],[_Res4Units]]))</f>
        <v>0</v>
      </c>
      <c r="EK37" s="43" t="n">
        <f aca="false">IF(AND(AND(Tasks[[#This Row],[_IsLeaf]]=1,Tasks[[#This Row],[_LeafTotalWork]]&gt;0),Tasks[[#This Row],[_Res4Work]]&gt;0),Tasks[[#This Row],[_Res4Work]]/(Tasks[[#This Row],[_FinishWorkday]]-Tasks[[#This Row],[_StartWorkday]]+1),0)</f>
        <v>0</v>
      </c>
      <c r="EL37" s="43" t="n">
        <f aca="false">Tasks[[#This Row],[_Res4WorkPerWD]]*MAX(0,Tasks[[#This Row],[_StartWorkday]]-1)</f>
        <v>0</v>
      </c>
      <c r="EM37" s="43" t="n">
        <f aca="false">Tasks[[#This Row],[_Res4Work]]*Tasks[[#This Row],[_LeafProgress]]</f>
        <v>0</v>
      </c>
      <c r="EN37" s="43" t="n">
        <f aca="false">IF(ISNUMBER(Tasks[[#This Row],[% Complete]]),Tasks[[#This Row],[% Complete]],IF(Tasks[[#This Row],[Stage]]="",0,IFERROR(INDEX(stg_Pct,MATCH(Tasks[[#This Row],[Stage]],stg_Name,0)),0)))</f>
        <v>0</v>
      </c>
      <c r="EO37" s="43" t="n">
        <f aca="false">IF(NOT(Tasks[[#This Row],[_IsLeaf]]=1),0,IF(N(Tasks[[#This Row],[Actual Finish]])&gt;0,1,MIN(1,Tasks[[#This Row],[_Pct]])))</f>
        <v>0</v>
      </c>
      <c r="EP37" s="43" t="n">
        <f aca="false">IF(OR(NOT(Tasks[[#This Row],[_IsLeaf]]=1),Tasks[[#This Row],[_Res1Row]]=0),0,N(Tasks[[#This Row],[_Days]])*HoursPerDay*IF(Tasks[[#This Row],[_Units1]]="",DefaultUnits,Tasks[[#This Row],[_Units1]]))</f>
        <v>0</v>
      </c>
      <c r="EQ37" s="43" t="n">
        <f aca="false">Tasks[[#This Row],[_LeafWork]]+Tasks[[#This Row],[_Res2Work]]+Tasks[[#This Row],[_Res3Work]]+Tasks[[#This Row],[_Res4Work]]</f>
        <v>0</v>
      </c>
      <c r="ER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3" t="n">
        <f aca="false">IF(NOT(Tasks[[#This Row],[_IsLeaf]]=1),0,MAX(_xlfn.MAXIFS(Tasks[_Row],Tasks[_Pred1UID],Tasks[[#This Row],[UID]]),_xlfn.MAXIFS(Tasks[_Row],Tasks[_Pred2UID],Tasks[[#This Row],[UID]]),_xlfn.MAXIFS(Tasks[_Row],Tasks[_Pred3UID],Tasks[[#This Row],[UID]]),_xlfn.MAXIFS(Tasks[_Row],Tasks[_Pred4UID],Tasks[[#This Row],[UID]])))</f>
        <v>0</v>
      </c>
      <c r="FA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91" t="str">
        <f aca="false">IF(NOT(Tasks[[#This Row],[_IsLeaf]]=1),"",IF(N(Tasks[[#This Row],[_Days]])&lt;=0,Tasks[[#This Row],[_LeafLateFinish]],WORKDAY.INTL(Tasks[[#This Row],[_LeafLateFinish]],-(Tasks[[#This Row],[_Days]]-1),WorkWeek,Holidays)))</f>
        <v/>
      </c>
      <c r="FD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7" s="90" t="b">
        <f aca="false">AND(Tasks[[#This Row],[_IsLeaf]]=1,Tasks[[#This Row],[_LeafProgress]]&lt;1,N(Tasks[[#This Row],[_LeafTotalSlack]])&lt;=CriticalSlackDays)</f>
        <v>0</v>
      </c>
      <c r="FF37" s="43" t="n">
        <f aca="false">IF(AND(Tasks[[#This Row],[_IsLeaf]]=1,Tasks[[#This Row],[_ConstraintCode]]=1,Tasks[[#This Row],[Mode]]&lt;&gt;"Manual",N(Tasks[[#This Row],[Actual Start]])=0),MAX(0,N(Tasks[[#This Row],[Free Slack]])),0)</f>
        <v>0</v>
      </c>
      <c r="FG37" s="91" t="str">
        <f aca="false">IF(NOT(Tasks[[#This Row],[_IsLeaf]]=1),"",IF(Tasks[[#This Row],[_AlapShift]]=0,Tasks[[#This Row],[_LeafCalcStart]],WORKDAY.INTL(Tasks[[#This Row],[_LeafCalcStart]],Tasks[[#This Row],[_AlapShift]],WorkWeek,Holidays)))</f>
        <v/>
      </c>
      <c r="FH37" s="91" t="str">
        <f aca="false">IF(NOT(Tasks[[#This Row],[_IsLeaf]]=1),"",IF(Tasks[[#This Row],[_AlapShift]]=0,Tasks[[#This Row],[_LeafCalcFinish]],WORKDAY.INTL(Tasks[[#This Row],[_LeafCalcFinish]],Tasks[[#This Row],[_AlapShift]],WorkWeek,Holidays)))</f>
        <v/>
      </c>
      <c r="FI37" s="91" t="str">
        <f aca="false">IF(NOT(Tasks[[#This Row],[_IsLeaf]]=1),"",IF(Tasks[[#This Row],[_AlapShift]]=0,Tasks[[#This Row],[_LeafFcstStart]],WORKDAY.INTL(Tasks[[#This Row],[_LeafFcstStart]],Tasks[[#This Row],[_AlapShift]],WorkWeek,Holidays)))</f>
        <v/>
      </c>
      <c r="FJ37" s="91" t="str">
        <f aca="false">IF(NOT(Tasks[[#This Row],[_IsLeaf]]=1),"",IF(Tasks[[#This Row],[_AlapShift]]=0,Tasks[[#This Row],[_LeafFcstFinish]],WORKDAY.INTL(Tasks[[#This Row],[_LeafFcstFinish]],Tasks[[#This Row],[_AlapShift]],WorkWeek,Holidays)))</f>
        <v/>
      </c>
      <c r="FK37" s="91" t="str">
        <f aca="false">IF(Tasks[[#This Row],[Task Name]]="","",IF(Tasks[[#This Row],[_IsSummary]],MIN(INDEX(Tasks[_ShownCalcStart],Tasks[[#This Row],[_Row]]+1):INDEX(Tasks[_ShownCalcStart],Tasks[[#This Row],[_Row]]+Tasks[[#This Row],[_Descendants]])),Tasks[[#This Row],[_ShownCalcStart]]))</f>
        <v/>
      </c>
      <c r="FL37" s="91" t="str">
        <f aca="false">IF(Tasks[[#This Row],[Task Name]]="","",IF(Tasks[[#This Row],[_IsSummary]],MAX(INDEX(Tasks[_ShownCalcFinish],Tasks[[#This Row],[_Row]]+1):INDEX(Tasks[_ShownCalcFinish],Tasks[[#This Row],[_Row]]+Tasks[[#This Row],[_Descendants]])),Tasks[[#This Row],[_ShownCalcFinish]]))</f>
        <v/>
      </c>
      <c r="FM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7" s="43" t="n">
        <f aca="false">IF(AND(Tasks[[#This Row],[_IsLeaf]]=1,Tasks[[#This Row],[_LeafTotalWork]]&gt;0),NETWORKDAYS.INTL(ProjectStart,Tasks[[#This Row],[_ShownFcstStart]],WorkWeek,Holidays),0)</f>
        <v>0</v>
      </c>
      <c r="FZ37" s="43" t="n">
        <f aca="false">IF(AND(Tasks[[#This Row],[_IsLeaf]]=1,Tasks[[#This Row],[_LeafTotalWork]]&gt;0),MAX(Tasks[[#This Row],[_StartWorkday]],NETWORKDAYS.INTL(ProjectStart,Tasks[[#This Row],[_ShownFcstFinish]],WorkWeek,Holidays)),0)</f>
        <v>0</v>
      </c>
      <c r="GA37" s="43" t="n">
        <f aca="false">IF(AND(Tasks[[#This Row],[_IsLeaf]]=1,Tasks[[#This Row],[_LeafTotalWork]]&gt;0),Tasks[[#This Row],[_LeafWork]]/(Tasks[[#This Row],[_FinishWorkday]]-Tasks[[#This Row],[_StartWorkday]]+1),0)</f>
        <v>0</v>
      </c>
      <c r="GB37" s="43" t="n">
        <f aca="false">Tasks[[#This Row],[_WorkPerWorkday]]*(Tasks[[#This Row],[_StartWorkday]]-1)</f>
        <v>-0</v>
      </c>
      <c r="GC37" s="43" t="n">
        <f aca="false">IF(Tasks[[#This Row],[_IsLeaf]]=1,MAX(N(Tasks[[#This Row],[_Days]]),0.1),0)</f>
        <v>0</v>
      </c>
      <c r="GD37" s="43" t="n">
        <f aca="false">Tasks[[#This Row],[_WeightDur]]*Tasks[[#This Row],[_LeafProgress]]</f>
        <v>0</v>
      </c>
      <c r="GE37" s="43" t="n">
        <f aca="false">Tasks[[#This Row],[_WeightDur]]*Tasks[[#This Row],[_PlannedPct]]</f>
        <v>0</v>
      </c>
      <c r="GF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3" t="str">
        <f aca="false">IF(AND(Tasks[[#This Row],[_IsLeaf]]=1,N(Tasks[[#This Row],[_Days]])=0,Tasks[[#This Row],[_LeafProgress]]&lt;1),Tasks[[#This Row],[_ShownFcstFinish]]+Tasks[[#This Row],[_Row]]/100000,"")</f>
        <v/>
      </c>
      <c r="GH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7" s="43" t="str">
        <f aca="false">IF(Tasks[[#This Row],[Task Name]]="","",LEFT(Tasks[[#This Row],[WBS]],FIND(".",Tasks[[#This Row],[WBS]]&amp;".")-1))</f>
        <v/>
      </c>
      <c r="GJ37" s="43" t="str">
        <f aca="false">IF(AND(Tasks[[#This Row],[Task Name]]&lt;&gt;"",Tasks[[#This Row],[_Level]]=1),Tasks[[#This Row],[_Row]],"")</f>
        <v/>
      </c>
      <c r="GK37" s="43" t="str">
        <f aca="false">IF(AND(Tasks[[#This Row],[_IsLeaf]]=1,N(Tasks[[#This Row],[_Days]])=0),Tasks[[#This Row],[Planned Finish]]+Tasks[[#This Row],[_Row]]/100000,"")</f>
        <v/>
      </c>
      <c r="GL37" s="43" t="str">
        <f aca="false">IF(AND(Tasks[[#This Row],[_IsLeaf]]=1,Tasks[[#This Row],[_LeafProgress]]&lt;1,OR(N(Tasks[[#This Row],[Finish Var]])&gt;0,Tasks[[#This Row],[Status]]="Late Start")),MAX(0,Tasks[[#This Row],[Finish Var]])+1-Tasks[[#This Row],[_Row]]/1000000,"")</f>
        <v/>
      </c>
      <c r="GM37" s="43" t="str">
        <f aca="false">IF(AND(Tasks[[#This Row],[_IsLeaf]]=1,N(Tasks[[#This Row],[Actual Start]])=0,Tasks[[#This Row],[_ShownFcstStart]]&gt;=StatusDate,Tasks[[#This Row],[_ShownFcstStart]]&lt;=LookaheadEnd),Tasks[[#This Row],[_ShownFcstStart]]+Tasks[[#This Row],[_Row]]/100000,"")</f>
        <v/>
      </c>
      <c r="GN37" s="43" t="str">
        <f aca="false">IF(AND(Tasks[[#This Row],[_IsLeaf]]=1,Tasks[[#This Row],[_LeafProgress]]&lt;1,Tasks[[#This Row],[_ShownFcstFinish]]&gt;=StatusDate,Tasks[[#This Row],[_ShownFcstFinish]]&lt;=LookaheadEnd),Tasks[[#This Row],[_ShownFcstFinish]]+Tasks[[#This Row],[_Row]]/100000,"")</f>
        <v/>
      </c>
      <c r="GO37" s="43" t="str">
        <f aca="false">IF(Tasks[[#This Row],[_LeafCritical]],Tasks[[#This Row],[_ShownFcstStart]]+Tasks[[#This Row],[_Row]]/100000,"")</f>
        <v/>
      </c>
      <c r="GP37" s="43" t="n">
        <f aca="false">Tasks[[#This Row],[_LeafWork]]*Tasks[[#This Row],[_LeafProgress]]</f>
        <v>0</v>
      </c>
      <c r="GQ37" s="91" t="str">
        <f aca="false">IF(AND(Tasks[[#This Row],[_IsLeaf]]=1,Tasks[[#This Row],[_LeafProgress]]&gt;=1),IF(N(Tasks[[#This Row],[Actual Finish]])&gt;0,Tasks[[#This Row],[Actual Finish]],Tasks[[#This Row],[_ShownFcstFinish]]),"")</f>
        <v/>
      </c>
      <c r="GR37" s="43" t="n">
        <f aca="false">IF(Tasks[[#This Row],[_IsLeaf]]=1,N(Tasks[[#This Row],[Story Points]]),0)</f>
        <v>0</v>
      </c>
      <c r="GS37" s="43" t="str">
        <f aca="false">""</f>
        <v/>
      </c>
      <c r="GT37" s="90" t="b">
        <f aca="false">IF(Tasks[[#This Row],[Task Name]]="",FALSE(),AND(Tasks[[#This Row],[_IsLeaf]]=1,N(Tasks[[#This Row],[_Days]])=0))</f>
        <v>0</v>
      </c>
      <c r="GU37" s="91" t="n">
        <f aca="false">IF(Tasks[[#This Row],[Task Name]]="",0,IF(AND(Tasks[[#This Row],[_IsLeaf]]=1,NOT(Tasks[[#This Row],[_IsMilestone]]),N(Tasks[[#This Row],[Progress]])&gt;0),Tasks[[#This Row],[Start]],0))</f>
        <v>0</v>
      </c>
      <c r="GV37" s="91" t="n">
        <f aca="false">IF(Tasks[[#This Row],[_DoneFrom]]=0,0,IF(Tasks[[#This Row],[Progress]]&gt;=1,Tasks[[#This Row],[Finish]],MAX(Tasks[[#This Row],[_DoneFrom]],Tasks[[#This Row],[Start]]+ROUND((Tasks[[#This Row],[Finish]]-Tasks[[#This Row],[Start]]+1)*Tasks[[#This Row],[Progress]],0)-1)))</f>
        <v>0</v>
      </c>
      <c r="GW37" s="91" t="n">
        <f aca="false">IF(Tasks[[#This Row],[Task Name]]="",0,IF(OR(NOT(Tasks[[#This Row],[_IsLeaf]]=1),Tasks[[#This Row],[_IsMilestone]],N(Tasks[[#This Row],[Progress]])&gt;=1),0,IF(Tasks[[#This Row],[_DoneTo]]&gt;0,Tasks[[#This Row],[_DoneTo]]+1,Tasks[[#This Row],[Start]])))</f>
        <v>0</v>
      </c>
      <c r="GX37" s="91" t="n">
        <f aca="false">IF(Tasks[[#This Row],[_RemFrom]]=0,0,Tasks[[#This Row],[Finish]])</f>
        <v>0</v>
      </c>
      <c r="GY37" s="90" t="b">
        <f aca="false">IF(Tasks[[#This Row],[Task Name]]="",FALSE(),OR(NOT(BaselineSet),N(Tasks[[#This Row],[Baseline Start]])&gt;0))</f>
        <v>0</v>
      </c>
      <c r="GZ3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92" t="str">
        <f aca="false">IF(Tasks[[#This Row],[_IsLeaf]]=1,Tasks[[#This Row],[_Row]],"")</f>
        <v/>
      </c>
      <c r="HD37" s="92" t="str">
        <f aca="false">IFERROR(INDEX(Tasks[UID],SMALL(Tasks[_PickKey],Tasks[[#This Row],[_Row]]))&amp;" "&amp;INDEX(Tasks[Task Name],SMALL(Tasks[_PickKey],Tasks[[#This Row],[_Row]])),"")</f>
        <v/>
      </c>
      <c r="HE37" s="43" t="str">
        <f aca="false">IF(Tasks[[#This Row],[Task Name]]="","",IF(Tasks[[#This Row],[_IsSummary]],NETWORKDAYS.INTL(Tasks[[#This Row],[Start]],Tasks[[#This Row],[Finish]],WorkWeek,Holidays),N(Tasks[[#This Row],[_Days]])))</f>
        <v/>
      </c>
      <c r="HF37" s="43" t="n">
        <f aca="false">IF(Tasks[[#This Row],[Expected]]="",0,((Tasks[[#This Row],[Pessimistic]]-Tasks[[#This Row],[Optimistic]])/6)^2)</f>
        <v>0</v>
      </c>
      <c r="HG37" s="43" t="n">
        <f aca="false">IF(Tasks[[#This Row],[Expected]]="",0,Tasks[[#This Row],[Expected]]-N(Tasks[[#This Row],[_Days]]))</f>
        <v>0</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4"/>
      <c r="U38" s="23"/>
      <c r="V38" s="84"/>
      <c r="W38" s="23"/>
      <c r="X38" s="84"/>
      <c r="Y38" s="23"/>
      <c r="Z38" s="84"/>
      <c r="AA38" s="23"/>
      <c r="AB38" s="23"/>
      <c r="AC38" s="7"/>
      <c r="AD38" s="7"/>
      <c r="AE38" s="63" t="str">
        <f aca="false">IF(Tasks[[#This Row],[Task Name]]="","",IF(Tasks[[#This Row],[_IsSummary]],MIN(INDEX(Tasks[_ShownFcstStart],Tasks[[#This Row],[_Row]]+1):INDEX(Tasks[_ShownFcstStart],Tasks[[#This Row],[_Row]]+Tasks[[#This Row],[_Descendants]])),Tasks[[#This Row],[_ShownFcstStart]]))</f>
        <v/>
      </c>
      <c r="AF38" s="63"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8" s="7"/>
      <c r="AK38" s="22"/>
      <c r="AL38" s="23"/>
      <c r="AM38" s="7"/>
      <c r="AN38" s="47"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3" t="str">
        <f aca="false">IF(Tasks[[#This Row],[Task Name]]="","",IF(N(Tasks[[#This Row],[Baseline Start]])&gt;0,Tasks[[#This Row],[Baseline Start]],Tasks[[#This Row],[_CalcStart]]))</f>
        <v/>
      </c>
      <c r="AR38" s="63" t="str">
        <f aca="false">IF(Tasks[[#This Row],[Task Name]]="","",IF(N(Tasks[[#This Row],[Baseline Finish]])&gt;0,Tasks[[#This Row],[Baseline Finish]],Tasks[[#This Row],[_CalcFinish]]))</f>
        <v/>
      </c>
      <c r="AS38" s="47" t="str">
        <f aca="false">IF(Tasks[[#This Row],[Task Name]]="","",IF(Tasks[[#This Row],[Start]]&gt;=Tasks[[#This Row],[Planned Start]],NETWORKDAYS.INTL(Tasks[[#This Row],[Planned Start]],Tasks[[#This Row],[Start]],WorkWeek,Holidays)-1,1-NETWORKDAYS.INTL(Tasks[[#This Row],[Start]],Tasks[[#This Row],[Planned Start]],WorkWeek,Holidays)))</f>
        <v/>
      </c>
      <c r="AT38" s="63" t="str">
        <f aca="false">IF(Tasks[[#This Row],[Task Name]]="","",IF(Tasks[[#This Row],[_IsSummary]],MIN(INDEX(Tasks[_LeafLateStart],Tasks[[#This Row],[_Row]]+1):INDEX(Tasks[_LeafLateStart],Tasks[[#This Row],[_Row]]+Tasks[[#This Row],[_Descendants]])),Tasks[[#This Row],[_LeafLateStart]]))</f>
        <v/>
      </c>
      <c r="AU38" s="63" t="str">
        <f aca="false">IF(Tasks[[#This Row],[Task Name]]="","",IF(Tasks[[#This Row],[_IsSummary]],MAX(INDEX(Tasks[_LeafLateFinish],Tasks[[#This Row],[_Row]]+1):INDEX(Tasks[_LeafLateFinish],Tasks[[#This Row],[_Row]]+Tasks[[#This Row],[_Descendants]])),Tasks[[#This Row],[_LeafLateFinish]]))</f>
        <v/>
      </c>
      <c r="AV38" s="47"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5"/>
      <c r="BA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6"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7"/>
      <c r="BJ38" s="22"/>
      <c r="BK38" s="47" t="str">
        <f aca="false">IF(OR(Tasks[[#This Row],[Task Name]]="",Tasks[[#This Row],[Baseline Duration]]=""),"",Tasks[[#This Row],[_SpanDays]]-N(Tasks[[#This Row],[Baseline Duration]]))</f>
        <v/>
      </c>
      <c r="BL38" s="86" t="str">
        <f aca="false">IF(OR(Tasks[[#This Row],[Task Name]]="",Tasks[[#This Row],[Baseline Work]]=""),"",Tasks[[#This Row],[Work]]-N(Tasks[[#This Row],[Baseline Work]]))</f>
        <v/>
      </c>
      <c r="BM38" s="63" t="str">
        <f aca="false">IF(Tasks[[#This Row],[Task Name]]="","",IF(OR(TakeBaseline="Yes",N(Tasks[[#This Row],[Baseline Start]])=0),Tasks[[#This Row],[Start]],Tasks[[#This Row],[Baseline Start]]))</f>
        <v/>
      </c>
      <c r="BN38" s="63" t="str">
        <f aca="false">IF(Tasks[[#This Row],[Task Name]]="","",IF(OR(TakeBaseline="Yes",N(Tasks[[#This Row],[Baseline Finish]])=0),Tasks[[#This Row],[Finish]],Tasks[[#This Row],[Baseline Finish]]))</f>
        <v/>
      </c>
      <c r="BO38" s="21" t="str">
        <f aca="false">IF(Tasks[[#This Row],[Task Name]]="","",IF(OR(TakeBaseline="Yes",N(Tasks[[#This Row],[Baseline Duration]])=0),Tasks[[#This Row],[_SpanDays]],Tasks[[#This Row],[Baseline Duration]]))</f>
        <v/>
      </c>
      <c r="BP38" s="86" t="str">
        <f aca="false">IF(Tasks[[#This Row],[Task Name]]="","",IF(OR(TakeBaseline="Yes",N(Tasks[[#This Row],[Baseline Work]])=0),Tasks[[#This Row],[Work]],Tasks[[#This Row],[Baseline Work]]))</f>
        <v/>
      </c>
      <c r="BQ38" s="7"/>
      <c r="BR38" s="7"/>
      <c r="BS38" s="22"/>
      <c r="BT38" s="88"/>
      <c r="BU38" s="23"/>
      <c r="BV38" s="23"/>
      <c r="BW38" s="23"/>
      <c r="BX38" s="89" t="str">
        <f aca="false">IF(AND(Tasks[[#This Row],[_IsLeaf]]=1,ISNUMBER(Tasks[[#This Row],[Optimistic]]),ISNUMBER(Tasks[[#This Row],[Pessimistic]])),ROUND((Tasks[[#This Row],[Optimistic]]+4*N(Tasks[[#This Row],[_Days]])+Tasks[[#This Row],[Pessimistic]])/6,1),"")</f>
        <v/>
      </c>
      <c r="BY38" s="87"/>
      <c r="BZ38" s="87"/>
      <c r="CA38" s="22"/>
      <c r="CB38" s="43" t="str">
        <f aca="false">IF(Tasks[[#This Row],[Task Name]]="","",MAX(1,N(Tasks[[#This Row],[Level]])))</f>
        <v/>
      </c>
      <c r="CC38" s="43" t="n">
        <f aca="false">ROW()-ROW(Tasks[[#Headers],[ID]])</f>
        <v>33</v>
      </c>
      <c r="CD38" s="43" t="n">
        <f aca="false">IF(OR(Tasks[[#This Row],[Task Name]]="",Tasks[[#This Row],[_Level]]&lt;=1),0,IFERROR(LOOKUP(2,1/(Tasks[[#Headers],[_Level]]:Tasks[[#This Row],[_Level]]=Tasks[[#This Row],[_Level]]-1),ROW(Tasks[[#Headers],[_Level]]:Tasks[[#This Row],[_Level]])),0))</f>
        <v>0</v>
      </c>
      <c r="CE38" s="43" t="n">
        <f aca="false">IFERROR(N(INDEX(Tasks[_Level],Tasks[[#This Row],[_Row]]+1)),0)</f>
        <v>0</v>
      </c>
      <c r="CF38" s="90" t="b">
        <f aca="false">AND(Tasks[[#This Row],[Task Name]]&lt;&gt;"",Tasks[[#This Row],[_NextLevel]]&gt;Tasks[[#This Row],[_Level]])</f>
        <v>0</v>
      </c>
      <c r="CG38" s="43" t="n">
        <f aca="false">IF(Tasks[[#This Row],[_IsSummary]],COUNTIF(Tasks[WBS],Tasks[[#This Row],[WBS]]&amp;".*"),0)</f>
        <v>0</v>
      </c>
      <c r="CH38" s="43" t="n">
        <f aca="false">IF(AND(Tasks[[#This Row],[Task Name]]&lt;&gt;"",NOT(Tasks[[#This Row],[_IsSummary]])),1,0)</f>
        <v>0</v>
      </c>
      <c r="CI38" s="43" t="n">
        <f aca="false">IF(N(Tasks[[#This Row],[_Pred1UID]])=0,0,IFERROR(MATCH(Tasks[[#This Row],[_Pred1UID]],Tasks[UID],0),-1))</f>
        <v>0</v>
      </c>
      <c r="CJ38" s="43" t="n">
        <f aca="false">IF(N(Tasks[[#This Row],[_Pred2UID]])=0,0,IFERROR(MATCH(Tasks[[#This Row],[_Pred2UID]],Tasks[UID],0),-1))</f>
        <v>0</v>
      </c>
      <c r="CK38" s="43" t="n">
        <f aca="false">IF(N(Tasks[[#This Row],[_Pred3UID]])=0,0,IFERROR(MATCH(Tasks[[#This Row],[_Pred3UID]],Tasks[UID],0),-1))</f>
        <v>0</v>
      </c>
      <c r="CL38" s="43" t="n">
        <f aca="false">IF(N(Tasks[[#This Row],[_Pred4UID]])=0,0,IFERROR(MATCH(Tasks[[#This Row],[_Pred4UID]],Tasks[UID],0),-1))</f>
        <v>0</v>
      </c>
      <c r="CM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8" s="91" t="n">
        <f aca="false">IF(OR(Tasks[[#This Row],[_ConstraintCode]]=2,Tasks[[#This Row],[_ConstraintCode]]=3,Tasks[[#This Row],[_ConstraintCode]]=4,Tasks[[#This Row],[_ConstraintCode]]=6),Tasks[[#This Row],[_ConstraintStart]],0)</f>
        <v>0</v>
      </c>
      <c r="CP38" s="91" t="n">
        <f aca="false">IF(OR(Tasks[[#This Row],[_ConstraintCode]]=2,Tasks[[#This Row],[_ConstraintCode]]=3,Tasks[[#This Row],[_ConstraintCode]]=5,Tasks[[#This Row],[_ConstraintCode]]=7),Tasks[[#This Row],[_ConstraintStart]],2958465)</f>
        <v>2958465</v>
      </c>
      <c r="CQ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91" t="str">
        <f aca="false">IF(NOT(Tasks[[#This Row],[_IsLeaf]]=1),"",IF(N(Tasks[[#This Row],[_Days]])&lt;=0,Tasks[[#This Row],[_LeafCalcStart]],WORKDAY.INTL(Tasks[[#This Row],[_LeafCalcStart]],Tasks[[#This Row],[_Days]]-1,WorkWeek,Holidays)))</f>
        <v/>
      </c>
      <c r="CS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3" t="str">
        <f aca="false">IF(Tasks[[#This Row],[_Predecessors]]="","",TRIM(MID(SUBSTITUTE(SUBSTITUTE(SUBSTITUTE(UPPER(Tasks[[#This Row],[_Predecessors]]),";",",")," ",""),",",REPT(" ",99)),1,99)))</f>
        <v/>
      </c>
      <c r="CV38" s="43" t="str">
        <f aca="false">IF(Tasks[[#This Row],[_Pred1Text]]="","",IFERROR(VALUE(LEFT(Tasks[[#This Row],[_Pred1Text]],MIN(FIND("F",Tasks[[#This Row],[_Pred1Text]]&amp;"F"),FIND("S",Tasks[[#This Row],[_Pred1Text]]&amp;"S"),FIND("+",Tasks[[#This Row],[_Pred1Text]]&amp;"+"),FIND("-",Tasks[[#This Row],[_Pred1Text]]&amp;"-"))-1)),""))</f>
        <v/>
      </c>
      <c r="CW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3" t="str">
        <f aca="false">IF(Tasks[[#This Row],[_Pred1Text]]="","",TRIM(MID(SUBSTITUTE(SUBSTITUTE(SUBSTITUTE(UPPER(Tasks[[#This Row],[_Predecessors]]),";",",")," ",""),",",REPT(" ",99)),100,99)))</f>
        <v/>
      </c>
      <c r="CZ38" s="43" t="str">
        <f aca="false">IF(Tasks[[#This Row],[_Pred2Text]]="","",IFERROR(VALUE(LEFT(Tasks[[#This Row],[_Pred2Text]],MIN(FIND("F",Tasks[[#This Row],[_Pred2Text]]&amp;"F"),FIND("S",Tasks[[#This Row],[_Pred2Text]]&amp;"S"),FIND("+",Tasks[[#This Row],[_Pred2Text]]&amp;"+"),FIND("-",Tasks[[#This Row],[_Pred2Text]]&amp;"-"))-1)),""))</f>
        <v/>
      </c>
      <c r="DA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3" t="str">
        <f aca="false">IF(Tasks[[#This Row],[_Pred2Text]]="","",TRIM(MID(SUBSTITUTE(SUBSTITUTE(SUBSTITUTE(UPPER(Tasks[[#This Row],[_Predecessors]]),";",",")," ",""),",",REPT(" ",99)),199,99)))</f>
        <v/>
      </c>
      <c r="DD38" s="43" t="str">
        <f aca="false">IF(Tasks[[#This Row],[_Pred3Text]]="","",IFERROR(VALUE(LEFT(Tasks[[#This Row],[_Pred3Text]],MIN(FIND("F",Tasks[[#This Row],[_Pred3Text]]&amp;"F"),FIND("S",Tasks[[#This Row],[_Pred3Text]]&amp;"S"),FIND("+",Tasks[[#This Row],[_Pred3Text]]&amp;"+"),FIND("-",Tasks[[#This Row],[_Pred3Text]]&amp;"-"))-1)),""))</f>
        <v/>
      </c>
      <c r="DE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3" t="str">
        <f aca="false">IF(Tasks[[#This Row],[_Pred3Text]]="","",TRIM(MID(SUBSTITUTE(SUBSTITUTE(SUBSTITUTE(UPPER(Tasks[[#This Row],[_Predecessors]]),";",",")," ",""),",",REPT(" ",99)),298,99)))</f>
        <v/>
      </c>
      <c r="DH38" s="43" t="str">
        <f aca="false">IF(Tasks[[#This Row],[_Pred4Text]]="","",IFERROR(VALUE(LEFT(Tasks[[#This Row],[_Pred4Text]],MIN(FIND("F",Tasks[[#This Row],[_Pred4Text]]&amp;"F"),FIND("S",Tasks[[#This Row],[_Pred4Text]]&amp;"S"),FIND("+",Tasks[[#This Row],[_Pred4Text]]&amp;"+"),FIND("-",Tasks[[#This Row],[_Pred4Text]]&amp;"-"))-1)),""))</f>
        <v/>
      </c>
      <c r="DI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3" t="str">
        <f aca="false">IF(OR(Tasks[[#This Row],[Task Name]]="",Tasks[[#This Row],[_Resources]]=""),"",TRIM(MID(SUBSTITUTE(Tasks[[#This Row],[_Resources]],",",REPT(" ",99)),1,99)))</f>
        <v/>
      </c>
      <c r="DL38" s="43" t="str">
        <f aca="false">IF(Tasks[[#This Row],[_Res1Text]]="","",TRIM(MID(SUBSTITUTE(Tasks[[#This Row],[_Resources]],",",REPT(" ",99)),100,99)))</f>
        <v/>
      </c>
      <c r="DM38" s="43" t="str">
        <f aca="false">IF(Tasks[[#This Row],[_Res2Text]]="","",TRIM(MID(SUBSTITUTE(Tasks[[#This Row],[_Resources]],",",REPT(" ",99)),199,99)))</f>
        <v/>
      </c>
      <c r="DN38" s="43" t="str">
        <f aca="false">IF(Tasks[[#This Row],[_Res3Text]]="","",TRIM(MID(SUBSTITUTE(Tasks[[#This Row],[_Resources]],",",REPT(" ",99)),298,99)))</f>
        <v/>
      </c>
      <c r="DO38" s="43" t="n">
        <f aca="false">IF(Tasks[[#This Row],[_Res1Text]]="",0,IFERROR(MATCH(TRIM(LEFT(Tasks[[#This Row],[_Res1Text]],FIND("[",Tasks[[#This Row],[_Res1Text]]&amp;"[")-1)),res_Name,0),IFERROR(MATCH(TRIM(LEFT(Tasks[[#This Row],[_Res1Text]],FIND("[",Tasks[[#This Row],[_Res1Text]]&amp;"[")-1)),res_Initials,0),0)))</f>
        <v>0</v>
      </c>
      <c r="DP38" s="43" t="n">
        <f aca="false">IF(Tasks[[#This Row],[_Res2Text]]="",0,IFERROR(MATCH(TRIM(LEFT(Tasks[[#This Row],[_Res2Text]],FIND("[",Tasks[[#This Row],[_Res2Text]]&amp;"[")-1)),res_Name,0),IFERROR(MATCH(TRIM(LEFT(Tasks[[#This Row],[_Res2Text]],FIND("[",Tasks[[#This Row],[_Res2Text]]&amp;"[")-1)),res_Initials,0),0)))</f>
        <v>0</v>
      </c>
      <c r="DQ38" s="43" t="n">
        <f aca="false">IF(Tasks[[#This Row],[_Res3Text]]="",0,IFERROR(MATCH(TRIM(LEFT(Tasks[[#This Row],[_Res3Text]],FIND("[",Tasks[[#This Row],[_Res3Text]]&amp;"[")-1)),res_Name,0),IFERROR(MATCH(TRIM(LEFT(Tasks[[#This Row],[_Res3Text]],FIND("[",Tasks[[#This Row],[_Res3Text]]&amp;"[")-1)),res_Initials,0),0)))</f>
        <v>0</v>
      </c>
      <c r="DR38" s="43" t="n">
        <f aca="false">IF(Tasks[[#This Row],[_Res4Text]]="",0,IFERROR(MATCH(TRIM(LEFT(Tasks[[#This Row],[_Res4Text]],FIND("[",Tasks[[#This Row],[_Res4Text]]&amp;"[")-1)),res_Name,0),IFERROR(MATCH(TRIM(LEFT(Tasks[[#This Row],[_Res4Text]],FIND("[",Tasks[[#This Row],[_Res4Text]]&amp;"[")-1)),res_Initials,0),0)))</f>
        <v>0</v>
      </c>
      <c r="DS38" s="43" t="str">
        <f aca="false">IF(Tasks[[#This Row],[_Res1Text]]="","",IF(Tasks[[#This Row],[_Res1Row]]&gt;0,INDEX(res_Name,Tasks[[#This Row],[_Res1Row]]),TRIM(LEFT(Tasks[[#This Row],[_Res1Text]],FIND("[",Tasks[[#This Row],[_Res1Text]]&amp;"[")-1))))</f>
        <v/>
      </c>
      <c r="DT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3" t="n">
        <f aca="false">IF(NOT(Tasks[[#This Row],[_IsLeaf]]=1),0,(Tasks[[#This Row],[_Resource1]]&lt;&gt;"")+(Tasks[[#This Row],[_Res2]]&lt;&gt;"")+(Tasks[[#This Row],[_Res3]]&lt;&gt;"")+(Tasks[[#This Row],[_Res4]]&lt;&gt;""))</f>
        <v>0</v>
      </c>
      <c r="DV38" s="43" t="str">
        <f aca="false">IF(Tasks[[#This Row],[_Res2Text]]="","",IF(Tasks[[#This Row],[_Res2Row]]&gt;0,INDEX(res_Name,Tasks[[#This Row],[_Res2Row]]),TRIM(LEFT(Tasks[[#This Row],[_Res2Text]],FIND("[",Tasks[[#This Row],[_Res2Text]]&amp;"[")-1))))</f>
        <v/>
      </c>
      <c r="DW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3" t="n">
        <f aca="false">IF(OR(NOT(Tasks[[#This Row],[_IsLeaf]]=1),Tasks[[#This Row],[_Res2Row]]=0),0,N(Tasks[[#This Row],[_Days]])*HoursPerDay*IF(Tasks[[#This Row],[_Res2Units]]="",DefaultUnits,Tasks[[#This Row],[_Res2Units]]))</f>
        <v>0</v>
      </c>
      <c r="DY38" s="43" t="n">
        <f aca="false">IF(AND(AND(Tasks[[#This Row],[_IsLeaf]]=1,Tasks[[#This Row],[_LeafTotalWork]]&gt;0),Tasks[[#This Row],[_Res2Work]]&gt;0),Tasks[[#This Row],[_Res2Work]]/(Tasks[[#This Row],[_FinishWorkday]]-Tasks[[#This Row],[_StartWorkday]]+1),0)</f>
        <v>0</v>
      </c>
      <c r="DZ38" s="43" t="n">
        <f aca="false">Tasks[[#This Row],[_Res2WorkPerWD]]*MAX(0,Tasks[[#This Row],[_StartWorkday]]-1)</f>
        <v>0</v>
      </c>
      <c r="EA38" s="43" t="n">
        <f aca="false">Tasks[[#This Row],[_Res2Work]]*Tasks[[#This Row],[_LeafProgress]]</f>
        <v>0</v>
      </c>
      <c r="EB38" s="43" t="str">
        <f aca="false">IF(Tasks[[#This Row],[_Res3Text]]="","",IF(Tasks[[#This Row],[_Res3Row]]&gt;0,INDEX(res_Name,Tasks[[#This Row],[_Res3Row]]),TRIM(LEFT(Tasks[[#This Row],[_Res3Text]],FIND("[",Tasks[[#This Row],[_Res3Text]]&amp;"[")-1))))</f>
        <v/>
      </c>
      <c r="EC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3" t="n">
        <f aca="false">IF(OR(NOT(Tasks[[#This Row],[_IsLeaf]]=1),Tasks[[#This Row],[_Res3Row]]=0),0,N(Tasks[[#This Row],[_Days]])*HoursPerDay*IF(Tasks[[#This Row],[_Res3Units]]="",DefaultUnits,Tasks[[#This Row],[_Res3Units]]))</f>
        <v>0</v>
      </c>
      <c r="EE38" s="43" t="n">
        <f aca="false">IF(AND(AND(Tasks[[#This Row],[_IsLeaf]]=1,Tasks[[#This Row],[_LeafTotalWork]]&gt;0),Tasks[[#This Row],[_Res3Work]]&gt;0),Tasks[[#This Row],[_Res3Work]]/(Tasks[[#This Row],[_FinishWorkday]]-Tasks[[#This Row],[_StartWorkday]]+1),0)</f>
        <v>0</v>
      </c>
      <c r="EF38" s="43" t="n">
        <f aca="false">Tasks[[#This Row],[_Res3WorkPerWD]]*MAX(0,Tasks[[#This Row],[_StartWorkday]]-1)</f>
        <v>0</v>
      </c>
      <c r="EG38" s="43" t="n">
        <f aca="false">Tasks[[#This Row],[_Res3Work]]*Tasks[[#This Row],[_LeafProgress]]</f>
        <v>0</v>
      </c>
      <c r="EH38" s="43" t="str">
        <f aca="false">IF(Tasks[[#This Row],[_Res4Text]]="","",IF(Tasks[[#This Row],[_Res4Row]]&gt;0,INDEX(res_Name,Tasks[[#This Row],[_Res4Row]]),TRIM(LEFT(Tasks[[#This Row],[_Res4Text]],FIND("[",Tasks[[#This Row],[_Res4Text]]&amp;"[")-1))))</f>
        <v/>
      </c>
      <c r="EI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3" t="n">
        <f aca="false">IF(OR(NOT(Tasks[[#This Row],[_IsLeaf]]=1),Tasks[[#This Row],[_Res4Row]]=0),0,N(Tasks[[#This Row],[_Days]])*HoursPerDay*IF(Tasks[[#This Row],[_Res4Units]]="",DefaultUnits,Tasks[[#This Row],[_Res4Units]]))</f>
        <v>0</v>
      </c>
      <c r="EK38" s="43" t="n">
        <f aca="false">IF(AND(AND(Tasks[[#This Row],[_IsLeaf]]=1,Tasks[[#This Row],[_LeafTotalWork]]&gt;0),Tasks[[#This Row],[_Res4Work]]&gt;0),Tasks[[#This Row],[_Res4Work]]/(Tasks[[#This Row],[_FinishWorkday]]-Tasks[[#This Row],[_StartWorkday]]+1),0)</f>
        <v>0</v>
      </c>
      <c r="EL38" s="43" t="n">
        <f aca="false">Tasks[[#This Row],[_Res4WorkPerWD]]*MAX(0,Tasks[[#This Row],[_StartWorkday]]-1)</f>
        <v>0</v>
      </c>
      <c r="EM38" s="43" t="n">
        <f aca="false">Tasks[[#This Row],[_Res4Work]]*Tasks[[#This Row],[_LeafProgress]]</f>
        <v>0</v>
      </c>
      <c r="EN38" s="43" t="n">
        <f aca="false">IF(ISNUMBER(Tasks[[#This Row],[% Complete]]),Tasks[[#This Row],[% Complete]],IF(Tasks[[#This Row],[Stage]]="",0,IFERROR(INDEX(stg_Pct,MATCH(Tasks[[#This Row],[Stage]],stg_Name,0)),0)))</f>
        <v>0</v>
      </c>
      <c r="EO38" s="43" t="n">
        <f aca="false">IF(NOT(Tasks[[#This Row],[_IsLeaf]]=1),0,IF(N(Tasks[[#This Row],[Actual Finish]])&gt;0,1,MIN(1,Tasks[[#This Row],[_Pct]])))</f>
        <v>0</v>
      </c>
      <c r="EP38" s="43" t="n">
        <f aca="false">IF(OR(NOT(Tasks[[#This Row],[_IsLeaf]]=1),Tasks[[#This Row],[_Res1Row]]=0),0,N(Tasks[[#This Row],[_Days]])*HoursPerDay*IF(Tasks[[#This Row],[_Units1]]="",DefaultUnits,Tasks[[#This Row],[_Units1]]))</f>
        <v>0</v>
      </c>
      <c r="EQ38" s="43" t="n">
        <f aca="false">Tasks[[#This Row],[_LeafWork]]+Tasks[[#This Row],[_Res2Work]]+Tasks[[#This Row],[_Res3Work]]+Tasks[[#This Row],[_Res4Work]]</f>
        <v>0</v>
      </c>
      <c r="ER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3" t="n">
        <f aca="false">IF(NOT(Tasks[[#This Row],[_IsLeaf]]=1),0,MAX(_xlfn.MAXIFS(Tasks[_Row],Tasks[_Pred1UID],Tasks[[#This Row],[UID]]),_xlfn.MAXIFS(Tasks[_Row],Tasks[_Pred2UID],Tasks[[#This Row],[UID]]),_xlfn.MAXIFS(Tasks[_Row],Tasks[_Pred3UID],Tasks[[#This Row],[UID]]),_xlfn.MAXIFS(Tasks[_Row],Tasks[_Pred4UID],Tasks[[#This Row],[UID]])))</f>
        <v>0</v>
      </c>
      <c r="FA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91" t="str">
        <f aca="false">IF(NOT(Tasks[[#This Row],[_IsLeaf]]=1),"",IF(N(Tasks[[#This Row],[_Days]])&lt;=0,Tasks[[#This Row],[_LeafLateFinish]],WORKDAY.INTL(Tasks[[#This Row],[_LeafLateFinish]],-(Tasks[[#This Row],[_Days]]-1),WorkWeek,Holidays)))</f>
        <v/>
      </c>
      <c r="FD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8" s="90" t="b">
        <f aca="false">AND(Tasks[[#This Row],[_IsLeaf]]=1,Tasks[[#This Row],[_LeafProgress]]&lt;1,N(Tasks[[#This Row],[_LeafTotalSlack]])&lt;=CriticalSlackDays)</f>
        <v>0</v>
      </c>
      <c r="FF38" s="43" t="n">
        <f aca="false">IF(AND(Tasks[[#This Row],[_IsLeaf]]=1,Tasks[[#This Row],[_ConstraintCode]]=1,Tasks[[#This Row],[Mode]]&lt;&gt;"Manual",N(Tasks[[#This Row],[Actual Start]])=0),MAX(0,N(Tasks[[#This Row],[Free Slack]])),0)</f>
        <v>0</v>
      </c>
      <c r="FG38" s="91" t="str">
        <f aca="false">IF(NOT(Tasks[[#This Row],[_IsLeaf]]=1),"",IF(Tasks[[#This Row],[_AlapShift]]=0,Tasks[[#This Row],[_LeafCalcStart]],WORKDAY.INTL(Tasks[[#This Row],[_LeafCalcStart]],Tasks[[#This Row],[_AlapShift]],WorkWeek,Holidays)))</f>
        <v/>
      </c>
      <c r="FH38" s="91" t="str">
        <f aca="false">IF(NOT(Tasks[[#This Row],[_IsLeaf]]=1),"",IF(Tasks[[#This Row],[_AlapShift]]=0,Tasks[[#This Row],[_LeafCalcFinish]],WORKDAY.INTL(Tasks[[#This Row],[_LeafCalcFinish]],Tasks[[#This Row],[_AlapShift]],WorkWeek,Holidays)))</f>
        <v/>
      </c>
      <c r="FI38" s="91" t="str">
        <f aca="false">IF(NOT(Tasks[[#This Row],[_IsLeaf]]=1),"",IF(Tasks[[#This Row],[_AlapShift]]=0,Tasks[[#This Row],[_LeafFcstStart]],WORKDAY.INTL(Tasks[[#This Row],[_LeafFcstStart]],Tasks[[#This Row],[_AlapShift]],WorkWeek,Holidays)))</f>
        <v/>
      </c>
      <c r="FJ38" s="91" t="str">
        <f aca="false">IF(NOT(Tasks[[#This Row],[_IsLeaf]]=1),"",IF(Tasks[[#This Row],[_AlapShift]]=0,Tasks[[#This Row],[_LeafFcstFinish]],WORKDAY.INTL(Tasks[[#This Row],[_LeafFcstFinish]],Tasks[[#This Row],[_AlapShift]],WorkWeek,Holidays)))</f>
        <v/>
      </c>
      <c r="FK38" s="91" t="str">
        <f aca="false">IF(Tasks[[#This Row],[Task Name]]="","",IF(Tasks[[#This Row],[_IsSummary]],MIN(INDEX(Tasks[_ShownCalcStart],Tasks[[#This Row],[_Row]]+1):INDEX(Tasks[_ShownCalcStart],Tasks[[#This Row],[_Row]]+Tasks[[#This Row],[_Descendants]])),Tasks[[#This Row],[_ShownCalcStart]]))</f>
        <v/>
      </c>
      <c r="FL38" s="91" t="str">
        <f aca="false">IF(Tasks[[#This Row],[Task Name]]="","",IF(Tasks[[#This Row],[_IsSummary]],MAX(INDEX(Tasks[_ShownCalcFinish],Tasks[[#This Row],[_Row]]+1):INDEX(Tasks[_ShownCalcFinish],Tasks[[#This Row],[_Row]]+Tasks[[#This Row],[_Descendants]])),Tasks[[#This Row],[_ShownCalcFinish]]))</f>
        <v/>
      </c>
      <c r="FM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8" s="43" t="n">
        <f aca="false">IF(AND(Tasks[[#This Row],[_IsLeaf]]=1,Tasks[[#This Row],[_LeafTotalWork]]&gt;0),NETWORKDAYS.INTL(ProjectStart,Tasks[[#This Row],[_ShownFcstStart]],WorkWeek,Holidays),0)</f>
        <v>0</v>
      </c>
      <c r="FZ38" s="43" t="n">
        <f aca="false">IF(AND(Tasks[[#This Row],[_IsLeaf]]=1,Tasks[[#This Row],[_LeafTotalWork]]&gt;0),MAX(Tasks[[#This Row],[_StartWorkday]],NETWORKDAYS.INTL(ProjectStart,Tasks[[#This Row],[_ShownFcstFinish]],WorkWeek,Holidays)),0)</f>
        <v>0</v>
      </c>
      <c r="GA38" s="43" t="n">
        <f aca="false">IF(AND(Tasks[[#This Row],[_IsLeaf]]=1,Tasks[[#This Row],[_LeafTotalWork]]&gt;0),Tasks[[#This Row],[_LeafWork]]/(Tasks[[#This Row],[_FinishWorkday]]-Tasks[[#This Row],[_StartWorkday]]+1),0)</f>
        <v>0</v>
      </c>
      <c r="GB38" s="43" t="n">
        <f aca="false">Tasks[[#This Row],[_WorkPerWorkday]]*(Tasks[[#This Row],[_StartWorkday]]-1)</f>
        <v>-0</v>
      </c>
      <c r="GC38" s="43" t="n">
        <f aca="false">IF(Tasks[[#This Row],[_IsLeaf]]=1,MAX(N(Tasks[[#This Row],[_Days]]),0.1),0)</f>
        <v>0</v>
      </c>
      <c r="GD38" s="43" t="n">
        <f aca="false">Tasks[[#This Row],[_WeightDur]]*Tasks[[#This Row],[_LeafProgress]]</f>
        <v>0</v>
      </c>
      <c r="GE38" s="43" t="n">
        <f aca="false">Tasks[[#This Row],[_WeightDur]]*Tasks[[#This Row],[_PlannedPct]]</f>
        <v>0</v>
      </c>
      <c r="GF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3" t="str">
        <f aca="false">IF(AND(Tasks[[#This Row],[_IsLeaf]]=1,N(Tasks[[#This Row],[_Days]])=0,Tasks[[#This Row],[_LeafProgress]]&lt;1),Tasks[[#This Row],[_ShownFcstFinish]]+Tasks[[#This Row],[_Row]]/100000,"")</f>
        <v/>
      </c>
      <c r="GH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8" s="43" t="str">
        <f aca="false">IF(Tasks[[#This Row],[Task Name]]="","",LEFT(Tasks[[#This Row],[WBS]],FIND(".",Tasks[[#This Row],[WBS]]&amp;".")-1))</f>
        <v/>
      </c>
      <c r="GJ38" s="43" t="str">
        <f aca="false">IF(AND(Tasks[[#This Row],[Task Name]]&lt;&gt;"",Tasks[[#This Row],[_Level]]=1),Tasks[[#This Row],[_Row]],"")</f>
        <v/>
      </c>
      <c r="GK38" s="43" t="str">
        <f aca="false">IF(AND(Tasks[[#This Row],[_IsLeaf]]=1,N(Tasks[[#This Row],[_Days]])=0),Tasks[[#This Row],[Planned Finish]]+Tasks[[#This Row],[_Row]]/100000,"")</f>
        <v/>
      </c>
      <c r="GL38" s="43" t="str">
        <f aca="false">IF(AND(Tasks[[#This Row],[_IsLeaf]]=1,Tasks[[#This Row],[_LeafProgress]]&lt;1,OR(N(Tasks[[#This Row],[Finish Var]])&gt;0,Tasks[[#This Row],[Status]]="Late Start")),MAX(0,Tasks[[#This Row],[Finish Var]])+1-Tasks[[#This Row],[_Row]]/1000000,"")</f>
        <v/>
      </c>
      <c r="GM38" s="43" t="str">
        <f aca="false">IF(AND(Tasks[[#This Row],[_IsLeaf]]=1,N(Tasks[[#This Row],[Actual Start]])=0,Tasks[[#This Row],[_ShownFcstStart]]&gt;=StatusDate,Tasks[[#This Row],[_ShownFcstStart]]&lt;=LookaheadEnd),Tasks[[#This Row],[_ShownFcstStart]]+Tasks[[#This Row],[_Row]]/100000,"")</f>
        <v/>
      </c>
      <c r="GN38" s="43" t="str">
        <f aca="false">IF(AND(Tasks[[#This Row],[_IsLeaf]]=1,Tasks[[#This Row],[_LeafProgress]]&lt;1,Tasks[[#This Row],[_ShownFcstFinish]]&gt;=StatusDate,Tasks[[#This Row],[_ShownFcstFinish]]&lt;=LookaheadEnd),Tasks[[#This Row],[_ShownFcstFinish]]+Tasks[[#This Row],[_Row]]/100000,"")</f>
        <v/>
      </c>
      <c r="GO38" s="43" t="str">
        <f aca="false">IF(Tasks[[#This Row],[_LeafCritical]],Tasks[[#This Row],[_ShownFcstStart]]+Tasks[[#This Row],[_Row]]/100000,"")</f>
        <v/>
      </c>
      <c r="GP38" s="43" t="n">
        <f aca="false">Tasks[[#This Row],[_LeafWork]]*Tasks[[#This Row],[_LeafProgress]]</f>
        <v>0</v>
      </c>
      <c r="GQ38" s="91" t="str">
        <f aca="false">IF(AND(Tasks[[#This Row],[_IsLeaf]]=1,Tasks[[#This Row],[_LeafProgress]]&gt;=1),IF(N(Tasks[[#This Row],[Actual Finish]])&gt;0,Tasks[[#This Row],[Actual Finish]],Tasks[[#This Row],[_ShownFcstFinish]]),"")</f>
        <v/>
      </c>
      <c r="GR38" s="43" t="n">
        <f aca="false">IF(Tasks[[#This Row],[_IsLeaf]]=1,N(Tasks[[#This Row],[Story Points]]),0)</f>
        <v>0</v>
      </c>
      <c r="GS38" s="43" t="str">
        <f aca="false">""</f>
        <v/>
      </c>
      <c r="GT38" s="90" t="b">
        <f aca="false">IF(Tasks[[#This Row],[Task Name]]="",FALSE(),AND(Tasks[[#This Row],[_IsLeaf]]=1,N(Tasks[[#This Row],[_Days]])=0))</f>
        <v>0</v>
      </c>
      <c r="GU38" s="91" t="n">
        <f aca="false">IF(Tasks[[#This Row],[Task Name]]="",0,IF(AND(Tasks[[#This Row],[_IsLeaf]]=1,NOT(Tasks[[#This Row],[_IsMilestone]]),N(Tasks[[#This Row],[Progress]])&gt;0),Tasks[[#This Row],[Start]],0))</f>
        <v>0</v>
      </c>
      <c r="GV38" s="91" t="n">
        <f aca="false">IF(Tasks[[#This Row],[_DoneFrom]]=0,0,IF(Tasks[[#This Row],[Progress]]&gt;=1,Tasks[[#This Row],[Finish]],MAX(Tasks[[#This Row],[_DoneFrom]],Tasks[[#This Row],[Start]]+ROUND((Tasks[[#This Row],[Finish]]-Tasks[[#This Row],[Start]]+1)*Tasks[[#This Row],[Progress]],0)-1)))</f>
        <v>0</v>
      </c>
      <c r="GW38" s="91" t="n">
        <f aca="false">IF(Tasks[[#This Row],[Task Name]]="",0,IF(OR(NOT(Tasks[[#This Row],[_IsLeaf]]=1),Tasks[[#This Row],[_IsMilestone]],N(Tasks[[#This Row],[Progress]])&gt;=1),0,IF(Tasks[[#This Row],[_DoneTo]]&gt;0,Tasks[[#This Row],[_DoneTo]]+1,Tasks[[#This Row],[Start]])))</f>
        <v>0</v>
      </c>
      <c r="GX38" s="91" t="n">
        <f aca="false">IF(Tasks[[#This Row],[_RemFrom]]=0,0,Tasks[[#This Row],[Finish]])</f>
        <v>0</v>
      </c>
      <c r="GY38" s="90" t="b">
        <f aca="false">IF(Tasks[[#This Row],[Task Name]]="",FALSE(),OR(NOT(BaselineSet),N(Tasks[[#This Row],[Baseline Start]])&gt;0))</f>
        <v>0</v>
      </c>
      <c r="GZ3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92" t="str">
        <f aca="false">IF(Tasks[[#This Row],[_IsLeaf]]=1,Tasks[[#This Row],[_Row]],"")</f>
        <v/>
      </c>
      <c r="HD38" s="92" t="str">
        <f aca="false">IFERROR(INDEX(Tasks[UID],SMALL(Tasks[_PickKey],Tasks[[#This Row],[_Row]]))&amp;" "&amp;INDEX(Tasks[Task Name],SMALL(Tasks[_PickKey],Tasks[[#This Row],[_Row]])),"")</f>
        <v/>
      </c>
      <c r="HE38" s="43" t="str">
        <f aca="false">IF(Tasks[[#This Row],[Task Name]]="","",IF(Tasks[[#This Row],[_IsSummary]],NETWORKDAYS.INTL(Tasks[[#This Row],[Start]],Tasks[[#This Row],[Finish]],WorkWeek,Holidays),N(Tasks[[#This Row],[_Days]])))</f>
        <v/>
      </c>
      <c r="HF38" s="43" t="n">
        <f aca="false">IF(Tasks[[#This Row],[Expected]]="",0,((Tasks[[#This Row],[Pessimistic]]-Tasks[[#This Row],[Optimistic]])/6)^2)</f>
        <v>0</v>
      </c>
      <c r="HG38" s="43" t="n">
        <f aca="false">IF(Tasks[[#This Row],[Expected]]="",0,Tasks[[#This Row],[Expected]]-N(Tasks[[#This Row],[_Days]]))</f>
        <v>0</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4"/>
      <c r="U39" s="23"/>
      <c r="V39" s="84"/>
      <c r="W39" s="23"/>
      <c r="X39" s="84"/>
      <c r="Y39" s="23"/>
      <c r="Z39" s="84"/>
      <c r="AA39" s="23"/>
      <c r="AB39" s="23"/>
      <c r="AC39" s="7"/>
      <c r="AD39" s="7"/>
      <c r="AE39" s="63" t="str">
        <f aca="false">IF(Tasks[[#This Row],[Task Name]]="","",IF(Tasks[[#This Row],[_IsSummary]],MIN(INDEX(Tasks[_ShownFcstStart],Tasks[[#This Row],[_Row]]+1):INDEX(Tasks[_ShownFcstStart],Tasks[[#This Row],[_Row]]+Tasks[[#This Row],[_Descendants]])),Tasks[[#This Row],[_ShownFcstStart]]))</f>
        <v/>
      </c>
      <c r="AF39" s="63"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9" s="7"/>
      <c r="AK39" s="22"/>
      <c r="AL39" s="23"/>
      <c r="AM39" s="7"/>
      <c r="AN39" s="47"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3" t="str">
        <f aca="false">IF(Tasks[[#This Row],[Task Name]]="","",IF(N(Tasks[[#This Row],[Baseline Start]])&gt;0,Tasks[[#This Row],[Baseline Start]],Tasks[[#This Row],[_CalcStart]]))</f>
        <v/>
      </c>
      <c r="AR39" s="63" t="str">
        <f aca="false">IF(Tasks[[#This Row],[Task Name]]="","",IF(N(Tasks[[#This Row],[Baseline Finish]])&gt;0,Tasks[[#This Row],[Baseline Finish]],Tasks[[#This Row],[_CalcFinish]]))</f>
        <v/>
      </c>
      <c r="AS39" s="47" t="str">
        <f aca="false">IF(Tasks[[#This Row],[Task Name]]="","",IF(Tasks[[#This Row],[Start]]&gt;=Tasks[[#This Row],[Planned Start]],NETWORKDAYS.INTL(Tasks[[#This Row],[Planned Start]],Tasks[[#This Row],[Start]],WorkWeek,Holidays)-1,1-NETWORKDAYS.INTL(Tasks[[#This Row],[Start]],Tasks[[#This Row],[Planned Start]],WorkWeek,Holidays)))</f>
        <v/>
      </c>
      <c r="AT39" s="63" t="str">
        <f aca="false">IF(Tasks[[#This Row],[Task Name]]="","",IF(Tasks[[#This Row],[_IsSummary]],MIN(INDEX(Tasks[_LeafLateStart],Tasks[[#This Row],[_Row]]+1):INDEX(Tasks[_LeafLateStart],Tasks[[#This Row],[_Row]]+Tasks[[#This Row],[_Descendants]])),Tasks[[#This Row],[_LeafLateStart]]))</f>
        <v/>
      </c>
      <c r="AU39" s="63" t="str">
        <f aca="false">IF(Tasks[[#This Row],[Task Name]]="","",IF(Tasks[[#This Row],[_IsSummary]],MAX(INDEX(Tasks[_LeafLateFinish],Tasks[[#This Row],[_Row]]+1):INDEX(Tasks[_LeafLateFinish],Tasks[[#This Row],[_Row]]+Tasks[[#This Row],[_Descendants]])),Tasks[[#This Row],[_LeafLateFinish]]))</f>
        <v/>
      </c>
      <c r="AV39" s="47"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5"/>
      <c r="BA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6"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7"/>
      <c r="BJ39" s="22"/>
      <c r="BK39" s="47" t="str">
        <f aca="false">IF(OR(Tasks[[#This Row],[Task Name]]="",Tasks[[#This Row],[Baseline Duration]]=""),"",Tasks[[#This Row],[_SpanDays]]-N(Tasks[[#This Row],[Baseline Duration]]))</f>
        <v/>
      </c>
      <c r="BL39" s="86" t="str">
        <f aca="false">IF(OR(Tasks[[#This Row],[Task Name]]="",Tasks[[#This Row],[Baseline Work]]=""),"",Tasks[[#This Row],[Work]]-N(Tasks[[#This Row],[Baseline Work]]))</f>
        <v/>
      </c>
      <c r="BM39" s="63" t="str">
        <f aca="false">IF(Tasks[[#This Row],[Task Name]]="","",IF(OR(TakeBaseline="Yes",N(Tasks[[#This Row],[Baseline Start]])=0),Tasks[[#This Row],[Start]],Tasks[[#This Row],[Baseline Start]]))</f>
        <v/>
      </c>
      <c r="BN39" s="63" t="str">
        <f aca="false">IF(Tasks[[#This Row],[Task Name]]="","",IF(OR(TakeBaseline="Yes",N(Tasks[[#This Row],[Baseline Finish]])=0),Tasks[[#This Row],[Finish]],Tasks[[#This Row],[Baseline Finish]]))</f>
        <v/>
      </c>
      <c r="BO39" s="21" t="str">
        <f aca="false">IF(Tasks[[#This Row],[Task Name]]="","",IF(OR(TakeBaseline="Yes",N(Tasks[[#This Row],[Baseline Duration]])=0),Tasks[[#This Row],[_SpanDays]],Tasks[[#This Row],[Baseline Duration]]))</f>
        <v/>
      </c>
      <c r="BP39" s="86" t="str">
        <f aca="false">IF(Tasks[[#This Row],[Task Name]]="","",IF(OR(TakeBaseline="Yes",N(Tasks[[#This Row],[Baseline Work]])=0),Tasks[[#This Row],[Work]],Tasks[[#This Row],[Baseline Work]]))</f>
        <v/>
      </c>
      <c r="BQ39" s="7"/>
      <c r="BR39" s="7"/>
      <c r="BS39" s="22"/>
      <c r="BT39" s="88"/>
      <c r="BU39" s="23"/>
      <c r="BV39" s="23"/>
      <c r="BW39" s="23"/>
      <c r="BX39" s="89" t="str">
        <f aca="false">IF(AND(Tasks[[#This Row],[_IsLeaf]]=1,ISNUMBER(Tasks[[#This Row],[Optimistic]]),ISNUMBER(Tasks[[#This Row],[Pessimistic]])),ROUND((Tasks[[#This Row],[Optimistic]]+4*N(Tasks[[#This Row],[_Days]])+Tasks[[#This Row],[Pessimistic]])/6,1),"")</f>
        <v/>
      </c>
      <c r="BY39" s="87"/>
      <c r="BZ39" s="87"/>
      <c r="CA39" s="22"/>
      <c r="CB39" s="43" t="str">
        <f aca="false">IF(Tasks[[#This Row],[Task Name]]="","",MAX(1,N(Tasks[[#This Row],[Level]])))</f>
        <v/>
      </c>
      <c r="CC39" s="43" t="n">
        <f aca="false">ROW()-ROW(Tasks[[#Headers],[ID]])</f>
        <v>34</v>
      </c>
      <c r="CD39" s="43" t="n">
        <f aca="false">IF(OR(Tasks[[#This Row],[Task Name]]="",Tasks[[#This Row],[_Level]]&lt;=1),0,IFERROR(LOOKUP(2,1/(Tasks[[#Headers],[_Level]]:Tasks[[#This Row],[_Level]]=Tasks[[#This Row],[_Level]]-1),ROW(Tasks[[#Headers],[_Level]]:Tasks[[#This Row],[_Level]])),0))</f>
        <v>0</v>
      </c>
      <c r="CE39" s="43" t="n">
        <f aca="false">IFERROR(N(INDEX(Tasks[_Level],Tasks[[#This Row],[_Row]]+1)),0)</f>
        <v>0</v>
      </c>
      <c r="CF39" s="90" t="b">
        <f aca="false">AND(Tasks[[#This Row],[Task Name]]&lt;&gt;"",Tasks[[#This Row],[_NextLevel]]&gt;Tasks[[#This Row],[_Level]])</f>
        <v>0</v>
      </c>
      <c r="CG39" s="43" t="n">
        <f aca="false">IF(Tasks[[#This Row],[_IsSummary]],COUNTIF(Tasks[WBS],Tasks[[#This Row],[WBS]]&amp;".*"),0)</f>
        <v>0</v>
      </c>
      <c r="CH39" s="43" t="n">
        <f aca="false">IF(AND(Tasks[[#This Row],[Task Name]]&lt;&gt;"",NOT(Tasks[[#This Row],[_IsSummary]])),1,0)</f>
        <v>0</v>
      </c>
      <c r="CI39" s="43" t="n">
        <f aca="false">IF(N(Tasks[[#This Row],[_Pred1UID]])=0,0,IFERROR(MATCH(Tasks[[#This Row],[_Pred1UID]],Tasks[UID],0),-1))</f>
        <v>0</v>
      </c>
      <c r="CJ39" s="43" t="n">
        <f aca="false">IF(N(Tasks[[#This Row],[_Pred2UID]])=0,0,IFERROR(MATCH(Tasks[[#This Row],[_Pred2UID]],Tasks[UID],0),-1))</f>
        <v>0</v>
      </c>
      <c r="CK39" s="43" t="n">
        <f aca="false">IF(N(Tasks[[#This Row],[_Pred3UID]])=0,0,IFERROR(MATCH(Tasks[[#This Row],[_Pred3UID]],Tasks[UID],0),-1))</f>
        <v>0</v>
      </c>
      <c r="CL39" s="43" t="n">
        <f aca="false">IF(N(Tasks[[#This Row],[_Pred4UID]])=0,0,IFERROR(MATCH(Tasks[[#This Row],[_Pred4UID]],Tasks[UID],0),-1))</f>
        <v>0</v>
      </c>
      <c r="CM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9" s="91" t="n">
        <f aca="false">IF(OR(Tasks[[#This Row],[_ConstraintCode]]=2,Tasks[[#This Row],[_ConstraintCode]]=3,Tasks[[#This Row],[_ConstraintCode]]=4,Tasks[[#This Row],[_ConstraintCode]]=6),Tasks[[#This Row],[_ConstraintStart]],0)</f>
        <v>0</v>
      </c>
      <c r="CP39" s="91" t="n">
        <f aca="false">IF(OR(Tasks[[#This Row],[_ConstraintCode]]=2,Tasks[[#This Row],[_ConstraintCode]]=3,Tasks[[#This Row],[_ConstraintCode]]=5,Tasks[[#This Row],[_ConstraintCode]]=7),Tasks[[#This Row],[_ConstraintStart]],2958465)</f>
        <v>2958465</v>
      </c>
      <c r="CQ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91" t="str">
        <f aca="false">IF(NOT(Tasks[[#This Row],[_IsLeaf]]=1),"",IF(N(Tasks[[#This Row],[_Days]])&lt;=0,Tasks[[#This Row],[_LeafCalcStart]],WORKDAY.INTL(Tasks[[#This Row],[_LeafCalcStart]],Tasks[[#This Row],[_Days]]-1,WorkWeek,Holidays)))</f>
        <v/>
      </c>
      <c r="CS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3" t="str">
        <f aca="false">IF(Tasks[[#This Row],[_Predecessors]]="","",TRIM(MID(SUBSTITUTE(SUBSTITUTE(SUBSTITUTE(UPPER(Tasks[[#This Row],[_Predecessors]]),";",",")," ",""),",",REPT(" ",99)),1,99)))</f>
        <v/>
      </c>
      <c r="CV39" s="43" t="str">
        <f aca="false">IF(Tasks[[#This Row],[_Pred1Text]]="","",IFERROR(VALUE(LEFT(Tasks[[#This Row],[_Pred1Text]],MIN(FIND("F",Tasks[[#This Row],[_Pred1Text]]&amp;"F"),FIND("S",Tasks[[#This Row],[_Pred1Text]]&amp;"S"),FIND("+",Tasks[[#This Row],[_Pred1Text]]&amp;"+"),FIND("-",Tasks[[#This Row],[_Pred1Text]]&amp;"-"))-1)),""))</f>
        <v/>
      </c>
      <c r="CW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3" t="str">
        <f aca="false">IF(Tasks[[#This Row],[_Pred1Text]]="","",TRIM(MID(SUBSTITUTE(SUBSTITUTE(SUBSTITUTE(UPPER(Tasks[[#This Row],[_Predecessors]]),";",",")," ",""),",",REPT(" ",99)),100,99)))</f>
        <v/>
      </c>
      <c r="CZ39" s="43" t="str">
        <f aca="false">IF(Tasks[[#This Row],[_Pred2Text]]="","",IFERROR(VALUE(LEFT(Tasks[[#This Row],[_Pred2Text]],MIN(FIND("F",Tasks[[#This Row],[_Pred2Text]]&amp;"F"),FIND("S",Tasks[[#This Row],[_Pred2Text]]&amp;"S"),FIND("+",Tasks[[#This Row],[_Pred2Text]]&amp;"+"),FIND("-",Tasks[[#This Row],[_Pred2Text]]&amp;"-"))-1)),""))</f>
        <v/>
      </c>
      <c r="DA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3" t="str">
        <f aca="false">IF(Tasks[[#This Row],[_Pred2Text]]="","",TRIM(MID(SUBSTITUTE(SUBSTITUTE(SUBSTITUTE(UPPER(Tasks[[#This Row],[_Predecessors]]),";",",")," ",""),",",REPT(" ",99)),199,99)))</f>
        <v/>
      </c>
      <c r="DD39" s="43" t="str">
        <f aca="false">IF(Tasks[[#This Row],[_Pred3Text]]="","",IFERROR(VALUE(LEFT(Tasks[[#This Row],[_Pred3Text]],MIN(FIND("F",Tasks[[#This Row],[_Pred3Text]]&amp;"F"),FIND("S",Tasks[[#This Row],[_Pred3Text]]&amp;"S"),FIND("+",Tasks[[#This Row],[_Pred3Text]]&amp;"+"),FIND("-",Tasks[[#This Row],[_Pred3Text]]&amp;"-"))-1)),""))</f>
        <v/>
      </c>
      <c r="DE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3" t="str">
        <f aca="false">IF(Tasks[[#This Row],[_Pred3Text]]="","",TRIM(MID(SUBSTITUTE(SUBSTITUTE(SUBSTITUTE(UPPER(Tasks[[#This Row],[_Predecessors]]),";",",")," ",""),",",REPT(" ",99)),298,99)))</f>
        <v/>
      </c>
      <c r="DH39" s="43" t="str">
        <f aca="false">IF(Tasks[[#This Row],[_Pred4Text]]="","",IFERROR(VALUE(LEFT(Tasks[[#This Row],[_Pred4Text]],MIN(FIND("F",Tasks[[#This Row],[_Pred4Text]]&amp;"F"),FIND("S",Tasks[[#This Row],[_Pred4Text]]&amp;"S"),FIND("+",Tasks[[#This Row],[_Pred4Text]]&amp;"+"),FIND("-",Tasks[[#This Row],[_Pred4Text]]&amp;"-"))-1)),""))</f>
        <v/>
      </c>
      <c r="DI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3" t="str">
        <f aca="false">IF(OR(Tasks[[#This Row],[Task Name]]="",Tasks[[#This Row],[_Resources]]=""),"",TRIM(MID(SUBSTITUTE(Tasks[[#This Row],[_Resources]],",",REPT(" ",99)),1,99)))</f>
        <v/>
      </c>
      <c r="DL39" s="43" t="str">
        <f aca="false">IF(Tasks[[#This Row],[_Res1Text]]="","",TRIM(MID(SUBSTITUTE(Tasks[[#This Row],[_Resources]],",",REPT(" ",99)),100,99)))</f>
        <v/>
      </c>
      <c r="DM39" s="43" t="str">
        <f aca="false">IF(Tasks[[#This Row],[_Res2Text]]="","",TRIM(MID(SUBSTITUTE(Tasks[[#This Row],[_Resources]],",",REPT(" ",99)),199,99)))</f>
        <v/>
      </c>
      <c r="DN39" s="43" t="str">
        <f aca="false">IF(Tasks[[#This Row],[_Res3Text]]="","",TRIM(MID(SUBSTITUTE(Tasks[[#This Row],[_Resources]],",",REPT(" ",99)),298,99)))</f>
        <v/>
      </c>
      <c r="DO39" s="43" t="n">
        <f aca="false">IF(Tasks[[#This Row],[_Res1Text]]="",0,IFERROR(MATCH(TRIM(LEFT(Tasks[[#This Row],[_Res1Text]],FIND("[",Tasks[[#This Row],[_Res1Text]]&amp;"[")-1)),res_Name,0),IFERROR(MATCH(TRIM(LEFT(Tasks[[#This Row],[_Res1Text]],FIND("[",Tasks[[#This Row],[_Res1Text]]&amp;"[")-1)),res_Initials,0),0)))</f>
        <v>0</v>
      </c>
      <c r="DP39" s="43" t="n">
        <f aca="false">IF(Tasks[[#This Row],[_Res2Text]]="",0,IFERROR(MATCH(TRIM(LEFT(Tasks[[#This Row],[_Res2Text]],FIND("[",Tasks[[#This Row],[_Res2Text]]&amp;"[")-1)),res_Name,0),IFERROR(MATCH(TRIM(LEFT(Tasks[[#This Row],[_Res2Text]],FIND("[",Tasks[[#This Row],[_Res2Text]]&amp;"[")-1)),res_Initials,0),0)))</f>
        <v>0</v>
      </c>
      <c r="DQ39" s="43" t="n">
        <f aca="false">IF(Tasks[[#This Row],[_Res3Text]]="",0,IFERROR(MATCH(TRIM(LEFT(Tasks[[#This Row],[_Res3Text]],FIND("[",Tasks[[#This Row],[_Res3Text]]&amp;"[")-1)),res_Name,0),IFERROR(MATCH(TRIM(LEFT(Tasks[[#This Row],[_Res3Text]],FIND("[",Tasks[[#This Row],[_Res3Text]]&amp;"[")-1)),res_Initials,0),0)))</f>
        <v>0</v>
      </c>
      <c r="DR39" s="43" t="n">
        <f aca="false">IF(Tasks[[#This Row],[_Res4Text]]="",0,IFERROR(MATCH(TRIM(LEFT(Tasks[[#This Row],[_Res4Text]],FIND("[",Tasks[[#This Row],[_Res4Text]]&amp;"[")-1)),res_Name,0),IFERROR(MATCH(TRIM(LEFT(Tasks[[#This Row],[_Res4Text]],FIND("[",Tasks[[#This Row],[_Res4Text]]&amp;"[")-1)),res_Initials,0),0)))</f>
        <v>0</v>
      </c>
      <c r="DS39" s="43" t="str">
        <f aca="false">IF(Tasks[[#This Row],[_Res1Text]]="","",IF(Tasks[[#This Row],[_Res1Row]]&gt;0,INDEX(res_Name,Tasks[[#This Row],[_Res1Row]]),TRIM(LEFT(Tasks[[#This Row],[_Res1Text]],FIND("[",Tasks[[#This Row],[_Res1Text]]&amp;"[")-1))))</f>
        <v/>
      </c>
      <c r="DT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3" t="n">
        <f aca="false">IF(NOT(Tasks[[#This Row],[_IsLeaf]]=1),0,(Tasks[[#This Row],[_Resource1]]&lt;&gt;"")+(Tasks[[#This Row],[_Res2]]&lt;&gt;"")+(Tasks[[#This Row],[_Res3]]&lt;&gt;"")+(Tasks[[#This Row],[_Res4]]&lt;&gt;""))</f>
        <v>0</v>
      </c>
      <c r="DV39" s="43" t="str">
        <f aca="false">IF(Tasks[[#This Row],[_Res2Text]]="","",IF(Tasks[[#This Row],[_Res2Row]]&gt;0,INDEX(res_Name,Tasks[[#This Row],[_Res2Row]]),TRIM(LEFT(Tasks[[#This Row],[_Res2Text]],FIND("[",Tasks[[#This Row],[_Res2Text]]&amp;"[")-1))))</f>
        <v/>
      </c>
      <c r="DW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3" t="n">
        <f aca="false">IF(OR(NOT(Tasks[[#This Row],[_IsLeaf]]=1),Tasks[[#This Row],[_Res2Row]]=0),0,N(Tasks[[#This Row],[_Days]])*HoursPerDay*IF(Tasks[[#This Row],[_Res2Units]]="",DefaultUnits,Tasks[[#This Row],[_Res2Units]]))</f>
        <v>0</v>
      </c>
      <c r="DY39" s="43" t="n">
        <f aca="false">IF(AND(AND(Tasks[[#This Row],[_IsLeaf]]=1,Tasks[[#This Row],[_LeafTotalWork]]&gt;0),Tasks[[#This Row],[_Res2Work]]&gt;0),Tasks[[#This Row],[_Res2Work]]/(Tasks[[#This Row],[_FinishWorkday]]-Tasks[[#This Row],[_StartWorkday]]+1),0)</f>
        <v>0</v>
      </c>
      <c r="DZ39" s="43" t="n">
        <f aca="false">Tasks[[#This Row],[_Res2WorkPerWD]]*MAX(0,Tasks[[#This Row],[_StartWorkday]]-1)</f>
        <v>0</v>
      </c>
      <c r="EA39" s="43" t="n">
        <f aca="false">Tasks[[#This Row],[_Res2Work]]*Tasks[[#This Row],[_LeafProgress]]</f>
        <v>0</v>
      </c>
      <c r="EB39" s="43" t="str">
        <f aca="false">IF(Tasks[[#This Row],[_Res3Text]]="","",IF(Tasks[[#This Row],[_Res3Row]]&gt;0,INDEX(res_Name,Tasks[[#This Row],[_Res3Row]]),TRIM(LEFT(Tasks[[#This Row],[_Res3Text]],FIND("[",Tasks[[#This Row],[_Res3Text]]&amp;"[")-1))))</f>
        <v/>
      </c>
      <c r="EC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3" t="n">
        <f aca="false">IF(OR(NOT(Tasks[[#This Row],[_IsLeaf]]=1),Tasks[[#This Row],[_Res3Row]]=0),0,N(Tasks[[#This Row],[_Days]])*HoursPerDay*IF(Tasks[[#This Row],[_Res3Units]]="",DefaultUnits,Tasks[[#This Row],[_Res3Units]]))</f>
        <v>0</v>
      </c>
      <c r="EE39" s="43" t="n">
        <f aca="false">IF(AND(AND(Tasks[[#This Row],[_IsLeaf]]=1,Tasks[[#This Row],[_LeafTotalWork]]&gt;0),Tasks[[#This Row],[_Res3Work]]&gt;0),Tasks[[#This Row],[_Res3Work]]/(Tasks[[#This Row],[_FinishWorkday]]-Tasks[[#This Row],[_StartWorkday]]+1),0)</f>
        <v>0</v>
      </c>
      <c r="EF39" s="43" t="n">
        <f aca="false">Tasks[[#This Row],[_Res3WorkPerWD]]*MAX(0,Tasks[[#This Row],[_StartWorkday]]-1)</f>
        <v>0</v>
      </c>
      <c r="EG39" s="43" t="n">
        <f aca="false">Tasks[[#This Row],[_Res3Work]]*Tasks[[#This Row],[_LeafProgress]]</f>
        <v>0</v>
      </c>
      <c r="EH39" s="43" t="str">
        <f aca="false">IF(Tasks[[#This Row],[_Res4Text]]="","",IF(Tasks[[#This Row],[_Res4Row]]&gt;0,INDEX(res_Name,Tasks[[#This Row],[_Res4Row]]),TRIM(LEFT(Tasks[[#This Row],[_Res4Text]],FIND("[",Tasks[[#This Row],[_Res4Text]]&amp;"[")-1))))</f>
        <v/>
      </c>
      <c r="EI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3" t="n">
        <f aca="false">IF(OR(NOT(Tasks[[#This Row],[_IsLeaf]]=1),Tasks[[#This Row],[_Res4Row]]=0),0,N(Tasks[[#This Row],[_Days]])*HoursPerDay*IF(Tasks[[#This Row],[_Res4Units]]="",DefaultUnits,Tasks[[#This Row],[_Res4Units]]))</f>
        <v>0</v>
      </c>
      <c r="EK39" s="43" t="n">
        <f aca="false">IF(AND(AND(Tasks[[#This Row],[_IsLeaf]]=1,Tasks[[#This Row],[_LeafTotalWork]]&gt;0),Tasks[[#This Row],[_Res4Work]]&gt;0),Tasks[[#This Row],[_Res4Work]]/(Tasks[[#This Row],[_FinishWorkday]]-Tasks[[#This Row],[_StartWorkday]]+1),0)</f>
        <v>0</v>
      </c>
      <c r="EL39" s="43" t="n">
        <f aca="false">Tasks[[#This Row],[_Res4WorkPerWD]]*MAX(0,Tasks[[#This Row],[_StartWorkday]]-1)</f>
        <v>0</v>
      </c>
      <c r="EM39" s="43" t="n">
        <f aca="false">Tasks[[#This Row],[_Res4Work]]*Tasks[[#This Row],[_LeafProgress]]</f>
        <v>0</v>
      </c>
      <c r="EN39" s="43" t="n">
        <f aca="false">IF(ISNUMBER(Tasks[[#This Row],[% Complete]]),Tasks[[#This Row],[% Complete]],IF(Tasks[[#This Row],[Stage]]="",0,IFERROR(INDEX(stg_Pct,MATCH(Tasks[[#This Row],[Stage]],stg_Name,0)),0)))</f>
        <v>0</v>
      </c>
      <c r="EO39" s="43" t="n">
        <f aca="false">IF(NOT(Tasks[[#This Row],[_IsLeaf]]=1),0,IF(N(Tasks[[#This Row],[Actual Finish]])&gt;0,1,MIN(1,Tasks[[#This Row],[_Pct]])))</f>
        <v>0</v>
      </c>
      <c r="EP39" s="43" t="n">
        <f aca="false">IF(OR(NOT(Tasks[[#This Row],[_IsLeaf]]=1),Tasks[[#This Row],[_Res1Row]]=0),0,N(Tasks[[#This Row],[_Days]])*HoursPerDay*IF(Tasks[[#This Row],[_Units1]]="",DefaultUnits,Tasks[[#This Row],[_Units1]]))</f>
        <v>0</v>
      </c>
      <c r="EQ39" s="43" t="n">
        <f aca="false">Tasks[[#This Row],[_LeafWork]]+Tasks[[#This Row],[_Res2Work]]+Tasks[[#This Row],[_Res3Work]]+Tasks[[#This Row],[_Res4Work]]</f>
        <v>0</v>
      </c>
      <c r="ER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3" t="n">
        <f aca="false">IF(NOT(Tasks[[#This Row],[_IsLeaf]]=1),0,MAX(_xlfn.MAXIFS(Tasks[_Row],Tasks[_Pred1UID],Tasks[[#This Row],[UID]]),_xlfn.MAXIFS(Tasks[_Row],Tasks[_Pred2UID],Tasks[[#This Row],[UID]]),_xlfn.MAXIFS(Tasks[_Row],Tasks[_Pred3UID],Tasks[[#This Row],[UID]]),_xlfn.MAXIFS(Tasks[_Row],Tasks[_Pred4UID],Tasks[[#This Row],[UID]])))</f>
        <v>0</v>
      </c>
      <c r="FA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91" t="str">
        <f aca="false">IF(NOT(Tasks[[#This Row],[_IsLeaf]]=1),"",IF(N(Tasks[[#This Row],[_Days]])&lt;=0,Tasks[[#This Row],[_LeafLateFinish]],WORKDAY.INTL(Tasks[[#This Row],[_LeafLateFinish]],-(Tasks[[#This Row],[_Days]]-1),WorkWeek,Holidays)))</f>
        <v/>
      </c>
      <c r="FD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9" s="90" t="b">
        <f aca="false">AND(Tasks[[#This Row],[_IsLeaf]]=1,Tasks[[#This Row],[_LeafProgress]]&lt;1,N(Tasks[[#This Row],[_LeafTotalSlack]])&lt;=CriticalSlackDays)</f>
        <v>0</v>
      </c>
      <c r="FF39" s="43" t="n">
        <f aca="false">IF(AND(Tasks[[#This Row],[_IsLeaf]]=1,Tasks[[#This Row],[_ConstraintCode]]=1,Tasks[[#This Row],[Mode]]&lt;&gt;"Manual",N(Tasks[[#This Row],[Actual Start]])=0),MAX(0,N(Tasks[[#This Row],[Free Slack]])),0)</f>
        <v>0</v>
      </c>
      <c r="FG39" s="91" t="str">
        <f aca="false">IF(NOT(Tasks[[#This Row],[_IsLeaf]]=1),"",IF(Tasks[[#This Row],[_AlapShift]]=0,Tasks[[#This Row],[_LeafCalcStart]],WORKDAY.INTL(Tasks[[#This Row],[_LeafCalcStart]],Tasks[[#This Row],[_AlapShift]],WorkWeek,Holidays)))</f>
        <v/>
      </c>
      <c r="FH39" s="91" t="str">
        <f aca="false">IF(NOT(Tasks[[#This Row],[_IsLeaf]]=1),"",IF(Tasks[[#This Row],[_AlapShift]]=0,Tasks[[#This Row],[_LeafCalcFinish]],WORKDAY.INTL(Tasks[[#This Row],[_LeafCalcFinish]],Tasks[[#This Row],[_AlapShift]],WorkWeek,Holidays)))</f>
        <v/>
      </c>
      <c r="FI39" s="91" t="str">
        <f aca="false">IF(NOT(Tasks[[#This Row],[_IsLeaf]]=1),"",IF(Tasks[[#This Row],[_AlapShift]]=0,Tasks[[#This Row],[_LeafFcstStart]],WORKDAY.INTL(Tasks[[#This Row],[_LeafFcstStart]],Tasks[[#This Row],[_AlapShift]],WorkWeek,Holidays)))</f>
        <v/>
      </c>
      <c r="FJ39" s="91" t="str">
        <f aca="false">IF(NOT(Tasks[[#This Row],[_IsLeaf]]=1),"",IF(Tasks[[#This Row],[_AlapShift]]=0,Tasks[[#This Row],[_LeafFcstFinish]],WORKDAY.INTL(Tasks[[#This Row],[_LeafFcstFinish]],Tasks[[#This Row],[_AlapShift]],WorkWeek,Holidays)))</f>
        <v/>
      </c>
      <c r="FK39" s="91" t="str">
        <f aca="false">IF(Tasks[[#This Row],[Task Name]]="","",IF(Tasks[[#This Row],[_IsSummary]],MIN(INDEX(Tasks[_ShownCalcStart],Tasks[[#This Row],[_Row]]+1):INDEX(Tasks[_ShownCalcStart],Tasks[[#This Row],[_Row]]+Tasks[[#This Row],[_Descendants]])),Tasks[[#This Row],[_ShownCalcStart]]))</f>
        <v/>
      </c>
      <c r="FL39" s="91" t="str">
        <f aca="false">IF(Tasks[[#This Row],[Task Name]]="","",IF(Tasks[[#This Row],[_IsSummary]],MAX(INDEX(Tasks[_ShownCalcFinish],Tasks[[#This Row],[_Row]]+1):INDEX(Tasks[_ShownCalcFinish],Tasks[[#This Row],[_Row]]+Tasks[[#This Row],[_Descendants]])),Tasks[[#This Row],[_ShownCalcFinish]]))</f>
        <v/>
      </c>
      <c r="FM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9" s="43" t="n">
        <f aca="false">IF(AND(Tasks[[#This Row],[_IsLeaf]]=1,Tasks[[#This Row],[_LeafTotalWork]]&gt;0),NETWORKDAYS.INTL(ProjectStart,Tasks[[#This Row],[_ShownFcstStart]],WorkWeek,Holidays),0)</f>
        <v>0</v>
      </c>
      <c r="FZ39" s="43" t="n">
        <f aca="false">IF(AND(Tasks[[#This Row],[_IsLeaf]]=1,Tasks[[#This Row],[_LeafTotalWork]]&gt;0),MAX(Tasks[[#This Row],[_StartWorkday]],NETWORKDAYS.INTL(ProjectStart,Tasks[[#This Row],[_ShownFcstFinish]],WorkWeek,Holidays)),0)</f>
        <v>0</v>
      </c>
      <c r="GA39" s="43" t="n">
        <f aca="false">IF(AND(Tasks[[#This Row],[_IsLeaf]]=1,Tasks[[#This Row],[_LeafTotalWork]]&gt;0),Tasks[[#This Row],[_LeafWork]]/(Tasks[[#This Row],[_FinishWorkday]]-Tasks[[#This Row],[_StartWorkday]]+1),0)</f>
        <v>0</v>
      </c>
      <c r="GB39" s="43" t="n">
        <f aca="false">Tasks[[#This Row],[_WorkPerWorkday]]*(Tasks[[#This Row],[_StartWorkday]]-1)</f>
        <v>-0</v>
      </c>
      <c r="GC39" s="43" t="n">
        <f aca="false">IF(Tasks[[#This Row],[_IsLeaf]]=1,MAX(N(Tasks[[#This Row],[_Days]]),0.1),0)</f>
        <v>0</v>
      </c>
      <c r="GD39" s="43" t="n">
        <f aca="false">Tasks[[#This Row],[_WeightDur]]*Tasks[[#This Row],[_LeafProgress]]</f>
        <v>0</v>
      </c>
      <c r="GE39" s="43" t="n">
        <f aca="false">Tasks[[#This Row],[_WeightDur]]*Tasks[[#This Row],[_PlannedPct]]</f>
        <v>0</v>
      </c>
      <c r="GF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3" t="str">
        <f aca="false">IF(AND(Tasks[[#This Row],[_IsLeaf]]=1,N(Tasks[[#This Row],[_Days]])=0,Tasks[[#This Row],[_LeafProgress]]&lt;1),Tasks[[#This Row],[_ShownFcstFinish]]+Tasks[[#This Row],[_Row]]/100000,"")</f>
        <v/>
      </c>
      <c r="GH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9" s="43" t="str">
        <f aca="false">IF(Tasks[[#This Row],[Task Name]]="","",LEFT(Tasks[[#This Row],[WBS]],FIND(".",Tasks[[#This Row],[WBS]]&amp;".")-1))</f>
        <v/>
      </c>
      <c r="GJ39" s="43" t="str">
        <f aca="false">IF(AND(Tasks[[#This Row],[Task Name]]&lt;&gt;"",Tasks[[#This Row],[_Level]]=1),Tasks[[#This Row],[_Row]],"")</f>
        <v/>
      </c>
      <c r="GK39" s="43" t="str">
        <f aca="false">IF(AND(Tasks[[#This Row],[_IsLeaf]]=1,N(Tasks[[#This Row],[_Days]])=0),Tasks[[#This Row],[Planned Finish]]+Tasks[[#This Row],[_Row]]/100000,"")</f>
        <v/>
      </c>
      <c r="GL39" s="43" t="str">
        <f aca="false">IF(AND(Tasks[[#This Row],[_IsLeaf]]=1,Tasks[[#This Row],[_LeafProgress]]&lt;1,OR(N(Tasks[[#This Row],[Finish Var]])&gt;0,Tasks[[#This Row],[Status]]="Late Start")),MAX(0,Tasks[[#This Row],[Finish Var]])+1-Tasks[[#This Row],[_Row]]/1000000,"")</f>
        <v/>
      </c>
      <c r="GM39" s="43" t="str">
        <f aca="false">IF(AND(Tasks[[#This Row],[_IsLeaf]]=1,N(Tasks[[#This Row],[Actual Start]])=0,Tasks[[#This Row],[_ShownFcstStart]]&gt;=StatusDate,Tasks[[#This Row],[_ShownFcstStart]]&lt;=LookaheadEnd),Tasks[[#This Row],[_ShownFcstStart]]+Tasks[[#This Row],[_Row]]/100000,"")</f>
        <v/>
      </c>
      <c r="GN39" s="43" t="str">
        <f aca="false">IF(AND(Tasks[[#This Row],[_IsLeaf]]=1,Tasks[[#This Row],[_LeafProgress]]&lt;1,Tasks[[#This Row],[_ShownFcstFinish]]&gt;=StatusDate,Tasks[[#This Row],[_ShownFcstFinish]]&lt;=LookaheadEnd),Tasks[[#This Row],[_ShownFcstFinish]]+Tasks[[#This Row],[_Row]]/100000,"")</f>
        <v/>
      </c>
      <c r="GO39" s="43" t="str">
        <f aca="false">IF(Tasks[[#This Row],[_LeafCritical]],Tasks[[#This Row],[_ShownFcstStart]]+Tasks[[#This Row],[_Row]]/100000,"")</f>
        <v/>
      </c>
      <c r="GP39" s="43" t="n">
        <f aca="false">Tasks[[#This Row],[_LeafWork]]*Tasks[[#This Row],[_LeafProgress]]</f>
        <v>0</v>
      </c>
      <c r="GQ39" s="91" t="str">
        <f aca="false">IF(AND(Tasks[[#This Row],[_IsLeaf]]=1,Tasks[[#This Row],[_LeafProgress]]&gt;=1),IF(N(Tasks[[#This Row],[Actual Finish]])&gt;0,Tasks[[#This Row],[Actual Finish]],Tasks[[#This Row],[_ShownFcstFinish]]),"")</f>
        <v/>
      </c>
      <c r="GR39" s="43" t="n">
        <f aca="false">IF(Tasks[[#This Row],[_IsLeaf]]=1,N(Tasks[[#This Row],[Story Points]]),0)</f>
        <v>0</v>
      </c>
      <c r="GS39" s="43" t="str">
        <f aca="false">""</f>
        <v/>
      </c>
      <c r="GT39" s="90" t="b">
        <f aca="false">IF(Tasks[[#This Row],[Task Name]]="",FALSE(),AND(Tasks[[#This Row],[_IsLeaf]]=1,N(Tasks[[#This Row],[_Days]])=0))</f>
        <v>0</v>
      </c>
      <c r="GU39" s="91" t="n">
        <f aca="false">IF(Tasks[[#This Row],[Task Name]]="",0,IF(AND(Tasks[[#This Row],[_IsLeaf]]=1,NOT(Tasks[[#This Row],[_IsMilestone]]),N(Tasks[[#This Row],[Progress]])&gt;0),Tasks[[#This Row],[Start]],0))</f>
        <v>0</v>
      </c>
      <c r="GV39" s="91" t="n">
        <f aca="false">IF(Tasks[[#This Row],[_DoneFrom]]=0,0,IF(Tasks[[#This Row],[Progress]]&gt;=1,Tasks[[#This Row],[Finish]],MAX(Tasks[[#This Row],[_DoneFrom]],Tasks[[#This Row],[Start]]+ROUND((Tasks[[#This Row],[Finish]]-Tasks[[#This Row],[Start]]+1)*Tasks[[#This Row],[Progress]],0)-1)))</f>
        <v>0</v>
      </c>
      <c r="GW39" s="91" t="n">
        <f aca="false">IF(Tasks[[#This Row],[Task Name]]="",0,IF(OR(NOT(Tasks[[#This Row],[_IsLeaf]]=1),Tasks[[#This Row],[_IsMilestone]],N(Tasks[[#This Row],[Progress]])&gt;=1),0,IF(Tasks[[#This Row],[_DoneTo]]&gt;0,Tasks[[#This Row],[_DoneTo]]+1,Tasks[[#This Row],[Start]])))</f>
        <v>0</v>
      </c>
      <c r="GX39" s="91" t="n">
        <f aca="false">IF(Tasks[[#This Row],[_RemFrom]]=0,0,Tasks[[#This Row],[Finish]])</f>
        <v>0</v>
      </c>
      <c r="GY39" s="90" t="b">
        <f aca="false">IF(Tasks[[#This Row],[Task Name]]="",FALSE(),OR(NOT(BaselineSet),N(Tasks[[#This Row],[Baseline Start]])&gt;0))</f>
        <v>0</v>
      </c>
      <c r="GZ3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92" t="str">
        <f aca="false">IF(Tasks[[#This Row],[_IsLeaf]]=1,Tasks[[#This Row],[_Row]],"")</f>
        <v/>
      </c>
      <c r="HD39" s="92" t="str">
        <f aca="false">IFERROR(INDEX(Tasks[UID],SMALL(Tasks[_PickKey],Tasks[[#This Row],[_Row]]))&amp;" "&amp;INDEX(Tasks[Task Name],SMALL(Tasks[_PickKey],Tasks[[#This Row],[_Row]])),"")</f>
        <v/>
      </c>
      <c r="HE39" s="43" t="str">
        <f aca="false">IF(Tasks[[#This Row],[Task Name]]="","",IF(Tasks[[#This Row],[_IsSummary]],NETWORKDAYS.INTL(Tasks[[#This Row],[Start]],Tasks[[#This Row],[Finish]],WorkWeek,Holidays),N(Tasks[[#This Row],[_Days]])))</f>
        <v/>
      </c>
      <c r="HF39" s="43" t="n">
        <f aca="false">IF(Tasks[[#This Row],[Expected]]="",0,((Tasks[[#This Row],[Pessimistic]]-Tasks[[#This Row],[Optimistic]])/6)^2)</f>
        <v>0</v>
      </c>
      <c r="HG39" s="43" t="n">
        <f aca="false">IF(Tasks[[#This Row],[Expected]]="",0,Tasks[[#This Row],[Expected]]-N(Tasks[[#This Row],[_Days]]))</f>
        <v>0</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4"/>
      <c r="U40" s="23"/>
      <c r="V40" s="84"/>
      <c r="W40" s="23"/>
      <c r="X40" s="84"/>
      <c r="Y40" s="23"/>
      <c r="Z40" s="84"/>
      <c r="AA40" s="23"/>
      <c r="AB40" s="23"/>
      <c r="AC40" s="7"/>
      <c r="AD40" s="7"/>
      <c r="AE40" s="63" t="str">
        <f aca="false">IF(Tasks[[#This Row],[Task Name]]="","",IF(Tasks[[#This Row],[_IsSummary]],MIN(INDEX(Tasks[_ShownFcstStart],Tasks[[#This Row],[_Row]]+1):INDEX(Tasks[_ShownFcstStart],Tasks[[#This Row],[_Row]]+Tasks[[#This Row],[_Descendants]])),Tasks[[#This Row],[_ShownFcstStart]]))</f>
        <v/>
      </c>
      <c r="AF40" s="63"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0" s="7"/>
      <c r="AK40" s="22"/>
      <c r="AL40" s="23"/>
      <c r="AM40" s="7"/>
      <c r="AN40" s="47"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3" t="str">
        <f aca="false">IF(Tasks[[#This Row],[Task Name]]="","",IF(N(Tasks[[#This Row],[Baseline Start]])&gt;0,Tasks[[#This Row],[Baseline Start]],Tasks[[#This Row],[_CalcStart]]))</f>
        <v/>
      </c>
      <c r="AR40" s="63" t="str">
        <f aca="false">IF(Tasks[[#This Row],[Task Name]]="","",IF(N(Tasks[[#This Row],[Baseline Finish]])&gt;0,Tasks[[#This Row],[Baseline Finish]],Tasks[[#This Row],[_CalcFinish]]))</f>
        <v/>
      </c>
      <c r="AS40" s="47" t="str">
        <f aca="false">IF(Tasks[[#This Row],[Task Name]]="","",IF(Tasks[[#This Row],[Start]]&gt;=Tasks[[#This Row],[Planned Start]],NETWORKDAYS.INTL(Tasks[[#This Row],[Planned Start]],Tasks[[#This Row],[Start]],WorkWeek,Holidays)-1,1-NETWORKDAYS.INTL(Tasks[[#This Row],[Start]],Tasks[[#This Row],[Planned Start]],WorkWeek,Holidays)))</f>
        <v/>
      </c>
      <c r="AT40" s="63" t="str">
        <f aca="false">IF(Tasks[[#This Row],[Task Name]]="","",IF(Tasks[[#This Row],[_IsSummary]],MIN(INDEX(Tasks[_LeafLateStart],Tasks[[#This Row],[_Row]]+1):INDEX(Tasks[_LeafLateStart],Tasks[[#This Row],[_Row]]+Tasks[[#This Row],[_Descendants]])),Tasks[[#This Row],[_LeafLateStart]]))</f>
        <v/>
      </c>
      <c r="AU40" s="63" t="str">
        <f aca="false">IF(Tasks[[#This Row],[Task Name]]="","",IF(Tasks[[#This Row],[_IsSummary]],MAX(INDEX(Tasks[_LeafLateFinish],Tasks[[#This Row],[_Row]]+1):INDEX(Tasks[_LeafLateFinish],Tasks[[#This Row],[_Row]]+Tasks[[#This Row],[_Descendants]])),Tasks[[#This Row],[_LeafLateFinish]]))</f>
        <v/>
      </c>
      <c r="AV40" s="47"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5"/>
      <c r="BA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6"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7"/>
      <c r="BJ40" s="22"/>
      <c r="BK40" s="47" t="str">
        <f aca="false">IF(OR(Tasks[[#This Row],[Task Name]]="",Tasks[[#This Row],[Baseline Duration]]=""),"",Tasks[[#This Row],[_SpanDays]]-N(Tasks[[#This Row],[Baseline Duration]]))</f>
        <v/>
      </c>
      <c r="BL40" s="86" t="str">
        <f aca="false">IF(OR(Tasks[[#This Row],[Task Name]]="",Tasks[[#This Row],[Baseline Work]]=""),"",Tasks[[#This Row],[Work]]-N(Tasks[[#This Row],[Baseline Work]]))</f>
        <v/>
      </c>
      <c r="BM40" s="63" t="str">
        <f aca="false">IF(Tasks[[#This Row],[Task Name]]="","",IF(OR(TakeBaseline="Yes",N(Tasks[[#This Row],[Baseline Start]])=0),Tasks[[#This Row],[Start]],Tasks[[#This Row],[Baseline Start]]))</f>
        <v/>
      </c>
      <c r="BN40" s="63" t="str">
        <f aca="false">IF(Tasks[[#This Row],[Task Name]]="","",IF(OR(TakeBaseline="Yes",N(Tasks[[#This Row],[Baseline Finish]])=0),Tasks[[#This Row],[Finish]],Tasks[[#This Row],[Baseline Finish]]))</f>
        <v/>
      </c>
      <c r="BO40" s="21" t="str">
        <f aca="false">IF(Tasks[[#This Row],[Task Name]]="","",IF(OR(TakeBaseline="Yes",N(Tasks[[#This Row],[Baseline Duration]])=0),Tasks[[#This Row],[_SpanDays]],Tasks[[#This Row],[Baseline Duration]]))</f>
        <v/>
      </c>
      <c r="BP40" s="86" t="str">
        <f aca="false">IF(Tasks[[#This Row],[Task Name]]="","",IF(OR(TakeBaseline="Yes",N(Tasks[[#This Row],[Baseline Work]])=0),Tasks[[#This Row],[Work]],Tasks[[#This Row],[Baseline Work]]))</f>
        <v/>
      </c>
      <c r="BQ40" s="7"/>
      <c r="BR40" s="7"/>
      <c r="BS40" s="22"/>
      <c r="BT40" s="88"/>
      <c r="BU40" s="23"/>
      <c r="BV40" s="23"/>
      <c r="BW40" s="23"/>
      <c r="BX40" s="89" t="str">
        <f aca="false">IF(AND(Tasks[[#This Row],[_IsLeaf]]=1,ISNUMBER(Tasks[[#This Row],[Optimistic]]),ISNUMBER(Tasks[[#This Row],[Pessimistic]])),ROUND((Tasks[[#This Row],[Optimistic]]+4*N(Tasks[[#This Row],[_Days]])+Tasks[[#This Row],[Pessimistic]])/6,1),"")</f>
        <v/>
      </c>
      <c r="BY40" s="87"/>
      <c r="BZ40" s="87"/>
      <c r="CA40" s="22"/>
      <c r="CB40" s="43" t="str">
        <f aca="false">IF(Tasks[[#This Row],[Task Name]]="","",MAX(1,N(Tasks[[#This Row],[Level]])))</f>
        <v/>
      </c>
      <c r="CC40" s="43" t="n">
        <f aca="false">ROW()-ROW(Tasks[[#Headers],[ID]])</f>
        <v>35</v>
      </c>
      <c r="CD40" s="43" t="n">
        <f aca="false">IF(OR(Tasks[[#This Row],[Task Name]]="",Tasks[[#This Row],[_Level]]&lt;=1),0,IFERROR(LOOKUP(2,1/(Tasks[[#Headers],[_Level]]:Tasks[[#This Row],[_Level]]=Tasks[[#This Row],[_Level]]-1),ROW(Tasks[[#Headers],[_Level]]:Tasks[[#This Row],[_Level]])),0))</f>
        <v>0</v>
      </c>
      <c r="CE40" s="43" t="n">
        <f aca="false">IFERROR(N(INDEX(Tasks[_Level],Tasks[[#This Row],[_Row]]+1)),0)</f>
        <v>0</v>
      </c>
      <c r="CF40" s="90" t="b">
        <f aca="false">AND(Tasks[[#This Row],[Task Name]]&lt;&gt;"",Tasks[[#This Row],[_NextLevel]]&gt;Tasks[[#This Row],[_Level]])</f>
        <v>0</v>
      </c>
      <c r="CG40" s="43" t="n">
        <f aca="false">IF(Tasks[[#This Row],[_IsSummary]],COUNTIF(Tasks[WBS],Tasks[[#This Row],[WBS]]&amp;".*"),0)</f>
        <v>0</v>
      </c>
      <c r="CH40" s="43" t="n">
        <f aca="false">IF(AND(Tasks[[#This Row],[Task Name]]&lt;&gt;"",NOT(Tasks[[#This Row],[_IsSummary]])),1,0)</f>
        <v>0</v>
      </c>
      <c r="CI40" s="43" t="n">
        <f aca="false">IF(N(Tasks[[#This Row],[_Pred1UID]])=0,0,IFERROR(MATCH(Tasks[[#This Row],[_Pred1UID]],Tasks[UID],0),-1))</f>
        <v>0</v>
      </c>
      <c r="CJ40" s="43" t="n">
        <f aca="false">IF(N(Tasks[[#This Row],[_Pred2UID]])=0,0,IFERROR(MATCH(Tasks[[#This Row],[_Pred2UID]],Tasks[UID],0),-1))</f>
        <v>0</v>
      </c>
      <c r="CK40" s="43" t="n">
        <f aca="false">IF(N(Tasks[[#This Row],[_Pred3UID]])=0,0,IFERROR(MATCH(Tasks[[#This Row],[_Pred3UID]],Tasks[UID],0),-1))</f>
        <v>0</v>
      </c>
      <c r="CL40" s="43" t="n">
        <f aca="false">IF(N(Tasks[[#This Row],[_Pred4UID]])=0,0,IFERROR(MATCH(Tasks[[#This Row],[_Pred4UID]],Tasks[UID],0),-1))</f>
        <v>0</v>
      </c>
      <c r="CM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0" s="91" t="n">
        <f aca="false">IF(OR(Tasks[[#This Row],[_ConstraintCode]]=2,Tasks[[#This Row],[_ConstraintCode]]=3,Tasks[[#This Row],[_ConstraintCode]]=4,Tasks[[#This Row],[_ConstraintCode]]=6),Tasks[[#This Row],[_ConstraintStart]],0)</f>
        <v>0</v>
      </c>
      <c r="CP40" s="91" t="n">
        <f aca="false">IF(OR(Tasks[[#This Row],[_ConstraintCode]]=2,Tasks[[#This Row],[_ConstraintCode]]=3,Tasks[[#This Row],[_ConstraintCode]]=5,Tasks[[#This Row],[_ConstraintCode]]=7),Tasks[[#This Row],[_ConstraintStart]],2958465)</f>
        <v>2958465</v>
      </c>
      <c r="CQ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91" t="str">
        <f aca="false">IF(NOT(Tasks[[#This Row],[_IsLeaf]]=1),"",IF(N(Tasks[[#This Row],[_Days]])&lt;=0,Tasks[[#This Row],[_LeafCalcStart]],WORKDAY.INTL(Tasks[[#This Row],[_LeafCalcStart]],Tasks[[#This Row],[_Days]]-1,WorkWeek,Holidays)))</f>
        <v/>
      </c>
      <c r="CS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3" t="str">
        <f aca="false">IF(Tasks[[#This Row],[_Predecessors]]="","",TRIM(MID(SUBSTITUTE(SUBSTITUTE(SUBSTITUTE(UPPER(Tasks[[#This Row],[_Predecessors]]),";",",")," ",""),",",REPT(" ",99)),1,99)))</f>
        <v/>
      </c>
      <c r="CV40" s="43" t="str">
        <f aca="false">IF(Tasks[[#This Row],[_Pred1Text]]="","",IFERROR(VALUE(LEFT(Tasks[[#This Row],[_Pred1Text]],MIN(FIND("F",Tasks[[#This Row],[_Pred1Text]]&amp;"F"),FIND("S",Tasks[[#This Row],[_Pred1Text]]&amp;"S"),FIND("+",Tasks[[#This Row],[_Pred1Text]]&amp;"+"),FIND("-",Tasks[[#This Row],[_Pred1Text]]&amp;"-"))-1)),""))</f>
        <v/>
      </c>
      <c r="CW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3" t="str">
        <f aca="false">IF(Tasks[[#This Row],[_Pred1Text]]="","",TRIM(MID(SUBSTITUTE(SUBSTITUTE(SUBSTITUTE(UPPER(Tasks[[#This Row],[_Predecessors]]),";",",")," ",""),",",REPT(" ",99)),100,99)))</f>
        <v/>
      </c>
      <c r="CZ40" s="43" t="str">
        <f aca="false">IF(Tasks[[#This Row],[_Pred2Text]]="","",IFERROR(VALUE(LEFT(Tasks[[#This Row],[_Pred2Text]],MIN(FIND("F",Tasks[[#This Row],[_Pred2Text]]&amp;"F"),FIND("S",Tasks[[#This Row],[_Pred2Text]]&amp;"S"),FIND("+",Tasks[[#This Row],[_Pred2Text]]&amp;"+"),FIND("-",Tasks[[#This Row],[_Pred2Text]]&amp;"-"))-1)),""))</f>
        <v/>
      </c>
      <c r="DA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3" t="str">
        <f aca="false">IF(Tasks[[#This Row],[_Pred2Text]]="","",TRIM(MID(SUBSTITUTE(SUBSTITUTE(SUBSTITUTE(UPPER(Tasks[[#This Row],[_Predecessors]]),";",",")," ",""),",",REPT(" ",99)),199,99)))</f>
        <v/>
      </c>
      <c r="DD40" s="43" t="str">
        <f aca="false">IF(Tasks[[#This Row],[_Pred3Text]]="","",IFERROR(VALUE(LEFT(Tasks[[#This Row],[_Pred3Text]],MIN(FIND("F",Tasks[[#This Row],[_Pred3Text]]&amp;"F"),FIND("S",Tasks[[#This Row],[_Pred3Text]]&amp;"S"),FIND("+",Tasks[[#This Row],[_Pred3Text]]&amp;"+"),FIND("-",Tasks[[#This Row],[_Pred3Text]]&amp;"-"))-1)),""))</f>
        <v/>
      </c>
      <c r="DE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3" t="str">
        <f aca="false">IF(Tasks[[#This Row],[_Pred3Text]]="","",TRIM(MID(SUBSTITUTE(SUBSTITUTE(SUBSTITUTE(UPPER(Tasks[[#This Row],[_Predecessors]]),";",",")," ",""),",",REPT(" ",99)),298,99)))</f>
        <v/>
      </c>
      <c r="DH40" s="43" t="str">
        <f aca="false">IF(Tasks[[#This Row],[_Pred4Text]]="","",IFERROR(VALUE(LEFT(Tasks[[#This Row],[_Pred4Text]],MIN(FIND("F",Tasks[[#This Row],[_Pred4Text]]&amp;"F"),FIND("S",Tasks[[#This Row],[_Pred4Text]]&amp;"S"),FIND("+",Tasks[[#This Row],[_Pred4Text]]&amp;"+"),FIND("-",Tasks[[#This Row],[_Pred4Text]]&amp;"-"))-1)),""))</f>
        <v/>
      </c>
      <c r="DI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3" t="str">
        <f aca="false">IF(OR(Tasks[[#This Row],[Task Name]]="",Tasks[[#This Row],[_Resources]]=""),"",TRIM(MID(SUBSTITUTE(Tasks[[#This Row],[_Resources]],",",REPT(" ",99)),1,99)))</f>
        <v/>
      </c>
      <c r="DL40" s="43" t="str">
        <f aca="false">IF(Tasks[[#This Row],[_Res1Text]]="","",TRIM(MID(SUBSTITUTE(Tasks[[#This Row],[_Resources]],",",REPT(" ",99)),100,99)))</f>
        <v/>
      </c>
      <c r="DM40" s="43" t="str">
        <f aca="false">IF(Tasks[[#This Row],[_Res2Text]]="","",TRIM(MID(SUBSTITUTE(Tasks[[#This Row],[_Resources]],",",REPT(" ",99)),199,99)))</f>
        <v/>
      </c>
      <c r="DN40" s="43" t="str">
        <f aca="false">IF(Tasks[[#This Row],[_Res3Text]]="","",TRIM(MID(SUBSTITUTE(Tasks[[#This Row],[_Resources]],",",REPT(" ",99)),298,99)))</f>
        <v/>
      </c>
      <c r="DO40" s="43" t="n">
        <f aca="false">IF(Tasks[[#This Row],[_Res1Text]]="",0,IFERROR(MATCH(TRIM(LEFT(Tasks[[#This Row],[_Res1Text]],FIND("[",Tasks[[#This Row],[_Res1Text]]&amp;"[")-1)),res_Name,0),IFERROR(MATCH(TRIM(LEFT(Tasks[[#This Row],[_Res1Text]],FIND("[",Tasks[[#This Row],[_Res1Text]]&amp;"[")-1)),res_Initials,0),0)))</f>
        <v>0</v>
      </c>
      <c r="DP40" s="43" t="n">
        <f aca="false">IF(Tasks[[#This Row],[_Res2Text]]="",0,IFERROR(MATCH(TRIM(LEFT(Tasks[[#This Row],[_Res2Text]],FIND("[",Tasks[[#This Row],[_Res2Text]]&amp;"[")-1)),res_Name,0),IFERROR(MATCH(TRIM(LEFT(Tasks[[#This Row],[_Res2Text]],FIND("[",Tasks[[#This Row],[_Res2Text]]&amp;"[")-1)),res_Initials,0),0)))</f>
        <v>0</v>
      </c>
      <c r="DQ40" s="43" t="n">
        <f aca="false">IF(Tasks[[#This Row],[_Res3Text]]="",0,IFERROR(MATCH(TRIM(LEFT(Tasks[[#This Row],[_Res3Text]],FIND("[",Tasks[[#This Row],[_Res3Text]]&amp;"[")-1)),res_Name,0),IFERROR(MATCH(TRIM(LEFT(Tasks[[#This Row],[_Res3Text]],FIND("[",Tasks[[#This Row],[_Res3Text]]&amp;"[")-1)),res_Initials,0),0)))</f>
        <v>0</v>
      </c>
      <c r="DR40" s="43" t="n">
        <f aca="false">IF(Tasks[[#This Row],[_Res4Text]]="",0,IFERROR(MATCH(TRIM(LEFT(Tasks[[#This Row],[_Res4Text]],FIND("[",Tasks[[#This Row],[_Res4Text]]&amp;"[")-1)),res_Name,0),IFERROR(MATCH(TRIM(LEFT(Tasks[[#This Row],[_Res4Text]],FIND("[",Tasks[[#This Row],[_Res4Text]]&amp;"[")-1)),res_Initials,0),0)))</f>
        <v>0</v>
      </c>
      <c r="DS40" s="43" t="str">
        <f aca="false">IF(Tasks[[#This Row],[_Res1Text]]="","",IF(Tasks[[#This Row],[_Res1Row]]&gt;0,INDEX(res_Name,Tasks[[#This Row],[_Res1Row]]),TRIM(LEFT(Tasks[[#This Row],[_Res1Text]],FIND("[",Tasks[[#This Row],[_Res1Text]]&amp;"[")-1))))</f>
        <v/>
      </c>
      <c r="DT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3" t="n">
        <f aca="false">IF(NOT(Tasks[[#This Row],[_IsLeaf]]=1),0,(Tasks[[#This Row],[_Resource1]]&lt;&gt;"")+(Tasks[[#This Row],[_Res2]]&lt;&gt;"")+(Tasks[[#This Row],[_Res3]]&lt;&gt;"")+(Tasks[[#This Row],[_Res4]]&lt;&gt;""))</f>
        <v>0</v>
      </c>
      <c r="DV40" s="43" t="str">
        <f aca="false">IF(Tasks[[#This Row],[_Res2Text]]="","",IF(Tasks[[#This Row],[_Res2Row]]&gt;0,INDEX(res_Name,Tasks[[#This Row],[_Res2Row]]),TRIM(LEFT(Tasks[[#This Row],[_Res2Text]],FIND("[",Tasks[[#This Row],[_Res2Text]]&amp;"[")-1))))</f>
        <v/>
      </c>
      <c r="DW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3" t="n">
        <f aca="false">IF(OR(NOT(Tasks[[#This Row],[_IsLeaf]]=1),Tasks[[#This Row],[_Res2Row]]=0),0,N(Tasks[[#This Row],[_Days]])*HoursPerDay*IF(Tasks[[#This Row],[_Res2Units]]="",DefaultUnits,Tasks[[#This Row],[_Res2Units]]))</f>
        <v>0</v>
      </c>
      <c r="DY40" s="43" t="n">
        <f aca="false">IF(AND(AND(Tasks[[#This Row],[_IsLeaf]]=1,Tasks[[#This Row],[_LeafTotalWork]]&gt;0),Tasks[[#This Row],[_Res2Work]]&gt;0),Tasks[[#This Row],[_Res2Work]]/(Tasks[[#This Row],[_FinishWorkday]]-Tasks[[#This Row],[_StartWorkday]]+1),0)</f>
        <v>0</v>
      </c>
      <c r="DZ40" s="43" t="n">
        <f aca="false">Tasks[[#This Row],[_Res2WorkPerWD]]*MAX(0,Tasks[[#This Row],[_StartWorkday]]-1)</f>
        <v>0</v>
      </c>
      <c r="EA40" s="43" t="n">
        <f aca="false">Tasks[[#This Row],[_Res2Work]]*Tasks[[#This Row],[_LeafProgress]]</f>
        <v>0</v>
      </c>
      <c r="EB40" s="43" t="str">
        <f aca="false">IF(Tasks[[#This Row],[_Res3Text]]="","",IF(Tasks[[#This Row],[_Res3Row]]&gt;0,INDEX(res_Name,Tasks[[#This Row],[_Res3Row]]),TRIM(LEFT(Tasks[[#This Row],[_Res3Text]],FIND("[",Tasks[[#This Row],[_Res3Text]]&amp;"[")-1))))</f>
        <v/>
      </c>
      <c r="EC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3" t="n">
        <f aca="false">IF(OR(NOT(Tasks[[#This Row],[_IsLeaf]]=1),Tasks[[#This Row],[_Res3Row]]=0),0,N(Tasks[[#This Row],[_Days]])*HoursPerDay*IF(Tasks[[#This Row],[_Res3Units]]="",DefaultUnits,Tasks[[#This Row],[_Res3Units]]))</f>
        <v>0</v>
      </c>
      <c r="EE40" s="43" t="n">
        <f aca="false">IF(AND(AND(Tasks[[#This Row],[_IsLeaf]]=1,Tasks[[#This Row],[_LeafTotalWork]]&gt;0),Tasks[[#This Row],[_Res3Work]]&gt;0),Tasks[[#This Row],[_Res3Work]]/(Tasks[[#This Row],[_FinishWorkday]]-Tasks[[#This Row],[_StartWorkday]]+1),0)</f>
        <v>0</v>
      </c>
      <c r="EF40" s="43" t="n">
        <f aca="false">Tasks[[#This Row],[_Res3WorkPerWD]]*MAX(0,Tasks[[#This Row],[_StartWorkday]]-1)</f>
        <v>0</v>
      </c>
      <c r="EG40" s="43" t="n">
        <f aca="false">Tasks[[#This Row],[_Res3Work]]*Tasks[[#This Row],[_LeafProgress]]</f>
        <v>0</v>
      </c>
      <c r="EH40" s="43" t="str">
        <f aca="false">IF(Tasks[[#This Row],[_Res4Text]]="","",IF(Tasks[[#This Row],[_Res4Row]]&gt;0,INDEX(res_Name,Tasks[[#This Row],[_Res4Row]]),TRIM(LEFT(Tasks[[#This Row],[_Res4Text]],FIND("[",Tasks[[#This Row],[_Res4Text]]&amp;"[")-1))))</f>
        <v/>
      </c>
      <c r="EI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3" t="n">
        <f aca="false">IF(OR(NOT(Tasks[[#This Row],[_IsLeaf]]=1),Tasks[[#This Row],[_Res4Row]]=0),0,N(Tasks[[#This Row],[_Days]])*HoursPerDay*IF(Tasks[[#This Row],[_Res4Units]]="",DefaultUnits,Tasks[[#This Row],[_Res4Units]]))</f>
        <v>0</v>
      </c>
      <c r="EK40" s="43" t="n">
        <f aca="false">IF(AND(AND(Tasks[[#This Row],[_IsLeaf]]=1,Tasks[[#This Row],[_LeafTotalWork]]&gt;0),Tasks[[#This Row],[_Res4Work]]&gt;0),Tasks[[#This Row],[_Res4Work]]/(Tasks[[#This Row],[_FinishWorkday]]-Tasks[[#This Row],[_StartWorkday]]+1),0)</f>
        <v>0</v>
      </c>
      <c r="EL40" s="43" t="n">
        <f aca="false">Tasks[[#This Row],[_Res4WorkPerWD]]*MAX(0,Tasks[[#This Row],[_StartWorkday]]-1)</f>
        <v>0</v>
      </c>
      <c r="EM40" s="43" t="n">
        <f aca="false">Tasks[[#This Row],[_Res4Work]]*Tasks[[#This Row],[_LeafProgress]]</f>
        <v>0</v>
      </c>
      <c r="EN40" s="43" t="n">
        <f aca="false">IF(ISNUMBER(Tasks[[#This Row],[% Complete]]),Tasks[[#This Row],[% Complete]],IF(Tasks[[#This Row],[Stage]]="",0,IFERROR(INDEX(stg_Pct,MATCH(Tasks[[#This Row],[Stage]],stg_Name,0)),0)))</f>
        <v>0</v>
      </c>
      <c r="EO40" s="43" t="n">
        <f aca="false">IF(NOT(Tasks[[#This Row],[_IsLeaf]]=1),0,IF(N(Tasks[[#This Row],[Actual Finish]])&gt;0,1,MIN(1,Tasks[[#This Row],[_Pct]])))</f>
        <v>0</v>
      </c>
      <c r="EP40" s="43" t="n">
        <f aca="false">IF(OR(NOT(Tasks[[#This Row],[_IsLeaf]]=1),Tasks[[#This Row],[_Res1Row]]=0),0,N(Tasks[[#This Row],[_Days]])*HoursPerDay*IF(Tasks[[#This Row],[_Units1]]="",DefaultUnits,Tasks[[#This Row],[_Units1]]))</f>
        <v>0</v>
      </c>
      <c r="EQ40" s="43" t="n">
        <f aca="false">Tasks[[#This Row],[_LeafWork]]+Tasks[[#This Row],[_Res2Work]]+Tasks[[#This Row],[_Res3Work]]+Tasks[[#This Row],[_Res4Work]]</f>
        <v>0</v>
      </c>
      <c r="ER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3" t="n">
        <f aca="false">IF(NOT(Tasks[[#This Row],[_IsLeaf]]=1),0,MAX(_xlfn.MAXIFS(Tasks[_Row],Tasks[_Pred1UID],Tasks[[#This Row],[UID]]),_xlfn.MAXIFS(Tasks[_Row],Tasks[_Pred2UID],Tasks[[#This Row],[UID]]),_xlfn.MAXIFS(Tasks[_Row],Tasks[_Pred3UID],Tasks[[#This Row],[UID]]),_xlfn.MAXIFS(Tasks[_Row],Tasks[_Pred4UID],Tasks[[#This Row],[UID]])))</f>
        <v>0</v>
      </c>
      <c r="FA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91" t="str">
        <f aca="false">IF(NOT(Tasks[[#This Row],[_IsLeaf]]=1),"",IF(N(Tasks[[#This Row],[_Days]])&lt;=0,Tasks[[#This Row],[_LeafLateFinish]],WORKDAY.INTL(Tasks[[#This Row],[_LeafLateFinish]],-(Tasks[[#This Row],[_Days]]-1),WorkWeek,Holidays)))</f>
        <v/>
      </c>
      <c r="FD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0" s="90" t="b">
        <f aca="false">AND(Tasks[[#This Row],[_IsLeaf]]=1,Tasks[[#This Row],[_LeafProgress]]&lt;1,N(Tasks[[#This Row],[_LeafTotalSlack]])&lt;=CriticalSlackDays)</f>
        <v>0</v>
      </c>
      <c r="FF40" s="43" t="n">
        <f aca="false">IF(AND(Tasks[[#This Row],[_IsLeaf]]=1,Tasks[[#This Row],[_ConstraintCode]]=1,Tasks[[#This Row],[Mode]]&lt;&gt;"Manual",N(Tasks[[#This Row],[Actual Start]])=0),MAX(0,N(Tasks[[#This Row],[Free Slack]])),0)</f>
        <v>0</v>
      </c>
      <c r="FG40" s="91" t="str">
        <f aca="false">IF(NOT(Tasks[[#This Row],[_IsLeaf]]=1),"",IF(Tasks[[#This Row],[_AlapShift]]=0,Tasks[[#This Row],[_LeafCalcStart]],WORKDAY.INTL(Tasks[[#This Row],[_LeafCalcStart]],Tasks[[#This Row],[_AlapShift]],WorkWeek,Holidays)))</f>
        <v/>
      </c>
      <c r="FH40" s="91" t="str">
        <f aca="false">IF(NOT(Tasks[[#This Row],[_IsLeaf]]=1),"",IF(Tasks[[#This Row],[_AlapShift]]=0,Tasks[[#This Row],[_LeafCalcFinish]],WORKDAY.INTL(Tasks[[#This Row],[_LeafCalcFinish]],Tasks[[#This Row],[_AlapShift]],WorkWeek,Holidays)))</f>
        <v/>
      </c>
      <c r="FI40" s="91" t="str">
        <f aca="false">IF(NOT(Tasks[[#This Row],[_IsLeaf]]=1),"",IF(Tasks[[#This Row],[_AlapShift]]=0,Tasks[[#This Row],[_LeafFcstStart]],WORKDAY.INTL(Tasks[[#This Row],[_LeafFcstStart]],Tasks[[#This Row],[_AlapShift]],WorkWeek,Holidays)))</f>
        <v/>
      </c>
      <c r="FJ40" s="91" t="str">
        <f aca="false">IF(NOT(Tasks[[#This Row],[_IsLeaf]]=1),"",IF(Tasks[[#This Row],[_AlapShift]]=0,Tasks[[#This Row],[_LeafFcstFinish]],WORKDAY.INTL(Tasks[[#This Row],[_LeafFcstFinish]],Tasks[[#This Row],[_AlapShift]],WorkWeek,Holidays)))</f>
        <v/>
      </c>
      <c r="FK40" s="91" t="str">
        <f aca="false">IF(Tasks[[#This Row],[Task Name]]="","",IF(Tasks[[#This Row],[_IsSummary]],MIN(INDEX(Tasks[_ShownCalcStart],Tasks[[#This Row],[_Row]]+1):INDEX(Tasks[_ShownCalcStart],Tasks[[#This Row],[_Row]]+Tasks[[#This Row],[_Descendants]])),Tasks[[#This Row],[_ShownCalcStart]]))</f>
        <v/>
      </c>
      <c r="FL40" s="91" t="str">
        <f aca="false">IF(Tasks[[#This Row],[Task Name]]="","",IF(Tasks[[#This Row],[_IsSummary]],MAX(INDEX(Tasks[_ShownCalcFinish],Tasks[[#This Row],[_Row]]+1):INDEX(Tasks[_ShownCalcFinish],Tasks[[#This Row],[_Row]]+Tasks[[#This Row],[_Descendants]])),Tasks[[#This Row],[_ShownCalcFinish]]))</f>
        <v/>
      </c>
      <c r="FM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0" s="43" t="n">
        <f aca="false">IF(AND(Tasks[[#This Row],[_IsLeaf]]=1,Tasks[[#This Row],[_LeafTotalWork]]&gt;0),NETWORKDAYS.INTL(ProjectStart,Tasks[[#This Row],[_ShownFcstStart]],WorkWeek,Holidays),0)</f>
        <v>0</v>
      </c>
      <c r="FZ40" s="43" t="n">
        <f aca="false">IF(AND(Tasks[[#This Row],[_IsLeaf]]=1,Tasks[[#This Row],[_LeafTotalWork]]&gt;0),MAX(Tasks[[#This Row],[_StartWorkday]],NETWORKDAYS.INTL(ProjectStart,Tasks[[#This Row],[_ShownFcstFinish]],WorkWeek,Holidays)),0)</f>
        <v>0</v>
      </c>
      <c r="GA40" s="43" t="n">
        <f aca="false">IF(AND(Tasks[[#This Row],[_IsLeaf]]=1,Tasks[[#This Row],[_LeafTotalWork]]&gt;0),Tasks[[#This Row],[_LeafWork]]/(Tasks[[#This Row],[_FinishWorkday]]-Tasks[[#This Row],[_StartWorkday]]+1),0)</f>
        <v>0</v>
      </c>
      <c r="GB40" s="43" t="n">
        <f aca="false">Tasks[[#This Row],[_WorkPerWorkday]]*(Tasks[[#This Row],[_StartWorkday]]-1)</f>
        <v>-0</v>
      </c>
      <c r="GC40" s="43" t="n">
        <f aca="false">IF(Tasks[[#This Row],[_IsLeaf]]=1,MAX(N(Tasks[[#This Row],[_Days]]),0.1),0)</f>
        <v>0</v>
      </c>
      <c r="GD40" s="43" t="n">
        <f aca="false">Tasks[[#This Row],[_WeightDur]]*Tasks[[#This Row],[_LeafProgress]]</f>
        <v>0</v>
      </c>
      <c r="GE40" s="43" t="n">
        <f aca="false">Tasks[[#This Row],[_WeightDur]]*Tasks[[#This Row],[_PlannedPct]]</f>
        <v>0</v>
      </c>
      <c r="GF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3" t="str">
        <f aca="false">IF(AND(Tasks[[#This Row],[_IsLeaf]]=1,N(Tasks[[#This Row],[_Days]])=0,Tasks[[#This Row],[_LeafProgress]]&lt;1),Tasks[[#This Row],[_ShownFcstFinish]]+Tasks[[#This Row],[_Row]]/100000,"")</f>
        <v/>
      </c>
      <c r="GH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0" s="43" t="str">
        <f aca="false">IF(Tasks[[#This Row],[Task Name]]="","",LEFT(Tasks[[#This Row],[WBS]],FIND(".",Tasks[[#This Row],[WBS]]&amp;".")-1))</f>
        <v/>
      </c>
      <c r="GJ40" s="43" t="str">
        <f aca="false">IF(AND(Tasks[[#This Row],[Task Name]]&lt;&gt;"",Tasks[[#This Row],[_Level]]=1),Tasks[[#This Row],[_Row]],"")</f>
        <v/>
      </c>
      <c r="GK40" s="43" t="str">
        <f aca="false">IF(AND(Tasks[[#This Row],[_IsLeaf]]=1,N(Tasks[[#This Row],[_Days]])=0),Tasks[[#This Row],[Planned Finish]]+Tasks[[#This Row],[_Row]]/100000,"")</f>
        <v/>
      </c>
      <c r="GL40" s="43" t="str">
        <f aca="false">IF(AND(Tasks[[#This Row],[_IsLeaf]]=1,Tasks[[#This Row],[_LeafProgress]]&lt;1,OR(N(Tasks[[#This Row],[Finish Var]])&gt;0,Tasks[[#This Row],[Status]]="Late Start")),MAX(0,Tasks[[#This Row],[Finish Var]])+1-Tasks[[#This Row],[_Row]]/1000000,"")</f>
        <v/>
      </c>
      <c r="GM40" s="43" t="str">
        <f aca="false">IF(AND(Tasks[[#This Row],[_IsLeaf]]=1,N(Tasks[[#This Row],[Actual Start]])=0,Tasks[[#This Row],[_ShownFcstStart]]&gt;=StatusDate,Tasks[[#This Row],[_ShownFcstStart]]&lt;=LookaheadEnd),Tasks[[#This Row],[_ShownFcstStart]]+Tasks[[#This Row],[_Row]]/100000,"")</f>
        <v/>
      </c>
      <c r="GN40" s="43" t="str">
        <f aca="false">IF(AND(Tasks[[#This Row],[_IsLeaf]]=1,Tasks[[#This Row],[_LeafProgress]]&lt;1,Tasks[[#This Row],[_ShownFcstFinish]]&gt;=StatusDate,Tasks[[#This Row],[_ShownFcstFinish]]&lt;=LookaheadEnd),Tasks[[#This Row],[_ShownFcstFinish]]+Tasks[[#This Row],[_Row]]/100000,"")</f>
        <v/>
      </c>
      <c r="GO40" s="43" t="str">
        <f aca="false">IF(Tasks[[#This Row],[_LeafCritical]],Tasks[[#This Row],[_ShownFcstStart]]+Tasks[[#This Row],[_Row]]/100000,"")</f>
        <v/>
      </c>
      <c r="GP40" s="43" t="n">
        <f aca="false">Tasks[[#This Row],[_LeafWork]]*Tasks[[#This Row],[_LeafProgress]]</f>
        <v>0</v>
      </c>
      <c r="GQ40" s="91" t="str">
        <f aca="false">IF(AND(Tasks[[#This Row],[_IsLeaf]]=1,Tasks[[#This Row],[_LeafProgress]]&gt;=1),IF(N(Tasks[[#This Row],[Actual Finish]])&gt;0,Tasks[[#This Row],[Actual Finish]],Tasks[[#This Row],[_ShownFcstFinish]]),"")</f>
        <v/>
      </c>
      <c r="GR40" s="43" t="n">
        <f aca="false">IF(Tasks[[#This Row],[_IsLeaf]]=1,N(Tasks[[#This Row],[Story Points]]),0)</f>
        <v>0</v>
      </c>
      <c r="GS40" s="43" t="str">
        <f aca="false">""</f>
        <v/>
      </c>
      <c r="GT40" s="90" t="b">
        <f aca="false">IF(Tasks[[#This Row],[Task Name]]="",FALSE(),AND(Tasks[[#This Row],[_IsLeaf]]=1,N(Tasks[[#This Row],[_Days]])=0))</f>
        <v>0</v>
      </c>
      <c r="GU40" s="91" t="n">
        <f aca="false">IF(Tasks[[#This Row],[Task Name]]="",0,IF(AND(Tasks[[#This Row],[_IsLeaf]]=1,NOT(Tasks[[#This Row],[_IsMilestone]]),N(Tasks[[#This Row],[Progress]])&gt;0),Tasks[[#This Row],[Start]],0))</f>
        <v>0</v>
      </c>
      <c r="GV40" s="91" t="n">
        <f aca="false">IF(Tasks[[#This Row],[_DoneFrom]]=0,0,IF(Tasks[[#This Row],[Progress]]&gt;=1,Tasks[[#This Row],[Finish]],MAX(Tasks[[#This Row],[_DoneFrom]],Tasks[[#This Row],[Start]]+ROUND((Tasks[[#This Row],[Finish]]-Tasks[[#This Row],[Start]]+1)*Tasks[[#This Row],[Progress]],0)-1)))</f>
        <v>0</v>
      </c>
      <c r="GW40" s="91" t="n">
        <f aca="false">IF(Tasks[[#This Row],[Task Name]]="",0,IF(OR(NOT(Tasks[[#This Row],[_IsLeaf]]=1),Tasks[[#This Row],[_IsMilestone]],N(Tasks[[#This Row],[Progress]])&gt;=1),0,IF(Tasks[[#This Row],[_DoneTo]]&gt;0,Tasks[[#This Row],[_DoneTo]]+1,Tasks[[#This Row],[Start]])))</f>
        <v>0</v>
      </c>
      <c r="GX40" s="91" t="n">
        <f aca="false">IF(Tasks[[#This Row],[_RemFrom]]=0,0,Tasks[[#This Row],[Finish]])</f>
        <v>0</v>
      </c>
      <c r="GY40" s="90" t="b">
        <f aca="false">IF(Tasks[[#This Row],[Task Name]]="",FALSE(),OR(NOT(BaselineSet),N(Tasks[[#This Row],[Baseline Start]])&gt;0))</f>
        <v>0</v>
      </c>
      <c r="GZ4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92" t="str">
        <f aca="false">IF(Tasks[[#This Row],[_IsLeaf]]=1,Tasks[[#This Row],[_Row]],"")</f>
        <v/>
      </c>
      <c r="HD40" s="92" t="str">
        <f aca="false">IFERROR(INDEX(Tasks[UID],SMALL(Tasks[_PickKey],Tasks[[#This Row],[_Row]]))&amp;" "&amp;INDEX(Tasks[Task Name],SMALL(Tasks[_PickKey],Tasks[[#This Row],[_Row]])),"")</f>
        <v/>
      </c>
      <c r="HE40" s="43" t="str">
        <f aca="false">IF(Tasks[[#This Row],[Task Name]]="","",IF(Tasks[[#This Row],[_IsSummary]],NETWORKDAYS.INTL(Tasks[[#This Row],[Start]],Tasks[[#This Row],[Finish]],WorkWeek,Holidays),N(Tasks[[#This Row],[_Days]])))</f>
        <v/>
      </c>
      <c r="HF40" s="43" t="n">
        <f aca="false">IF(Tasks[[#This Row],[Expected]]="",0,((Tasks[[#This Row],[Pessimistic]]-Tasks[[#This Row],[Optimistic]])/6)^2)</f>
        <v>0</v>
      </c>
      <c r="HG40" s="43" t="n">
        <f aca="false">IF(Tasks[[#This Row],[Expected]]="",0,Tasks[[#This Row],[Expected]]-N(Tasks[[#This Row],[_Days]]))</f>
        <v>0</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4"/>
      <c r="U41" s="23"/>
      <c r="V41" s="84"/>
      <c r="W41" s="23"/>
      <c r="X41" s="84"/>
      <c r="Y41" s="23"/>
      <c r="Z41" s="84"/>
      <c r="AA41" s="23"/>
      <c r="AB41" s="23"/>
      <c r="AC41" s="7"/>
      <c r="AD41" s="7"/>
      <c r="AE41" s="63" t="str">
        <f aca="false">IF(Tasks[[#This Row],[Task Name]]="","",IF(Tasks[[#This Row],[_IsSummary]],MIN(INDEX(Tasks[_ShownFcstStart],Tasks[[#This Row],[_Row]]+1):INDEX(Tasks[_ShownFcstStart],Tasks[[#This Row],[_Row]]+Tasks[[#This Row],[_Descendants]])),Tasks[[#This Row],[_ShownFcstStart]]))</f>
        <v/>
      </c>
      <c r="AF41" s="63"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1" s="7"/>
      <c r="AK41" s="22"/>
      <c r="AL41" s="23"/>
      <c r="AM41" s="7"/>
      <c r="AN41" s="47"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3" t="str">
        <f aca="false">IF(Tasks[[#This Row],[Task Name]]="","",IF(N(Tasks[[#This Row],[Baseline Start]])&gt;0,Tasks[[#This Row],[Baseline Start]],Tasks[[#This Row],[_CalcStart]]))</f>
        <v/>
      </c>
      <c r="AR41" s="63" t="str">
        <f aca="false">IF(Tasks[[#This Row],[Task Name]]="","",IF(N(Tasks[[#This Row],[Baseline Finish]])&gt;0,Tasks[[#This Row],[Baseline Finish]],Tasks[[#This Row],[_CalcFinish]]))</f>
        <v/>
      </c>
      <c r="AS41" s="47" t="str">
        <f aca="false">IF(Tasks[[#This Row],[Task Name]]="","",IF(Tasks[[#This Row],[Start]]&gt;=Tasks[[#This Row],[Planned Start]],NETWORKDAYS.INTL(Tasks[[#This Row],[Planned Start]],Tasks[[#This Row],[Start]],WorkWeek,Holidays)-1,1-NETWORKDAYS.INTL(Tasks[[#This Row],[Start]],Tasks[[#This Row],[Planned Start]],WorkWeek,Holidays)))</f>
        <v/>
      </c>
      <c r="AT41" s="63" t="str">
        <f aca="false">IF(Tasks[[#This Row],[Task Name]]="","",IF(Tasks[[#This Row],[_IsSummary]],MIN(INDEX(Tasks[_LeafLateStart],Tasks[[#This Row],[_Row]]+1):INDEX(Tasks[_LeafLateStart],Tasks[[#This Row],[_Row]]+Tasks[[#This Row],[_Descendants]])),Tasks[[#This Row],[_LeafLateStart]]))</f>
        <v/>
      </c>
      <c r="AU41" s="63" t="str">
        <f aca="false">IF(Tasks[[#This Row],[Task Name]]="","",IF(Tasks[[#This Row],[_IsSummary]],MAX(INDEX(Tasks[_LeafLateFinish],Tasks[[#This Row],[_Row]]+1):INDEX(Tasks[_LeafLateFinish],Tasks[[#This Row],[_Row]]+Tasks[[#This Row],[_Descendants]])),Tasks[[#This Row],[_LeafLateFinish]]))</f>
        <v/>
      </c>
      <c r="AV41" s="47"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5"/>
      <c r="BA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6"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7"/>
      <c r="BJ41" s="22"/>
      <c r="BK41" s="47" t="str">
        <f aca="false">IF(OR(Tasks[[#This Row],[Task Name]]="",Tasks[[#This Row],[Baseline Duration]]=""),"",Tasks[[#This Row],[_SpanDays]]-N(Tasks[[#This Row],[Baseline Duration]]))</f>
        <v/>
      </c>
      <c r="BL41" s="86" t="str">
        <f aca="false">IF(OR(Tasks[[#This Row],[Task Name]]="",Tasks[[#This Row],[Baseline Work]]=""),"",Tasks[[#This Row],[Work]]-N(Tasks[[#This Row],[Baseline Work]]))</f>
        <v/>
      </c>
      <c r="BM41" s="63" t="str">
        <f aca="false">IF(Tasks[[#This Row],[Task Name]]="","",IF(OR(TakeBaseline="Yes",N(Tasks[[#This Row],[Baseline Start]])=0),Tasks[[#This Row],[Start]],Tasks[[#This Row],[Baseline Start]]))</f>
        <v/>
      </c>
      <c r="BN41" s="63" t="str">
        <f aca="false">IF(Tasks[[#This Row],[Task Name]]="","",IF(OR(TakeBaseline="Yes",N(Tasks[[#This Row],[Baseline Finish]])=0),Tasks[[#This Row],[Finish]],Tasks[[#This Row],[Baseline Finish]]))</f>
        <v/>
      </c>
      <c r="BO41" s="21" t="str">
        <f aca="false">IF(Tasks[[#This Row],[Task Name]]="","",IF(OR(TakeBaseline="Yes",N(Tasks[[#This Row],[Baseline Duration]])=0),Tasks[[#This Row],[_SpanDays]],Tasks[[#This Row],[Baseline Duration]]))</f>
        <v/>
      </c>
      <c r="BP41" s="86" t="str">
        <f aca="false">IF(Tasks[[#This Row],[Task Name]]="","",IF(OR(TakeBaseline="Yes",N(Tasks[[#This Row],[Baseline Work]])=0),Tasks[[#This Row],[Work]],Tasks[[#This Row],[Baseline Work]]))</f>
        <v/>
      </c>
      <c r="BQ41" s="7"/>
      <c r="BR41" s="7"/>
      <c r="BS41" s="22"/>
      <c r="BT41" s="88"/>
      <c r="BU41" s="23"/>
      <c r="BV41" s="23"/>
      <c r="BW41" s="23"/>
      <c r="BX41" s="89" t="str">
        <f aca="false">IF(AND(Tasks[[#This Row],[_IsLeaf]]=1,ISNUMBER(Tasks[[#This Row],[Optimistic]]),ISNUMBER(Tasks[[#This Row],[Pessimistic]])),ROUND((Tasks[[#This Row],[Optimistic]]+4*N(Tasks[[#This Row],[_Days]])+Tasks[[#This Row],[Pessimistic]])/6,1),"")</f>
        <v/>
      </c>
      <c r="BY41" s="87"/>
      <c r="BZ41" s="87"/>
      <c r="CA41" s="22"/>
      <c r="CB41" s="43" t="str">
        <f aca="false">IF(Tasks[[#This Row],[Task Name]]="","",MAX(1,N(Tasks[[#This Row],[Level]])))</f>
        <v/>
      </c>
      <c r="CC41" s="43" t="n">
        <f aca="false">ROW()-ROW(Tasks[[#Headers],[ID]])</f>
        <v>36</v>
      </c>
      <c r="CD41" s="43" t="n">
        <f aca="false">IF(OR(Tasks[[#This Row],[Task Name]]="",Tasks[[#This Row],[_Level]]&lt;=1),0,IFERROR(LOOKUP(2,1/(Tasks[[#Headers],[_Level]]:Tasks[[#This Row],[_Level]]=Tasks[[#This Row],[_Level]]-1),ROW(Tasks[[#Headers],[_Level]]:Tasks[[#This Row],[_Level]])),0))</f>
        <v>0</v>
      </c>
      <c r="CE41" s="43" t="n">
        <f aca="false">IFERROR(N(INDEX(Tasks[_Level],Tasks[[#This Row],[_Row]]+1)),0)</f>
        <v>0</v>
      </c>
      <c r="CF41" s="90" t="b">
        <f aca="false">AND(Tasks[[#This Row],[Task Name]]&lt;&gt;"",Tasks[[#This Row],[_NextLevel]]&gt;Tasks[[#This Row],[_Level]])</f>
        <v>0</v>
      </c>
      <c r="CG41" s="43" t="n">
        <f aca="false">IF(Tasks[[#This Row],[_IsSummary]],COUNTIF(Tasks[WBS],Tasks[[#This Row],[WBS]]&amp;".*"),0)</f>
        <v>0</v>
      </c>
      <c r="CH41" s="43" t="n">
        <f aca="false">IF(AND(Tasks[[#This Row],[Task Name]]&lt;&gt;"",NOT(Tasks[[#This Row],[_IsSummary]])),1,0)</f>
        <v>0</v>
      </c>
      <c r="CI41" s="43" t="n">
        <f aca="false">IF(N(Tasks[[#This Row],[_Pred1UID]])=0,0,IFERROR(MATCH(Tasks[[#This Row],[_Pred1UID]],Tasks[UID],0),-1))</f>
        <v>0</v>
      </c>
      <c r="CJ41" s="43" t="n">
        <f aca="false">IF(N(Tasks[[#This Row],[_Pred2UID]])=0,0,IFERROR(MATCH(Tasks[[#This Row],[_Pred2UID]],Tasks[UID],0),-1))</f>
        <v>0</v>
      </c>
      <c r="CK41" s="43" t="n">
        <f aca="false">IF(N(Tasks[[#This Row],[_Pred3UID]])=0,0,IFERROR(MATCH(Tasks[[#This Row],[_Pred3UID]],Tasks[UID],0),-1))</f>
        <v>0</v>
      </c>
      <c r="CL41" s="43" t="n">
        <f aca="false">IF(N(Tasks[[#This Row],[_Pred4UID]])=0,0,IFERROR(MATCH(Tasks[[#This Row],[_Pred4UID]],Tasks[UID],0),-1))</f>
        <v>0</v>
      </c>
      <c r="CM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1" s="91" t="n">
        <f aca="false">IF(OR(Tasks[[#This Row],[_ConstraintCode]]=2,Tasks[[#This Row],[_ConstraintCode]]=3,Tasks[[#This Row],[_ConstraintCode]]=4,Tasks[[#This Row],[_ConstraintCode]]=6),Tasks[[#This Row],[_ConstraintStart]],0)</f>
        <v>0</v>
      </c>
      <c r="CP41" s="91" t="n">
        <f aca="false">IF(OR(Tasks[[#This Row],[_ConstraintCode]]=2,Tasks[[#This Row],[_ConstraintCode]]=3,Tasks[[#This Row],[_ConstraintCode]]=5,Tasks[[#This Row],[_ConstraintCode]]=7),Tasks[[#This Row],[_ConstraintStart]],2958465)</f>
        <v>2958465</v>
      </c>
      <c r="CQ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91" t="str">
        <f aca="false">IF(NOT(Tasks[[#This Row],[_IsLeaf]]=1),"",IF(N(Tasks[[#This Row],[_Days]])&lt;=0,Tasks[[#This Row],[_LeafCalcStart]],WORKDAY.INTL(Tasks[[#This Row],[_LeafCalcStart]],Tasks[[#This Row],[_Days]]-1,WorkWeek,Holidays)))</f>
        <v/>
      </c>
      <c r="CS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3" t="str">
        <f aca="false">IF(Tasks[[#This Row],[_Predecessors]]="","",TRIM(MID(SUBSTITUTE(SUBSTITUTE(SUBSTITUTE(UPPER(Tasks[[#This Row],[_Predecessors]]),";",",")," ",""),",",REPT(" ",99)),1,99)))</f>
        <v/>
      </c>
      <c r="CV41" s="43" t="str">
        <f aca="false">IF(Tasks[[#This Row],[_Pred1Text]]="","",IFERROR(VALUE(LEFT(Tasks[[#This Row],[_Pred1Text]],MIN(FIND("F",Tasks[[#This Row],[_Pred1Text]]&amp;"F"),FIND("S",Tasks[[#This Row],[_Pred1Text]]&amp;"S"),FIND("+",Tasks[[#This Row],[_Pred1Text]]&amp;"+"),FIND("-",Tasks[[#This Row],[_Pred1Text]]&amp;"-"))-1)),""))</f>
        <v/>
      </c>
      <c r="CW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3" t="str">
        <f aca="false">IF(Tasks[[#This Row],[_Pred1Text]]="","",TRIM(MID(SUBSTITUTE(SUBSTITUTE(SUBSTITUTE(UPPER(Tasks[[#This Row],[_Predecessors]]),";",",")," ",""),",",REPT(" ",99)),100,99)))</f>
        <v/>
      </c>
      <c r="CZ41" s="43" t="str">
        <f aca="false">IF(Tasks[[#This Row],[_Pred2Text]]="","",IFERROR(VALUE(LEFT(Tasks[[#This Row],[_Pred2Text]],MIN(FIND("F",Tasks[[#This Row],[_Pred2Text]]&amp;"F"),FIND("S",Tasks[[#This Row],[_Pred2Text]]&amp;"S"),FIND("+",Tasks[[#This Row],[_Pred2Text]]&amp;"+"),FIND("-",Tasks[[#This Row],[_Pred2Text]]&amp;"-"))-1)),""))</f>
        <v/>
      </c>
      <c r="DA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3" t="str">
        <f aca="false">IF(Tasks[[#This Row],[_Pred2Text]]="","",TRIM(MID(SUBSTITUTE(SUBSTITUTE(SUBSTITUTE(UPPER(Tasks[[#This Row],[_Predecessors]]),";",",")," ",""),",",REPT(" ",99)),199,99)))</f>
        <v/>
      </c>
      <c r="DD41" s="43" t="str">
        <f aca="false">IF(Tasks[[#This Row],[_Pred3Text]]="","",IFERROR(VALUE(LEFT(Tasks[[#This Row],[_Pred3Text]],MIN(FIND("F",Tasks[[#This Row],[_Pred3Text]]&amp;"F"),FIND("S",Tasks[[#This Row],[_Pred3Text]]&amp;"S"),FIND("+",Tasks[[#This Row],[_Pred3Text]]&amp;"+"),FIND("-",Tasks[[#This Row],[_Pred3Text]]&amp;"-"))-1)),""))</f>
        <v/>
      </c>
      <c r="DE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3" t="str">
        <f aca="false">IF(Tasks[[#This Row],[_Pred3Text]]="","",TRIM(MID(SUBSTITUTE(SUBSTITUTE(SUBSTITUTE(UPPER(Tasks[[#This Row],[_Predecessors]]),";",",")," ",""),",",REPT(" ",99)),298,99)))</f>
        <v/>
      </c>
      <c r="DH41" s="43" t="str">
        <f aca="false">IF(Tasks[[#This Row],[_Pred4Text]]="","",IFERROR(VALUE(LEFT(Tasks[[#This Row],[_Pred4Text]],MIN(FIND("F",Tasks[[#This Row],[_Pred4Text]]&amp;"F"),FIND("S",Tasks[[#This Row],[_Pred4Text]]&amp;"S"),FIND("+",Tasks[[#This Row],[_Pred4Text]]&amp;"+"),FIND("-",Tasks[[#This Row],[_Pred4Text]]&amp;"-"))-1)),""))</f>
        <v/>
      </c>
      <c r="DI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3" t="str">
        <f aca="false">IF(OR(Tasks[[#This Row],[Task Name]]="",Tasks[[#This Row],[_Resources]]=""),"",TRIM(MID(SUBSTITUTE(Tasks[[#This Row],[_Resources]],",",REPT(" ",99)),1,99)))</f>
        <v/>
      </c>
      <c r="DL41" s="43" t="str">
        <f aca="false">IF(Tasks[[#This Row],[_Res1Text]]="","",TRIM(MID(SUBSTITUTE(Tasks[[#This Row],[_Resources]],",",REPT(" ",99)),100,99)))</f>
        <v/>
      </c>
      <c r="DM41" s="43" t="str">
        <f aca="false">IF(Tasks[[#This Row],[_Res2Text]]="","",TRIM(MID(SUBSTITUTE(Tasks[[#This Row],[_Resources]],",",REPT(" ",99)),199,99)))</f>
        <v/>
      </c>
      <c r="DN41" s="43" t="str">
        <f aca="false">IF(Tasks[[#This Row],[_Res3Text]]="","",TRIM(MID(SUBSTITUTE(Tasks[[#This Row],[_Resources]],",",REPT(" ",99)),298,99)))</f>
        <v/>
      </c>
      <c r="DO41" s="43" t="n">
        <f aca="false">IF(Tasks[[#This Row],[_Res1Text]]="",0,IFERROR(MATCH(TRIM(LEFT(Tasks[[#This Row],[_Res1Text]],FIND("[",Tasks[[#This Row],[_Res1Text]]&amp;"[")-1)),res_Name,0),IFERROR(MATCH(TRIM(LEFT(Tasks[[#This Row],[_Res1Text]],FIND("[",Tasks[[#This Row],[_Res1Text]]&amp;"[")-1)),res_Initials,0),0)))</f>
        <v>0</v>
      </c>
      <c r="DP41" s="43" t="n">
        <f aca="false">IF(Tasks[[#This Row],[_Res2Text]]="",0,IFERROR(MATCH(TRIM(LEFT(Tasks[[#This Row],[_Res2Text]],FIND("[",Tasks[[#This Row],[_Res2Text]]&amp;"[")-1)),res_Name,0),IFERROR(MATCH(TRIM(LEFT(Tasks[[#This Row],[_Res2Text]],FIND("[",Tasks[[#This Row],[_Res2Text]]&amp;"[")-1)),res_Initials,0),0)))</f>
        <v>0</v>
      </c>
      <c r="DQ41" s="43" t="n">
        <f aca="false">IF(Tasks[[#This Row],[_Res3Text]]="",0,IFERROR(MATCH(TRIM(LEFT(Tasks[[#This Row],[_Res3Text]],FIND("[",Tasks[[#This Row],[_Res3Text]]&amp;"[")-1)),res_Name,0),IFERROR(MATCH(TRIM(LEFT(Tasks[[#This Row],[_Res3Text]],FIND("[",Tasks[[#This Row],[_Res3Text]]&amp;"[")-1)),res_Initials,0),0)))</f>
        <v>0</v>
      </c>
      <c r="DR41" s="43" t="n">
        <f aca="false">IF(Tasks[[#This Row],[_Res4Text]]="",0,IFERROR(MATCH(TRIM(LEFT(Tasks[[#This Row],[_Res4Text]],FIND("[",Tasks[[#This Row],[_Res4Text]]&amp;"[")-1)),res_Name,0),IFERROR(MATCH(TRIM(LEFT(Tasks[[#This Row],[_Res4Text]],FIND("[",Tasks[[#This Row],[_Res4Text]]&amp;"[")-1)),res_Initials,0),0)))</f>
        <v>0</v>
      </c>
      <c r="DS41" s="43" t="str">
        <f aca="false">IF(Tasks[[#This Row],[_Res1Text]]="","",IF(Tasks[[#This Row],[_Res1Row]]&gt;0,INDEX(res_Name,Tasks[[#This Row],[_Res1Row]]),TRIM(LEFT(Tasks[[#This Row],[_Res1Text]],FIND("[",Tasks[[#This Row],[_Res1Text]]&amp;"[")-1))))</f>
        <v/>
      </c>
      <c r="DT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3" t="n">
        <f aca="false">IF(NOT(Tasks[[#This Row],[_IsLeaf]]=1),0,(Tasks[[#This Row],[_Resource1]]&lt;&gt;"")+(Tasks[[#This Row],[_Res2]]&lt;&gt;"")+(Tasks[[#This Row],[_Res3]]&lt;&gt;"")+(Tasks[[#This Row],[_Res4]]&lt;&gt;""))</f>
        <v>0</v>
      </c>
      <c r="DV41" s="43" t="str">
        <f aca="false">IF(Tasks[[#This Row],[_Res2Text]]="","",IF(Tasks[[#This Row],[_Res2Row]]&gt;0,INDEX(res_Name,Tasks[[#This Row],[_Res2Row]]),TRIM(LEFT(Tasks[[#This Row],[_Res2Text]],FIND("[",Tasks[[#This Row],[_Res2Text]]&amp;"[")-1))))</f>
        <v/>
      </c>
      <c r="DW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3" t="n">
        <f aca="false">IF(OR(NOT(Tasks[[#This Row],[_IsLeaf]]=1),Tasks[[#This Row],[_Res2Row]]=0),0,N(Tasks[[#This Row],[_Days]])*HoursPerDay*IF(Tasks[[#This Row],[_Res2Units]]="",DefaultUnits,Tasks[[#This Row],[_Res2Units]]))</f>
        <v>0</v>
      </c>
      <c r="DY41" s="43" t="n">
        <f aca="false">IF(AND(AND(Tasks[[#This Row],[_IsLeaf]]=1,Tasks[[#This Row],[_LeafTotalWork]]&gt;0),Tasks[[#This Row],[_Res2Work]]&gt;0),Tasks[[#This Row],[_Res2Work]]/(Tasks[[#This Row],[_FinishWorkday]]-Tasks[[#This Row],[_StartWorkday]]+1),0)</f>
        <v>0</v>
      </c>
      <c r="DZ41" s="43" t="n">
        <f aca="false">Tasks[[#This Row],[_Res2WorkPerWD]]*MAX(0,Tasks[[#This Row],[_StartWorkday]]-1)</f>
        <v>0</v>
      </c>
      <c r="EA41" s="43" t="n">
        <f aca="false">Tasks[[#This Row],[_Res2Work]]*Tasks[[#This Row],[_LeafProgress]]</f>
        <v>0</v>
      </c>
      <c r="EB41" s="43" t="str">
        <f aca="false">IF(Tasks[[#This Row],[_Res3Text]]="","",IF(Tasks[[#This Row],[_Res3Row]]&gt;0,INDEX(res_Name,Tasks[[#This Row],[_Res3Row]]),TRIM(LEFT(Tasks[[#This Row],[_Res3Text]],FIND("[",Tasks[[#This Row],[_Res3Text]]&amp;"[")-1))))</f>
        <v/>
      </c>
      <c r="EC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3" t="n">
        <f aca="false">IF(OR(NOT(Tasks[[#This Row],[_IsLeaf]]=1),Tasks[[#This Row],[_Res3Row]]=0),0,N(Tasks[[#This Row],[_Days]])*HoursPerDay*IF(Tasks[[#This Row],[_Res3Units]]="",DefaultUnits,Tasks[[#This Row],[_Res3Units]]))</f>
        <v>0</v>
      </c>
      <c r="EE41" s="43" t="n">
        <f aca="false">IF(AND(AND(Tasks[[#This Row],[_IsLeaf]]=1,Tasks[[#This Row],[_LeafTotalWork]]&gt;0),Tasks[[#This Row],[_Res3Work]]&gt;0),Tasks[[#This Row],[_Res3Work]]/(Tasks[[#This Row],[_FinishWorkday]]-Tasks[[#This Row],[_StartWorkday]]+1),0)</f>
        <v>0</v>
      </c>
      <c r="EF41" s="43" t="n">
        <f aca="false">Tasks[[#This Row],[_Res3WorkPerWD]]*MAX(0,Tasks[[#This Row],[_StartWorkday]]-1)</f>
        <v>0</v>
      </c>
      <c r="EG41" s="43" t="n">
        <f aca="false">Tasks[[#This Row],[_Res3Work]]*Tasks[[#This Row],[_LeafProgress]]</f>
        <v>0</v>
      </c>
      <c r="EH41" s="43" t="str">
        <f aca="false">IF(Tasks[[#This Row],[_Res4Text]]="","",IF(Tasks[[#This Row],[_Res4Row]]&gt;0,INDEX(res_Name,Tasks[[#This Row],[_Res4Row]]),TRIM(LEFT(Tasks[[#This Row],[_Res4Text]],FIND("[",Tasks[[#This Row],[_Res4Text]]&amp;"[")-1))))</f>
        <v/>
      </c>
      <c r="EI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3" t="n">
        <f aca="false">IF(OR(NOT(Tasks[[#This Row],[_IsLeaf]]=1),Tasks[[#This Row],[_Res4Row]]=0),0,N(Tasks[[#This Row],[_Days]])*HoursPerDay*IF(Tasks[[#This Row],[_Res4Units]]="",DefaultUnits,Tasks[[#This Row],[_Res4Units]]))</f>
        <v>0</v>
      </c>
      <c r="EK41" s="43" t="n">
        <f aca="false">IF(AND(AND(Tasks[[#This Row],[_IsLeaf]]=1,Tasks[[#This Row],[_LeafTotalWork]]&gt;0),Tasks[[#This Row],[_Res4Work]]&gt;0),Tasks[[#This Row],[_Res4Work]]/(Tasks[[#This Row],[_FinishWorkday]]-Tasks[[#This Row],[_StartWorkday]]+1),0)</f>
        <v>0</v>
      </c>
      <c r="EL41" s="43" t="n">
        <f aca="false">Tasks[[#This Row],[_Res4WorkPerWD]]*MAX(0,Tasks[[#This Row],[_StartWorkday]]-1)</f>
        <v>0</v>
      </c>
      <c r="EM41" s="43" t="n">
        <f aca="false">Tasks[[#This Row],[_Res4Work]]*Tasks[[#This Row],[_LeafProgress]]</f>
        <v>0</v>
      </c>
      <c r="EN41" s="43" t="n">
        <f aca="false">IF(ISNUMBER(Tasks[[#This Row],[% Complete]]),Tasks[[#This Row],[% Complete]],IF(Tasks[[#This Row],[Stage]]="",0,IFERROR(INDEX(stg_Pct,MATCH(Tasks[[#This Row],[Stage]],stg_Name,0)),0)))</f>
        <v>0</v>
      </c>
      <c r="EO41" s="43" t="n">
        <f aca="false">IF(NOT(Tasks[[#This Row],[_IsLeaf]]=1),0,IF(N(Tasks[[#This Row],[Actual Finish]])&gt;0,1,MIN(1,Tasks[[#This Row],[_Pct]])))</f>
        <v>0</v>
      </c>
      <c r="EP41" s="43" t="n">
        <f aca="false">IF(OR(NOT(Tasks[[#This Row],[_IsLeaf]]=1),Tasks[[#This Row],[_Res1Row]]=0),0,N(Tasks[[#This Row],[_Days]])*HoursPerDay*IF(Tasks[[#This Row],[_Units1]]="",DefaultUnits,Tasks[[#This Row],[_Units1]]))</f>
        <v>0</v>
      </c>
      <c r="EQ41" s="43" t="n">
        <f aca="false">Tasks[[#This Row],[_LeafWork]]+Tasks[[#This Row],[_Res2Work]]+Tasks[[#This Row],[_Res3Work]]+Tasks[[#This Row],[_Res4Work]]</f>
        <v>0</v>
      </c>
      <c r="ER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3" t="n">
        <f aca="false">IF(NOT(Tasks[[#This Row],[_IsLeaf]]=1),0,MAX(_xlfn.MAXIFS(Tasks[_Row],Tasks[_Pred1UID],Tasks[[#This Row],[UID]]),_xlfn.MAXIFS(Tasks[_Row],Tasks[_Pred2UID],Tasks[[#This Row],[UID]]),_xlfn.MAXIFS(Tasks[_Row],Tasks[_Pred3UID],Tasks[[#This Row],[UID]]),_xlfn.MAXIFS(Tasks[_Row],Tasks[_Pred4UID],Tasks[[#This Row],[UID]])))</f>
        <v>0</v>
      </c>
      <c r="FA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91" t="str">
        <f aca="false">IF(NOT(Tasks[[#This Row],[_IsLeaf]]=1),"",IF(N(Tasks[[#This Row],[_Days]])&lt;=0,Tasks[[#This Row],[_LeafLateFinish]],WORKDAY.INTL(Tasks[[#This Row],[_LeafLateFinish]],-(Tasks[[#This Row],[_Days]]-1),WorkWeek,Holidays)))</f>
        <v/>
      </c>
      <c r="FD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1" s="90" t="b">
        <f aca="false">AND(Tasks[[#This Row],[_IsLeaf]]=1,Tasks[[#This Row],[_LeafProgress]]&lt;1,N(Tasks[[#This Row],[_LeafTotalSlack]])&lt;=CriticalSlackDays)</f>
        <v>0</v>
      </c>
      <c r="FF41" s="43" t="n">
        <f aca="false">IF(AND(Tasks[[#This Row],[_IsLeaf]]=1,Tasks[[#This Row],[_ConstraintCode]]=1,Tasks[[#This Row],[Mode]]&lt;&gt;"Manual",N(Tasks[[#This Row],[Actual Start]])=0),MAX(0,N(Tasks[[#This Row],[Free Slack]])),0)</f>
        <v>0</v>
      </c>
      <c r="FG41" s="91" t="str">
        <f aca="false">IF(NOT(Tasks[[#This Row],[_IsLeaf]]=1),"",IF(Tasks[[#This Row],[_AlapShift]]=0,Tasks[[#This Row],[_LeafCalcStart]],WORKDAY.INTL(Tasks[[#This Row],[_LeafCalcStart]],Tasks[[#This Row],[_AlapShift]],WorkWeek,Holidays)))</f>
        <v/>
      </c>
      <c r="FH41" s="91" t="str">
        <f aca="false">IF(NOT(Tasks[[#This Row],[_IsLeaf]]=1),"",IF(Tasks[[#This Row],[_AlapShift]]=0,Tasks[[#This Row],[_LeafCalcFinish]],WORKDAY.INTL(Tasks[[#This Row],[_LeafCalcFinish]],Tasks[[#This Row],[_AlapShift]],WorkWeek,Holidays)))</f>
        <v/>
      </c>
      <c r="FI41" s="91" t="str">
        <f aca="false">IF(NOT(Tasks[[#This Row],[_IsLeaf]]=1),"",IF(Tasks[[#This Row],[_AlapShift]]=0,Tasks[[#This Row],[_LeafFcstStart]],WORKDAY.INTL(Tasks[[#This Row],[_LeafFcstStart]],Tasks[[#This Row],[_AlapShift]],WorkWeek,Holidays)))</f>
        <v/>
      </c>
      <c r="FJ41" s="91" t="str">
        <f aca="false">IF(NOT(Tasks[[#This Row],[_IsLeaf]]=1),"",IF(Tasks[[#This Row],[_AlapShift]]=0,Tasks[[#This Row],[_LeafFcstFinish]],WORKDAY.INTL(Tasks[[#This Row],[_LeafFcstFinish]],Tasks[[#This Row],[_AlapShift]],WorkWeek,Holidays)))</f>
        <v/>
      </c>
      <c r="FK41" s="91" t="str">
        <f aca="false">IF(Tasks[[#This Row],[Task Name]]="","",IF(Tasks[[#This Row],[_IsSummary]],MIN(INDEX(Tasks[_ShownCalcStart],Tasks[[#This Row],[_Row]]+1):INDEX(Tasks[_ShownCalcStart],Tasks[[#This Row],[_Row]]+Tasks[[#This Row],[_Descendants]])),Tasks[[#This Row],[_ShownCalcStart]]))</f>
        <v/>
      </c>
      <c r="FL41" s="91" t="str">
        <f aca="false">IF(Tasks[[#This Row],[Task Name]]="","",IF(Tasks[[#This Row],[_IsSummary]],MAX(INDEX(Tasks[_ShownCalcFinish],Tasks[[#This Row],[_Row]]+1):INDEX(Tasks[_ShownCalcFinish],Tasks[[#This Row],[_Row]]+Tasks[[#This Row],[_Descendants]])),Tasks[[#This Row],[_ShownCalcFinish]]))</f>
        <v/>
      </c>
      <c r="FM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1" s="43" t="n">
        <f aca="false">IF(AND(Tasks[[#This Row],[_IsLeaf]]=1,Tasks[[#This Row],[_LeafTotalWork]]&gt;0),NETWORKDAYS.INTL(ProjectStart,Tasks[[#This Row],[_ShownFcstStart]],WorkWeek,Holidays),0)</f>
        <v>0</v>
      </c>
      <c r="FZ41" s="43" t="n">
        <f aca="false">IF(AND(Tasks[[#This Row],[_IsLeaf]]=1,Tasks[[#This Row],[_LeafTotalWork]]&gt;0),MAX(Tasks[[#This Row],[_StartWorkday]],NETWORKDAYS.INTL(ProjectStart,Tasks[[#This Row],[_ShownFcstFinish]],WorkWeek,Holidays)),0)</f>
        <v>0</v>
      </c>
      <c r="GA41" s="43" t="n">
        <f aca="false">IF(AND(Tasks[[#This Row],[_IsLeaf]]=1,Tasks[[#This Row],[_LeafTotalWork]]&gt;0),Tasks[[#This Row],[_LeafWork]]/(Tasks[[#This Row],[_FinishWorkday]]-Tasks[[#This Row],[_StartWorkday]]+1),0)</f>
        <v>0</v>
      </c>
      <c r="GB41" s="43" t="n">
        <f aca="false">Tasks[[#This Row],[_WorkPerWorkday]]*(Tasks[[#This Row],[_StartWorkday]]-1)</f>
        <v>-0</v>
      </c>
      <c r="GC41" s="43" t="n">
        <f aca="false">IF(Tasks[[#This Row],[_IsLeaf]]=1,MAX(N(Tasks[[#This Row],[_Days]]),0.1),0)</f>
        <v>0</v>
      </c>
      <c r="GD41" s="43" t="n">
        <f aca="false">Tasks[[#This Row],[_WeightDur]]*Tasks[[#This Row],[_LeafProgress]]</f>
        <v>0</v>
      </c>
      <c r="GE41" s="43" t="n">
        <f aca="false">Tasks[[#This Row],[_WeightDur]]*Tasks[[#This Row],[_PlannedPct]]</f>
        <v>0</v>
      </c>
      <c r="GF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3" t="str">
        <f aca="false">IF(AND(Tasks[[#This Row],[_IsLeaf]]=1,N(Tasks[[#This Row],[_Days]])=0,Tasks[[#This Row],[_LeafProgress]]&lt;1),Tasks[[#This Row],[_ShownFcstFinish]]+Tasks[[#This Row],[_Row]]/100000,"")</f>
        <v/>
      </c>
      <c r="GH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1" s="43" t="str">
        <f aca="false">IF(Tasks[[#This Row],[Task Name]]="","",LEFT(Tasks[[#This Row],[WBS]],FIND(".",Tasks[[#This Row],[WBS]]&amp;".")-1))</f>
        <v/>
      </c>
      <c r="GJ41" s="43" t="str">
        <f aca="false">IF(AND(Tasks[[#This Row],[Task Name]]&lt;&gt;"",Tasks[[#This Row],[_Level]]=1),Tasks[[#This Row],[_Row]],"")</f>
        <v/>
      </c>
      <c r="GK41" s="43" t="str">
        <f aca="false">IF(AND(Tasks[[#This Row],[_IsLeaf]]=1,N(Tasks[[#This Row],[_Days]])=0),Tasks[[#This Row],[Planned Finish]]+Tasks[[#This Row],[_Row]]/100000,"")</f>
        <v/>
      </c>
      <c r="GL41" s="43" t="str">
        <f aca="false">IF(AND(Tasks[[#This Row],[_IsLeaf]]=1,Tasks[[#This Row],[_LeafProgress]]&lt;1,OR(N(Tasks[[#This Row],[Finish Var]])&gt;0,Tasks[[#This Row],[Status]]="Late Start")),MAX(0,Tasks[[#This Row],[Finish Var]])+1-Tasks[[#This Row],[_Row]]/1000000,"")</f>
        <v/>
      </c>
      <c r="GM41" s="43" t="str">
        <f aca="false">IF(AND(Tasks[[#This Row],[_IsLeaf]]=1,N(Tasks[[#This Row],[Actual Start]])=0,Tasks[[#This Row],[_ShownFcstStart]]&gt;=StatusDate,Tasks[[#This Row],[_ShownFcstStart]]&lt;=LookaheadEnd),Tasks[[#This Row],[_ShownFcstStart]]+Tasks[[#This Row],[_Row]]/100000,"")</f>
        <v/>
      </c>
      <c r="GN41" s="43" t="str">
        <f aca="false">IF(AND(Tasks[[#This Row],[_IsLeaf]]=1,Tasks[[#This Row],[_LeafProgress]]&lt;1,Tasks[[#This Row],[_ShownFcstFinish]]&gt;=StatusDate,Tasks[[#This Row],[_ShownFcstFinish]]&lt;=LookaheadEnd),Tasks[[#This Row],[_ShownFcstFinish]]+Tasks[[#This Row],[_Row]]/100000,"")</f>
        <v/>
      </c>
      <c r="GO41" s="43" t="str">
        <f aca="false">IF(Tasks[[#This Row],[_LeafCritical]],Tasks[[#This Row],[_ShownFcstStart]]+Tasks[[#This Row],[_Row]]/100000,"")</f>
        <v/>
      </c>
      <c r="GP41" s="43" t="n">
        <f aca="false">Tasks[[#This Row],[_LeafWork]]*Tasks[[#This Row],[_LeafProgress]]</f>
        <v>0</v>
      </c>
      <c r="GQ41" s="91" t="str">
        <f aca="false">IF(AND(Tasks[[#This Row],[_IsLeaf]]=1,Tasks[[#This Row],[_LeafProgress]]&gt;=1),IF(N(Tasks[[#This Row],[Actual Finish]])&gt;0,Tasks[[#This Row],[Actual Finish]],Tasks[[#This Row],[_ShownFcstFinish]]),"")</f>
        <v/>
      </c>
      <c r="GR41" s="43" t="n">
        <f aca="false">IF(Tasks[[#This Row],[_IsLeaf]]=1,N(Tasks[[#This Row],[Story Points]]),0)</f>
        <v>0</v>
      </c>
      <c r="GS41" s="43" t="str">
        <f aca="false">""</f>
        <v/>
      </c>
      <c r="GT41" s="90" t="b">
        <f aca="false">IF(Tasks[[#This Row],[Task Name]]="",FALSE(),AND(Tasks[[#This Row],[_IsLeaf]]=1,N(Tasks[[#This Row],[_Days]])=0))</f>
        <v>0</v>
      </c>
      <c r="GU41" s="91" t="n">
        <f aca="false">IF(Tasks[[#This Row],[Task Name]]="",0,IF(AND(Tasks[[#This Row],[_IsLeaf]]=1,NOT(Tasks[[#This Row],[_IsMilestone]]),N(Tasks[[#This Row],[Progress]])&gt;0),Tasks[[#This Row],[Start]],0))</f>
        <v>0</v>
      </c>
      <c r="GV41" s="91" t="n">
        <f aca="false">IF(Tasks[[#This Row],[_DoneFrom]]=0,0,IF(Tasks[[#This Row],[Progress]]&gt;=1,Tasks[[#This Row],[Finish]],MAX(Tasks[[#This Row],[_DoneFrom]],Tasks[[#This Row],[Start]]+ROUND((Tasks[[#This Row],[Finish]]-Tasks[[#This Row],[Start]]+1)*Tasks[[#This Row],[Progress]],0)-1)))</f>
        <v>0</v>
      </c>
      <c r="GW41" s="91" t="n">
        <f aca="false">IF(Tasks[[#This Row],[Task Name]]="",0,IF(OR(NOT(Tasks[[#This Row],[_IsLeaf]]=1),Tasks[[#This Row],[_IsMilestone]],N(Tasks[[#This Row],[Progress]])&gt;=1),0,IF(Tasks[[#This Row],[_DoneTo]]&gt;0,Tasks[[#This Row],[_DoneTo]]+1,Tasks[[#This Row],[Start]])))</f>
        <v>0</v>
      </c>
      <c r="GX41" s="91" t="n">
        <f aca="false">IF(Tasks[[#This Row],[_RemFrom]]=0,0,Tasks[[#This Row],[Finish]])</f>
        <v>0</v>
      </c>
      <c r="GY41" s="90" t="b">
        <f aca="false">IF(Tasks[[#This Row],[Task Name]]="",FALSE(),OR(NOT(BaselineSet),N(Tasks[[#This Row],[Baseline Start]])&gt;0))</f>
        <v>0</v>
      </c>
      <c r="GZ4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92" t="str">
        <f aca="false">IF(Tasks[[#This Row],[_IsLeaf]]=1,Tasks[[#This Row],[_Row]],"")</f>
        <v/>
      </c>
      <c r="HD41" s="92" t="str">
        <f aca="false">IFERROR(INDEX(Tasks[UID],SMALL(Tasks[_PickKey],Tasks[[#This Row],[_Row]]))&amp;" "&amp;INDEX(Tasks[Task Name],SMALL(Tasks[_PickKey],Tasks[[#This Row],[_Row]])),"")</f>
        <v/>
      </c>
      <c r="HE41" s="43" t="str">
        <f aca="false">IF(Tasks[[#This Row],[Task Name]]="","",IF(Tasks[[#This Row],[_IsSummary]],NETWORKDAYS.INTL(Tasks[[#This Row],[Start]],Tasks[[#This Row],[Finish]],WorkWeek,Holidays),N(Tasks[[#This Row],[_Days]])))</f>
        <v/>
      </c>
      <c r="HF41" s="43" t="n">
        <f aca="false">IF(Tasks[[#This Row],[Expected]]="",0,((Tasks[[#This Row],[Pessimistic]]-Tasks[[#This Row],[Optimistic]])/6)^2)</f>
        <v>0</v>
      </c>
      <c r="HG41" s="43" t="n">
        <f aca="false">IF(Tasks[[#This Row],[Expected]]="",0,Tasks[[#This Row],[Expected]]-N(Tasks[[#This Row],[_Days]]))</f>
        <v>0</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4"/>
      <c r="U42" s="23"/>
      <c r="V42" s="84"/>
      <c r="W42" s="23"/>
      <c r="X42" s="84"/>
      <c r="Y42" s="23"/>
      <c r="Z42" s="84"/>
      <c r="AA42" s="23"/>
      <c r="AB42" s="23"/>
      <c r="AC42" s="7"/>
      <c r="AD42" s="7"/>
      <c r="AE42" s="63" t="str">
        <f aca="false">IF(Tasks[[#This Row],[Task Name]]="","",IF(Tasks[[#This Row],[_IsSummary]],MIN(INDEX(Tasks[_ShownFcstStart],Tasks[[#This Row],[_Row]]+1):INDEX(Tasks[_ShownFcstStart],Tasks[[#This Row],[_Row]]+Tasks[[#This Row],[_Descendants]])),Tasks[[#This Row],[_ShownFcstStart]]))</f>
        <v/>
      </c>
      <c r="AF42" s="63"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2" s="7"/>
      <c r="AK42" s="22"/>
      <c r="AL42" s="23"/>
      <c r="AM42" s="7"/>
      <c r="AN42" s="47"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3" t="str">
        <f aca="false">IF(Tasks[[#This Row],[Task Name]]="","",IF(N(Tasks[[#This Row],[Baseline Start]])&gt;0,Tasks[[#This Row],[Baseline Start]],Tasks[[#This Row],[_CalcStart]]))</f>
        <v/>
      </c>
      <c r="AR42" s="63" t="str">
        <f aca="false">IF(Tasks[[#This Row],[Task Name]]="","",IF(N(Tasks[[#This Row],[Baseline Finish]])&gt;0,Tasks[[#This Row],[Baseline Finish]],Tasks[[#This Row],[_CalcFinish]]))</f>
        <v/>
      </c>
      <c r="AS42" s="47" t="str">
        <f aca="false">IF(Tasks[[#This Row],[Task Name]]="","",IF(Tasks[[#This Row],[Start]]&gt;=Tasks[[#This Row],[Planned Start]],NETWORKDAYS.INTL(Tasks[[#This Row],[Planned Start]],Tasks[[#This Row],[Start]],WorkWeek,Holidays)-1,1-NETWORKDAYS.INTL(Tasks[[#This Row],[Start]],Tasks[[#This Row],[Planned Start]],WorkWeek,Holidays)))</f>
        <v/>
      </c>
      <c r="AT42" s="63" t="str">
        <f aca="false">IF(Tasks[[#This Row],[Task Name]]="","",IF(Tasks[[#This Row],[_IsSummary]],MIN(INDEX(Tasks[_LeafLateStart],Tasks[[#This Row],[_Row]]+1):INDEX(Tasks[_LeafLateStart],Tasks[[#This Row],[_Row]]+Tasks[[#This Row],[_Descendants]])),Tasks[[#This Row],[_LeafLateStart]]))</f>
        <v/>
      </c>
      <c r="AU42" s="63" t="str">
        <f aca="false">IF(Tasks[[#This Row],[Task Name]]="","",IF(Tasks[[#This Row],[_IsSummary]],MAX(INDEX(Tasks[_LeafLateFinish],Tasks[[#This Row],[_Row]]+1):INDEX(Tasks[_LeafLateFinish],Tasks[[#This Row],[_Row]]+Tasks[[#This Row],[_Descendants]])),Tasks[[#This Row],[_LeafLateFinish]]))</f>
        <v/>
      </c>
      <c r="AV42" s="47"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5"/>
      <c r="BA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6"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7"/>
      <c r="BJ42" s="22"/>
      <c r="BK42" s="47" t="str">
        <f aca="false">IF(OR(Tasks[[#This Row],[Task Name]]="",Tasks[[#This Row],[Baseline Duration]]=""),"",Tasks[[#This Row],[_SpanDays]]-N(Tasks[[#This Row],[Baseline Duration]]))</f>
        <v/>
      </c>
      <c r="BL42" s="86" t="str">
        <f aca="false">IF(OR(Tasks[[#This Row],[Task Name]]="",Tasks[[#This Row],[Baseline Work]]=""),"",Tasks[[#This Row],[Work]]-N(Tasks[[#This Row],[Baseline Work]]))</f>
        <v/>
      </c>
      <c r="BM42" s="63" t="str">
        <f aca="false">IF(Tasks[[#This Row],[Task Name]]="","",IF(OR(TakeBaseline="Yes",N(Tasks[[#This Row],[Baseline Start]])=0),Tasks[[#This Row],[Start]],Tasks[[#This Row],[Baseline Start]]))</f>
        <v/>
      </c>
      <c r="BN42" s="63" t="str">
        <f aca="false">IF(Tasks[[#This Row],[Task Name]]="","",IF(OR(TakeBaseline="Yes",N(Tasks[[#This Row],[Baseline Finish]])=0),Tasks[[#This Row],[Finish]],Tasks[[#This Row],[Baseline Finish]]))</f>
        <v/>
      </c>
      <c r="BO42" s="21" t="str">
        <f aca="false">IF(Tasks[[#This Row],[Task Name]]="","",IF(OR(TakeBaseline="Yes",N(Tasks[[#This Row],[Baseline Duration]])=0),Tasks[[#This Row],[_SpanDays]],Tasks[[#This Row],[Baseline Duration]]))</f>
        <v/>
      </c>
      <c r="BP42" s="86" t="str">
        <f aca="false">IF(Tasks[[#This Row],[Task Name]]="","",IF(OR(TakeBaseline="Yes",N(Tasks[[#This Row],[Baseline Work]])=0),Tasks[[#This Row],[Work]],Tasks[[#This Row],[Baseline Work]]))</f>
        <v/>
      </c>
      <c r="BQ42" s="7"/>
      <c r="BR42" s="7"/>
      <c r="BS42" s="22"/>
      <c r="BT42" s="88"/>
      <c r="BU42" s="23"/>
      <c r="BV42" s="23"/>
      <c r="BW42" s="23"/>
      <c r="BX42" s="89" t="str">
        <f aca="false">IF(AND(Tasks[[#This Row],[_IsLeaf]]=1,ISNUMBER(Tasks[[#This Row],[Optimistic]]),ISNUMBER(Tasks[[#This Row],[Pessimistic]])),ROUND((Tasks[[#This Row],[Optimistic]]+4*N(Tasks[[#This Row],[_Days]])+Tasks[[#This Row],[Pessimistic]])/6,1),"")</f>
        <v/>
      </c>
      <c r="BY42" s="87"/>
      <c r="BZ42" s="87"/>
      <c r="CA42" s="22"/>
      <c r="CB42" s="43" t="str">
        <f aca="false">IF(Tasks[[#This Row],[Task Name]]="","",MAX(1,N(Tasks[[#This Row],[Level]])))</f>
        <v/>
      </c>
      <c r="CC42" s="43" t="n">
        <f aca="false">ROW()-ROW(Tasks[[#Headers],[ID]])</f>
        <v>37</v>
      </c>
      <c r="CD42" s="43" t="n">
        <f aca="false">IF(OR(Tasks[[#This Row],[Task Name]]="",Tasks[[#This Row],[_Level]]&lt;=1),0,IFERROR(LOOKUP(2,1/(Tasks[[#Headers],[_Level]]:Tasks[[#This Row],[_Level]]=Tasks[[#This Row],[_Level]]-1),ROW(Tasks[[#Headers],[_Level]]:Tasks[[#This Row],[_Level]])),0))</f>
        <v>0</v>
      </c>
      <c r="CE42" s="43" t="n">
        <f aca="false">IFERROR(N(INDEX(Tasks[_Level],Tasks[[#This Row],[_Row]]+1)),0)</f>
        <v>0</v>
      </c>
      <c r="CF42" s="90" t="b">
        <f aca="false">AND(Tasks[[#This Row],[Task Name]]&lt;&gt;"",Tasks[[#This Row],[_NextLevel]]&gt;Tasks[[#This Row],[_Level]])</f>
        <v>0</v>
      </c>
      <c r="CG42" s="43" t="n">
        <f aca="false">IF(Tasks[[#This Row],[_IsSummary]],COUNTIF(Tasks[WBS],Tasks[[#This Row],[WBS]]&amp;".*"),0)</f>
        <v>0</v>
      </c>
      <c r="CH42" s="43" t="n">
        <f aca="false">IF(AND(Tasks[[#This Row],[Task Name]]&lt;&gt;"",NOT(Tasks[[#This Row],[_IsSummary]])),1,0)</f>
        <v>0</v>
      </c>
      <c r="CI42" s="43" t="n">
        <f aca="false">IF(N(Tasks[[#This Row],[_Pred1UID]])=0,0,IFERROR(MATCH(Tasks[[#This Row],[_Pred1UID]],Tasks[UID],0),-1))</f>
        <v>0</v>
      </c>
      <c r="CJ42" s="43" t="n">
        <f aca="false">IF(N(Tasks[[#This Row],[_Pred2UID]])=0,0,IFERROR(MATCH(Tasks[[#This Row],[_Pred2UID]],Tasks[UID],0),-1))</f>
        <v>0</v>
      </c>
      <c r="CK42" s="43" t="n">
        <f aca="false">IF(N(Tasks[[#This Row],[_Pred3UID]])=0,0,IFERROR(MATCH(Tasks[[#This Row],[_Pred3UID]],Tasks[UID],0),-1))</f>
        <v>0</v>
      </c>
      <c r="CL42" s="43" t="n">
        <f aca="false">IF(N(Tasks[[#This Row],[_Pred4UID]])=0,0,IFERROR(MATCH(Tasks[[#This Row],[_Pred4UID]],Tasks[UID],0),-1))</f>
        <v>0</v>
      </c>
      <c r="CM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2" s="91" t="n">
        <f aca="false">IF(OR(Tasks[[#This Row],[_ConstraintCode]]=2,Tasks[[#This Row],[_ConstraintCode]]=3,Tasks[[#This Row],[_ConstraintCode]]=4,Tasks[[#This Row],[_ConstraintCode]]=6),Tasks[[#This Row],[_ConstraintStart]],0)</f>
        <v>0</v>
      </c>
      <c r="CP42" s="91" t="n">
        <f aca="false">IF(OR(Tasks[[#This Row],[_ConstraintCode]]=2,Tasks[[#This Row],[_ConstraintCode]]=3,Tasks[[#This Row],[_ConstraintCode]]=5,Tasks[[#This Row],[_ConstraintCode]]=7),Tasks[[#This Row],[_ConstraintStart]],2958465)</f>
        <v>2958465</v>
      </c>
      <c r="CQ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91" t="str">
        <f aca="false">IF(NOT(Tasks[[#This Row],[_IsLeaf]]=1),"",IF(N(Tasks[[#This Row],[_Days]])&lt;=0,Tasks[[#This Row],[_LeafCalcStart]],WORKDAY.INTL(Tasks[[#This Row],[_LeafCalcStart]],Tasks[[#This Row],[_Days]]-1,WorkWeek,Holidays)))</f>
        <v/>
      </c>
      <c r="CS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3" t="str">
        <f aca="false">IF(Tasks[[#This Row],[_Predecessors]]="","",TRIM(MID(SUBSTITUTE(SUBSTITUTE(SUBSTITUTE(UPPER(Tasks[[#This Row],[_Predecessors]]),";",",")," ",""),",",REPT(" ",99)),1,99)))</f>
        <v/>
      </c>
      <c r="CV42" s="43" t="str">
        <f aca="false">IF(Tasks[[#This Row],[_Pred1Text]]="","",IFERROR(VALUE(LEFT(Tasks[[#This Row],[_Pred1Text]],MIN(FIND("F",Tasks[[#This Row],[_Pred1Text]]&amp;"F"),FIND("S",Tasks[[#This Row],[_Pred1Text]]&amp;"S"),FIND("+",Tasks[[#This Row],[_Pred1Text]]&amp;"+"),FIND("-",Tasks[[#This Row],[_Pred1Text]]&amp;"-"))-1)),""))</f>
        <v/>
      </c>
      <c r="CW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3" t="str">
        <f aca="false">IF(Tasks[[#This Row],[_Pred1Text]]="","",TRIM(MID(SUBSTITUTE(SUBSTITUTE(SUBSTITUTE(UPPER(Tasks[[#This Row],[_Predecessors]]),";",",")," ",""),",",REPT(" ",99)),100,99)))</f>
        <v/>
      </c>
      <c r="CZ42" s="43" t="str">
        <f aca="false">IF(Tasks[[#This Row],[_Pred2Text]]="","",IFERROR(VALUE(LEFT(Tasks[[#This Row],[_Pred2Text]],MIN(FIND("F",Tasks[[#This Row],[_Pred2Text]]&amp;"F"),FIND("S",Tasks[[#This Row],[_Pred2Text]]&amp;"S"),FIND("+",Tasks[[#This Row],[_Pred2Text]]&amp;"+"),FIND("-",Tasks[[#This Row],[_Pred2Text]]&amp;"-"))-1)),""))</f>
        <v/>
      </c>
      <c r="DA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3" t="str">
        <f aca="false">IF(Tasks[[#This Row],[_Pred2Text]]="","",TRIM(MID(SUBSTITUTE(SUBSTITUTE(SUBSTITUTE(UPPER(Tasks[[#This Row],[_Predecessors]]),";",",")," ",""),",",REPT(" ",99)),199,99)))</f>
        <v/>
      </c>
      <c r="DD42" s="43" t="str">
        <f aca="false">IF(Tasks[[#This Row],[_Pred3Text]]="","",IFERROR(VALUE(LEFT(Tasks[[#This Row],[_Pred3Text]],MIN(FIND("F",Tasks[[#This Row],[_Pred3Text]]&amp;"F"),FIND("S",Tasks[[#This Row],[_Pred3Text]]&amp;"S"),FIND("+",Tasks[[#This Row],[_Pred3Text]]&amp;"+"),FIND("-",Tasks[[#This Row],[_Pred3Text]]&amp;"-"))-1)),""))</f>
        <v/>
      </c>
      <c r="DE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3" t="str">
        <f aca="false">IF(Tasks[[#This Row],[_Pred3Text]]="","",TRIM(MID(SUBSTITUTE(SUBSTITUTE(SUBSTITUTE(UPPER(Tasks[[#This Row],[_Predecessors]]),";",",")," ",""),",",REPT(" ",99)),298,99)))</f>
        <v/>
      </c>
      <c r="DH42" s="43" t="str">
        <f aca="false">IF(Tasks[[#This Row],[_Pred4Text]]="","",IFERROR(VALUE(LEFT(Tasks[[#This Row],[_Pred4Text]],MIN(FIND("F",Tasks[[#This Row],[_Pred4Text]]&amp;"F"),FIND("S",Tasks[[#This Row],[_Pred4Text]]&amp;"S"),FIND("+",Tasks[[#This Row],[_Pred4Text]]&amp;"+"),FIND("-",Tasks[[#This Row],[_Pred4Text]]&amp;"-"))-1)),""))</f>
        <v/>
      </c>
      <c r="DI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3" t="str">
        <f aca="false">IF(OR(Tasks[[#This Row],[Task Name]]="",Tasks[[#This Row],[_Resources]]=""),"",TRIM(MID(SUBSTITUTE(Tasks[[#This Row],[_Resources]],",",REPT(" ",99)),1,99)))</f>
        <v/>
      </c>
      <c r="DL42" s="43" t="str">
        <f aca="false">IF(Tasks[[#This Row],[_Res1Text]]="","",TRIM(MID(SUBSTITUTE(Tasks[[#This Row],[_Resources]],",",REPT(" ",99)),100,99)))</f>
        <v/>
      </c>
      <c r="DM42" s="43" t="str">
        <f aca="false">IF(Tasks[[#This Row],[_Res2Text]]="","",TRIM(MID(SUBSTITUTE(Tasks[[#This Row],[_Resources]],",",REPT(" ",99)),199,99)))</f>
        <v/>
      </c>
      <c r="DN42" s="43" t="str">
        <f aca="false">IF(Tasks[[#This Row],[_Res3Text]]="","",TRIM(MID(SUBSTITUTE(Tasks[[#This Row],[_Resources]],",",REPT(" ",99)),298,99)))</f>
        <v/>
      </c>
      <c r="DO42" s="43" t="n">
        <f aca="false">IF(Tasks[[#This Row],[_Res1Text]]="",0,IFERROR(MATCH(TRIM(LEFT(Tasks[[#This Row],[_Res1Text]],FIND("[",Tasks[[#This Row],[_Res1Text]]&amp;"[")-1)),res_Name,0),IFERROR(MATCH(TRIM(LEFT(Tasks[[#This Row],[_Res1Text]],FIND("[",Tasks[[#This Row],[_Res1Text]]&amp;"[")-1)),res_Initials,0),0)))</f>
        <v>0</v>
      </c>
      <c r="DP42" s="43" t="n">
        <f aca="false">IF(Tasks[[#This Row],[_Res2Text]]="",0,IFERROR(MATCH(TRIM(LEFT(Tasks[[#This Row],[_Res2Text]],FIND("[",Tasks[[#This Row],[_Res2Text]]&amp;"[")-1)),res_Name,0),IFERROR(MATCH(TRIM(LEFT(Tasks[[#This Row],[_Res2Text]],FIND("[",Tasks[[#This Row],[_Res2Text]]&amp;"[")-1)),res_Initials,0),0)))</f>
        <v>0</v>
      </c>
      <c r="DQ42" s="43" t="n">
        <f aca="false">IF(Tasks[[#This Row],[_Res3Text]]="",0,IFERROR(MATCH(TRIM(LEFT(Tasks[[#This Row],[_Res3Text]],FIND("[",Tasks[[#This Row],[_Res3Text]]&amp;"[")-1)),res_Name,0),IFERROR(MATCH(TRIM(LEFT(Tasks[[#This Row],[_Res3Text]],FIND("[",Tasks[[#This Row],[_Res3Text]]&amp;"[")-1)),res_Initials,0),0)))</f>
        <v>0</v>
      </c>
      <c r="DR42" s="43" t="n">
        <f aca="false">IF(Tasks[[#This Row],[_Res4Text]]="",0,IFERROR(MATCH(TRIM(LEFT(Tasks[[#This Row],[_Res4Text]],FIND("[",Tasks[[#This Row],[_Res4Text]]&amp;"[")-1)),res_Name,0),IFERROR(MATCH(TRIM(LEFT(Tasks[[#This Row],[_Res4Text]],FIND("[",Tasks[[#This Row],[_Res4Text]]&amp;"[")-1)),res_Initials,0),0)))</f>
        <v>0</v>
      </c>
      <c r="DS42" s="43" t="str">
        <f aca="false">IF(Tasks[[#This Row],[_Res1Text]]="","",IF(Tasks[[#This Row],[_Res1Row]]&gt;0,INDEX(res_Name,Tasks[[#This Row],[_Res1Row]]),TRIM(LEFT(Tasks[[#This Row],[_Res1Text]],FIND("[",Tasks[[#This Row],[_Res1Text]]&amp;"[")-1))))</f>
        <v/>
      </c>
      <c r="DT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3" t="n">
        <f aca="false">IF(NOT(Tasks[[#This Row],[_IsLeaf]]=1),0,(Tasks[[#This Row],[_Resource1]]&lt;&gt;"")+(Tasks[[#This Row],[_Res2]]&lt;&gt;"")+(Tasks[[#This Row],[_Res3]]&lt;&gt;"")+(Tasks[[#This Row],[_Res4]]&lt;&gt;""))</f>
        <v>0</v>
      </c>
      <c r="DV42" s="43" t="str">
        <f aca="false">IF(Tasks[[#This Row],[_Res2Text]]="","",IF(Tasks[[#This Row],[_Res2Row]]&gt;0,INDEX(res_Name,Tasks[[#This Row],[_Res2Row]]),TRIM(LEFT(Tasks[[#This Row],[_Res2Text]],FIND("[",Tasks[[#This Row],[_Res2Text]]&amp;"[")-1))))</f>
        <v/>
      </c>
      <c r="DW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3" t="n">
        <f aca="false">IF(OR(NOT(Tasks[[#This Row],[_IsLeaf]]=1),Tasks[[#This Row],[_Res2Row]]=0),0,N(Tasks[[#This Row],[_Days]])*HoursPerDay*IF(Tasks[[#This Row],[_Res2Units]]="",DefaultUnits,Tasks[[#This Row],[_Res2Units]]))</f>
        <v>0</v>
      </c>
      <c r="DY42" s="43" t="n">
        <f aca="false">IF(AND(AND(Tasks[[#This Row],[_IsLeaf]]=1,Tasks[[#This Row],[_LeafTotalWork]]&gt;0),Tasks[[#This Row],[_Res2Work]]&gt;0),Tasks[[#This Row],[_Res2Work]]/(Tasks[[#This Row],[_FinishWorkday]]-Tasks[[#This Row],[_StartWorkday]]+1),0)</f>
        <v>0</v>
      </c>
      <c r="DZ42" s="43" t="n">
        <f aca="false">Tasks[[#This Row],[_Res2WorkPerWD]]*MAX(0,Tasks[[#This Row],[_StartWorkday]]-1)</f>
        <v>0</v>
      </c>
      <c r="EA42" s="43" t="n">
        <f aca="false">Tasks[[#This Row],[_Res2Work]]*Tasks[[#This Row],[_LeafProgress]]</f>
        <v>0</v>
      </c>
      <c r="EB42" s="43" t="str">
        <f aca="false">IF(Tasks[[#This Row],[_Res3Text]]="","",IF(Tasks[[#This Row],[_Res3Row]]&gt;0,INDEX(res_Name,Tasks[[#This Row],[_Res3Row]]),TRIM(LEFT(Tasks[[#This Row],[_Res3Text]],FIND("[",Tasks[[#This Row],[_Res3Text]]&amp;"[")-1))))</f>
        <v/>
      </c>
      <c r="EC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3" t="n">
        <f aca="false">IF(OR(NOT(Tasks[[#This Row],[_IsLeaf]]=1),Tasks[[#This Row],[_Res3Row]]=0),0,N(Tasks[[#This Row],[_Days]])*HoursPerDay*IF(Tasks[[#This Row],[_Res3Units]]="",DefaultUnits,Tasks[[#This Row],[_Res3Units]]))</f>
        <v>0</v>
      </c>
      <c r="EE42" s="43" t="n">
        <f aca="false">IF(AND(AND(Tasks[[#This Row],[_IsLeaf]]=1,Tasks[[#This Row],[_LeafTotalWork]]&gt;0),Tasks[[#This Row],[_Res3Work]]&gt;0),Tasks[[#This Row],[_Res3Work]]/(Tasks[[#This Row],[_FinishWorkday]]-Tasks[[#This Row],[_StartWorkday]]+1),0)</f>
        <v>0</v>
      </c>
      <c r="EF42" s="43" t="n">
        <f aca="false">Tasks[[#This Row],[_Res3WorkPerWD]]*MAX(0,Tasks[[#This Row],[_StartWorkday]]-1)</f>
        <v>0</v>
      </c>
      <c r="EG42" s="43" t="n">
        <f aca="false">Tasks[[#This Row],[_Res3Work]]*Tasks[[#This Row],[_LeafProgress]]</f>
        <v>0</v>
      </c>
      <c r="EH42" s="43" t="str">
        <f aca="false">IF(Tasks[[#This Row],[_Res4Text]]="","",IF(Tasks[[#This Row],[_Res4Row]]&gt;0,INDEX(res_Name,Tasks[[#This Row],[_Res4Row]]),TRIM(LEFT(Tasks[[#This Row],[_Res4Text]],FIND("[",Tasks[[#This Row],[_Res4Text]]&amp;"[")-1))))</f>
        <v/>
      </c>
      <c r="EI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3" t="n">
        <f aca="false">IF(OR(NOT(Tasks[[#This Row],[_IsLeaf]]=1),Tasks[[#This Row],[_Res4Row]]=0),0,N(Tasks[[#This Row],[_Days]])*HoursPerDay*IF(Tasks[[#This Row],[_Res4Units]]="",DefaultUnits,Tasks[[#This Row],[_Res4Units]]))</f>
        <v>0</v>
      </c>
      <c r="EK42" s="43" t="n">
        <f aca="false">IF(AND(AND(Tasks[[#This Row],[_IsLeaf]]=1,Tasks[[#This Row],[_LeafTotalWork]]&gt;0),Tasks[[#This Row],[_Res4Work]]&gt;0),Tasks[[#This Row],[_Res4Work]]/(Tasks[[#This Row],[_FinishWorkday]]-Tasks[[#This Row],[_StartWorkday]]+1),0)</f>
        <v>0</v>
      </c>
      <c r="EL42" s="43" t="n">
        <f aca="false">Tasks[[#This Row],[_Res4WorkPerWD]]*MAX(0,Tasks[[#This Row],[_StartWorkday]]-1)</f>
        <v>0</v>
      </c>
      <c r="EM42" s="43" t="n">
        <f aca="false">Tasks[[#This Row],[_Res4Work]]*Tasks[[#This Row],[_LeafProgress]]</f>
        <v>0</v>
      </c>
      <c r="EN42" s="43" t="n">
        <f aca="false">IF(ISNUMBER(Tasks[[#This Row],[% Complete]]),Tasks[[#This Row],[% Complete]],IF(Tasks[[#This Row],[Stage]]="",0,IFERROR(INDEX(stg_Pct,MATCH(Tasks[[#This Row],[Stage]],stg_Name,0)),0)))</f>
        <v>0</v>
      </c>
      <c r="EO42" s="43" t="n">
        <f aca="false">IF(NOT(Tasks[[#This Row],[_IsLeaf]]=1),0,IF(N(Tasks[[#This Row],[Actual Finish]])&gt;0,1,MIN(1,Tasks[[#This Row],[_Pct]])))</f>
        <v>0</v>
      </c>
      <c r="EP42" s="43" t="n">
        <f aca="false">IF(OR(NOT(Tasks[[#This Row],[_IsLeaf]]=1),Tasks[[#This Row],[_Res1Row]]=0),0,N(Tasks[[#This Row],[_Days]])*HoursPerDay*IF(Tasks[[#This Row],[_Units1]]="",DefaultUnits,Tasks[[#This Row],[_Units1]]))</f>
        <v>0</v>
      </c>
      <c r="EQ42" s="43" t="n">
        <f aca="false">Tasks[[#This Row],[_LeafWork]]+Tasks[[#This Row],[_Res2Work]]+Tasks[[#This Row],[_Res3Work]]+Tasks[[#This Row],[_Res4Work]]</f>
        <v>0</v>
      </c>
      <c r="ER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3" t="n">
        <f aca="false">IF(NOT(Tasks[[#This Row],[_IsLeaf]]=1),0,MAX(_xlfn.MAXIFS(Tasks[_Row],Tasks[_Pred1UID],Tasks[[#This Row],[UID]]),_xlfn.MAXIFS(Tasks[_Row],Tasks[_Pred2UID],Tasks[[#This Row],[UID]]),_xlfn.MAXIFS(Tasks[_Row],Tasks[_Pred3UID],Tasks[[#This Row],[UID]]),_xlfn.MAXIFS(Tasks[_Row],Tasks[_Pred4UID],Tasks[[#This Row],[UID]])))</f>
        <v>0</v>
      </c>
      <c r="FA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91" t="str">
        <f aca="false">IF(NOT(Tasks[[#This Row],[_IsLeaf]]=1),"",IF(N(Tasks[[#This Row],[_Days]])&lt;=0,Tasks[[#This Row],[_LeafLateFinish]],WORKDAY.INTL(Tasks[[#This Row],[_LeafLateFinish]],-(Tasks[[#This Row],[_Days]]-1),WorkWeek,Holidays)))</f>
        <v/>
      </c>
      <c r="FD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2" s="90" t="b">
        <f aca="false">AND(Tasks[[#This Row],[_IsLeaf]]=1,Tasks[[#This Row],[_LeafProgress]]&lt;1,N(Tasks[[#This Row],[_LeafTotalSlack]])&lt;=CriticalSlackDays)</f>
        <v>0</v>
      </c>
      <c r="FF42" s="43" t="n">
        <f aca="false">IF(AND(Tasks[[#This Row],[_IsLeaf]]=1,Tasks[[#This Row],[_ConstraintCode]]=1,Tasks[[#This Row],[Mode]]&lt;&gt;"Manual",N(Tasks[[#This Row],[Actual Start]])=0),MAX(0,N(Tasks[[#This Row],[Free Slack]])),0)</f>
        <v>0</v>
      </c>
      <c r="FG42" s="91" t="str">
        <f aca="false">IF(NOT(Tasks[[#This Row],[_IsLeaf]]=1),"",IF(Tasks[[#This Row],[_AlapShift]]=0,Tasks[[#This Row],[_LeafCalcStart]],WORKDAY.INTL(Tasks[[#This Row],[_LeafCalcStart]],Tasks[[#This Row],[_AlapShift]],WorkWeek,Holidays)))</f>
        <v/>
      </c>
      <c r="FH42" s="91" t="str">
        <f aca="false">IF(NOT(Tasks[[#This Row],[_IsLeaf]]=1),"",IF(Tasks[[#This Row],[_AlapShift]]=0,Tasks[[#This Row],[_LeafCalcFinish]],WORKDAY.INTL(Tasks[[#This Row],[_LeafCalcFinish]],Tasks[[#This Row],[_AlapShift]],WorkWeek,Holidays)))</f>
        <v/>
      </c>
      <c r="FI42" s="91" t="str">
        <f aca="false">IF(NOT(Tasks[[#This Row],[_IsLeaf]]=1),"",IF(Tasks[[#This Row],[_AlapShift]]=0,Tasks[[#This Row],[_LeafFcstStart]],WORKDAY.INTL(Tasks[[#This Row],[_LeafFcstStart]],Tasks[[#This Row],[_AlapShift]],WorkWeek,Holidays)))</f>
        <v/>
      </c>
      <c r="FJ42" s="91" t="str">
        <f aca="false">IF(NOT(Tasks[[#This Row],[_IsLeaf]]=1),"",IF(Tasks[[#This Row],[_AlapShift]]=0,Tasks[[#This Row],[_LeafFcstFinish]],WORKDAY.INTL(Tasks[[#This Row],[_LeafFcstFinish]],Tasks[[#This Row],[_AlapShift]],WorkWeek,Holidays)))</f>
        <v/>
      </c>
      <c r="FK42" s="91" t="str">
        <f aca="false">IF(Tasks[[#This Row],[Task Name]]="","",IF(Tasks[[#This Row],[_IsSummary]],MIN(INDEX(Tasks[_ShownCalcStart],Tasks[[#This Row],[_Row]]+1):INDEX(Tasks[_ShownCalcStart],Tasks[[#This Row],[_Row]]+Tasks[[#This Row],[_Descendants]])),Tasks[[#This Row],[_ShownCalcStart]]))</f>
        <v/>
      </c>
      <c r="FL42" s="91" t="str">
        <f aca="false">IF(Tasks[[#This Row],[Task Name]]="","",IF(Tasks[[#This Row],[_IsSummary]],MAX(INDEX(Tasks[_ShownCalcFinish],Tasks[[#This Row],[_Row]]+1):INDEX(Tasks[_ShownCalcFinish],Tasks[[#This Row],[_Row]]+Tasks[[#This Row],[_Descendants]])),Tasks[[#This Row],[_ShownCalcFinish]]))</f>
        <v/>
      </c>
      <c r="FM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2" s="43" t="n">
        <f aca="false">IF(AND(Tasks[[#This Row],[_IsLeaf]]=1,Tasks[[#This Row],[_LeafTotalWork]]&gt;0),NETWORKDAYS.INTL(ProjectStart,Tasks[[#This Row],[_ShownFcstStart]],WorkWeek,Holidays),0)</f>
        <v>0</v>
      </c>
      <c r="FZ42" s="43" t="n">
        <f aca="false">IF(AND(Tasks[[#This Row],[_IsLeaf]]=1,Tasks[[#This Row],[_LeafTotalWork]]&gt;0),MAX(Tasks[[#This Row],[_StartWorkday]],NETWORKDAYS.INTL(ProjectStart,Tasks[[#This Row],[_ShownFcstFinish]],WorkWeek,Holidays)),0)</f>
        <v>0</v>
      </c>
      <c r="GA42" s="43" t="n">
        <f aca="false">IF(AND(Tasks[[#This Row],[_IsLeaf]]=1,Tasks[[#This Row],[_LeafTotalWork]]&gt;0),Tasks[[#This Row],[_LeafWork]]/(Tasks[[#This Row],[_FinishWorkday]]-Tasks[[#This Row],[_StartWorkday]]+1),0)</f>
        <v>0</v>
      </c>
      <c r="GB42" s="43" t="n">
        <f aca="false">Tasks[[#This Row],[_WorkPerWorkday]]*(Tasks[[#This Row],[_StartWorkday]]-1)</f>
        <v>-0</v>
      </c>
      <c r="GC42" s="43" t="n">
        <f aca="false">IF(Tasks[[#This Row],[_IsLeaf]]=1,MAX(N(Tasks[[#This Row],[_Days]]),0.1),0)</f>
        <v>0</v>
      </c>
      <c r="GD42" s="43" t="n">
        <f aca="false">Tasks[[#This Row],[_WeightDur]]*Tasks[[#This Row],[_LeafProgress]]</f>
        <v>0</v>
      </c>
      <c r="GE42" s="43" t="n">
        <f aca="false">Tasks[[#This Row],[_WeightDur]]*Tasks[[#This Row],[_PlannedPct]]</f>
        <v>0</v>
      </c>
      <c r="GF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3" t="str">
        <f aca="false">IF(AND(Tasks[[#This Row],[_IsLeaf]]=1,N(Tasks[[#This Row],[_Days]])=0,Tasks[[#This Row],[_LeafProgress]]&lt;1),Tasks[[#This Row],[_ShownFcstFinish]]+Tasks[[#This Row],[_Row]]/100000,"")</f>
        <v/>
      </c>
      <c r="GH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2" s="43" t="str">
        <f aca="false">IF(Tasks[[#This Row],[Task Name]]="","",LEFT(Tasks[[#This Row],[WBS]],FIND(".",Tasks[[#This Row],[WBS]]&amp;".")-1))</f>
        <v/>
      </c>
      <c r="GJ42" s="43" t="str">
        <f aca="false">IF(AND(Tasks[[#This Row],[Task Name]]&lt;&gt;"",Tasks[[#This Row],[_Level]]=1),Tasks[[#This Row],[_Row]],"")</f>
        <v/>
      </c>
      <c r="GK42" s="43" t="str">
        <f aca="false">IF(AND(Tasks[[#This Row],[_IsLeaf]]=1,N(Tasks[[#This Row],[_Days]])=0),Tasks[[#This Row],[Planned Finish]]+Tasks[[#This Row],[_Row]]/100000,"")</f>
        <v/>
      </c>
      <c r="GL42" s="43" t="str">
        <f aca="false">IF(AND(Tasks[[#This Row],[_IsLeaf]]=1,Tasks[[#This Row],[_LeafProgress]]&lt;1,OR(N(Tasks[[#This Row],[Finish Var]])&gt;0,Tasks[[#This Row],[Status]]="Late Start")),MAX(0,Tasks[[#This Row],[Finish Var]])+1-Tasks[[#This Row],[_Row]]/1000000,"")</f>
        <v/>
      </c>
      <c r="GM42" s="43" t="str">
        <f aca="false">IF(AND(Tasks[[#This Row],[_IsLeaf]]=1,N(Tasks[[#This Row],[Actual Start]])=0,Tasks[[#This Row],[_ShownFcstStart]]&gt;=StatusDate,Tasks[[#This Row],[_ShownFcstStart]]&lt;=LookaheadEnd),Tasks[[#This Row],[_ShownFcstStart]]+Tasks[[#This Row],[_Row]]/100000,"")</f>
        <v/>
      </c>
      <c r="GN42" s="43" t="str">
        <f aca="false">IF(AND(Tasks[[#This Row],[_IsLeaf]]=1,Tasks[[#This Row],[_LeafProgress]]&lt;1,Tasks[[#This Row],[_ShownFcstFinish]]&gt;=StatusDate,Tasks[[#This Row],[_ShownFcstFinish]]&lt;=LookaheadEnd),Tasks[[#This Row],[_ShownFcstFinish]]+Tasks[[#This Row],[_Row]]/100000,"")</f>
        <v/>
      </c>
      <c r="GO42" s="43" t="str">
        <f aca="false">IF(Tasks[[#This Row],[_LeafCritical]],Tasks[[#This Row],[_ShownFcstStart]]+Tasks[[#This Row],[_Row]]/100000,"")</f>
        <v/>
      </c>
      <c r="GP42" s="43" t="n">
        <f aca="false">Tasks[[#This Row],[_LeafWork]]*Tasks[[#This Row],[_LeafProgress]]</f>
        <v>0</v>
      </c>
      <c r="GQ42" s="91" t="str">
        <f aca="false">IF(AND(Tasks[[#This Row],[_IsLeaf]]=1,Tasks[[#This Row],[_LeafProgress]]&gt;=1),IF(N(Tasks[[#This Row],[Actual Finish]])&gt;0,Tasks[[#This Row],[Actual Finish]],Tasks[[#This Row],[_ShownFcstFinish]]),"")</f>
        <v/>
      </c>
      <c r="GR42" s="43" t="n">
        <f aca="false">IF(Tasks[[#This Row],[_IsLeaf]]=1,N(Tasks[[#This Row],[Story Points]]),0)</f>
        <v>0</v>
      </c>
      <c r="GS42" s="43" t="str">
        <f aca="false">""</f>
        <v/>
      </c>
      <c r="GT42" s="90" t="b">
        <f aca="false">IF(Tasks[[#This Row],[Task Name]]="",FALSE(),AND(Tasks[[#This Row],[_IsLeaf]]=1,N(Tasks[[#This Row],[_Days]])=0))</f>
        <v>0</v>
      </c>
      <c r="GU42" s="91" t="n">
        <f aca="false">IF(Tasks[[#This Row],[Task Name]]="",0,IF(AND(Tasks[[#This Row],[_IsLeaf]]=1,NOT(Tasks[[#This Row],[_IsMilestone]]),N(Tasks[[#This Row],[Progress]])&gt;0),Tasks[[#This Row],[Start]],0))</f>
        <v>0</v>
      </c>
      <c r="GV42" s="91" t="n">
        <f aca="false">IF(Tasks[[#This Row],[_DoneFrom]]=0,0,IF(Tasks[[#This Row],[Progress]]&gt;=1,Tasks[[#This Row],[Finish]],MAX(Tasks[[#This Row],[_DoneFrom]],Tasks[[#This Row],[Start]]+ROUND((Tasks[[#This Row],[Finish]]-Tasks[[#This Row],[Start]]+1)*Tasks[[#This Row],[Progress]],0)-1)))</f>
        <v>0</v>
      </c>
      <c r="GW42" s="91" t="n">
        <f aca="false">IF(Tasks[[#This Row],[Task Name]]="",0,IF(OR(NOT(Tasks[[#This Row],[_IsLeaf]]=1),Tasks[[#This Row],[_IsMilestone]],N(Tasks[[#This Row],[Progress]])&gt;=1),0,IF(Tasks[[#This Row],[_DoneTo]]&gt;0,Tasks[[#This Row],[_DoneTo]]+1,Tasks[[#This Row],[Start]])))</f>
        <v>0</v>
      </c>
      <c r="GX42" s="91" t="n">
        <f aca="false">IF(Tasks[[#This Row],[_RemFrom]]=0,0,Tasks[[#This Row],[Finish]])</f>
        <v>0</v>
      </c>
      <c r="GY42" s="90" t="b">
        <f aca="false">IF(Tasks[[#This Row],[Task Name]]="",FALSE(),OR(NOT(BaselineSet),N(Tasks[[#This Row],[Baseline Start]])&gt;0))</f>
        <v>0</v>
      </c>
      <c r="GZ4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92" t="str">
        <f aca="false">IF(Tasks[[#This Row],[_IsLeaf]]=1,Tasks[[#This Row],[_Row]],"")</f>
        <v/>
      </c>
      <c r="HD42" s="92" t="str">
        <f aca="false">IFERROR(INDEX(Tasks[UID],SMALL(Tasks[_PickKey],Tasks[[#This Row],[_Row]]))&amp;" "&amp;INDEX(Tasks[Task Name],SMALL(Tasks[_PickKey],Tasks[[#This Row],[_Row]])),"")</f>
        <v/>
      </c>
      <c r="HE42" s="43" t="str">
        <f aca="false">IF(Tasks[[#This Row],[Task Name]]="","",IF(Tasks[[#This Row],[_IsSummary]],NETWORKDAYS.INTL(Tasks[[#This Row],[Start]],Tasks[[#This Row],[Finish]],WorkWeek,Holidays),N(Tasks[[#This Row],[_Days]])))</f>
        <v/>
      </c>
      <c r="HF42" s="43" t="n">
        <f aca="false">IF(Tasks[[#This Row],[Expected]]="",0,((Tasks[[#This Row],[Pessimistic]]-Tasks[[#This Row],[Optimistic]])/6)^2)</f>
        <v>0</v>
      </c>
      <c r="HG42" s="43" t="n">
        <f aca="false">IF(Tasks[[#This Row],[Expected]]="",0,Tasks[[#This Row],[Expected]]-N(Tasks[[#This Row],[_Days]]))</f>
        <v>0</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4"/>
      <c r="U43" s="23"/>
      <c r="V43" s="84"/>
      <c r="W43" s="23"/>
      <c r="X43" s="84"/>
      <c r="Y43" s="23"/>
      <c r="Z43" s="84"/>
      <c r="AA43" s="23"/>
      <c r="AB43" s="23"/>
      <c r="AC43" s="7"/>
      <c r="AD43" s="7"/>
      <c r="AE43" s="63" t="str">
        <f aca="false">IF(Tasks[[#This Row],[Task Name]]="","",IF(Tasks[[#This Row],[_IsSummary]],MIN(INDEX(Tasks[_ShownFcstStart],Tasks[[#This Row],[_Row]]+1):INDEX(Tasks[_ShownFcstStart],Tasks[[#This Row],[_Row]]+Tasks[[#This Row],[_Descendants]])),Tasks[[#This Row],[_ShownFcstStart]]))</f>
        <v/>
      </c>
      <c r="AF43" s="63"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3" s="7"/>
      <c r="AK43" s="22"/>
      <c r="AL43" s="23"/>
      <c r="AM43" s="7"/>
      <c r="AN43" s="47"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3" t="str">
        <f aca="false">IF(Tasks[[#This Row],[Task Name]]="","",IF(N(Tasks[[#This Row],[Baseline Start]])&gt;0,Tasks[[#This Row],[Baseline Start]],Tasks[[#This Row],[_CalcStart]]))</f>
        <v/>
      </c>
      <c r="AR43" s="63" t="str">
        <f aca="false">IF(Tasks[[#This Row],[Task Name]]="","",IF(N(Tasks[[#This Row],[Baseline Finish]])&gt;0,Tasks[[#This Row],[Baseline Finish]],Tasks[[#This Row],[_CalcFinish]]))</f>
        <v/>
      </c>
      <c r="AS43" s="47" t="str">
        <f aca="false">IF(Tasks[[#This Row],[Task Name]]="","",IF(Tasks[[#This Row],[Start]]&gt;=Tasks[[#This Row],[Planned Start]],NETWORKDAYS.INTL(Tasks[[#This Row],[Planned Start]],Tasks[[#This Row],[Start]],WorkWeek,Holidays)-1,1-NETWORKDAYS.INTL(Tasks[[#This Row],[Start]],Tasks[[#This Row],[Planned Start]],WorkWeek,Holidays)))</f>
        <v/>
      </c>
      <c r="AT43" s="63" t="str">
        <f aca="false">IF(Tasks[[#This Row],[Task Name]]="","",IF(Tasks[[#This Row],[_IsSummary]],MIN(INDEX(Tasks[_LeafLateStart],Tasks[[#This Row],[_Row]]+1):INDEX(Tasks[_LeafLateStart],Tasks[[#This Row],[_Row]]+Tasks[[#This Row],[_Descendants]])),Tasks[[#This Row],[_LeafLateStart]]))</f>
        <v/>
      </c>
      <c r="AU43" s="63" t="str">
        <f aca="false">IF(Tasks[[#This Row],[Task Name]]="","",IF(Tasks[[#This Row],[_IsSummary]],MAX(INDEX(Tasks[_LeafLateFinish],Tasks[[#This Row],[_Row]]+1):INDEX(Tasks[_LeafLateFinish],Tasks[[#This Row],[_Row]]+Tasks[[#This Row],[_Descendants]])),Tasks[[#This Row],[_LeafLateFinish]]))</f>
        <v/>
      </c>
      <c r="AV43" s="47"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5"/>
      <c r="BA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6"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7"/>
      <c r="BJ43" s="22"/>
      <c r="BK43" s="47" t="str">
        <f aca="false">IF(OR(Tasks[[#This Row],[Task Name]]="",Tasks[[#This Row],[Baseline Duration]]=""),"",Tasks[[#This Row],[_SpanDays]]-N(Tasks[[#This Row],[Baseline Duration]]))</f>
        <v/>
      </c>
      <c r="BL43" s="86" t="str">
        <f aca="false">IF(OR(Tasks[[#This Row],[Task Name]]="",Tasks[[#This Row],[Baseline Work]]=""),"",Tasks[[#This Row],[Work]]-N(Tasks[[#This Row],[Baseline Work]]))</f>
        <v/>
      </c>
      <c r="BM43" s="63" t="str">
        <f aca="false">IF(Tasks[[#This Row],[Task Name]]="","",IF(OR(TakeBaseline="Yes",N(Tasks[[#This Row],[Baseline Start]])=0),Tasks[[#This Row],[Start]],Tasks[[#This Row],[Baseline Start]]))</f>
        <v/>
      </c>
      <c r="BN43" s="63" t="str">
        <f aca="false">IF(Tasks[[#This Row],[Task Name]]="","",IF(OR(TakeBaseline="Yes",N(Tasks[[#This Row],[Baseline Finish]])=0),Tasks[[#This Row],[Finish]],Tasks[[#This Row],[Baseline Finish]]))</f>
        <v/>
      </c>
      <c r="BO43" s="21" t="str">
        <f aca="false">IF(Tasks[[#This Row],[Task Name]]="","",IF(OR(TakeBaseline="Yes",N(Tasks[[#This Row],[Baseline Duration]])=0),Tasks[[#This Row],[_SpanDays]],Tasks[[#This Row],[Baseline Duration]]))</f>
        <v/>
      </c>
      <c r="BP43" s="86" t="str">
        <f aca="false">IF(Tasks[[#This Row],[Task Name]]="","",IF(OR(TakeBaseline="Yes",N(Tasks[[#This Row],[Baseline Work]])=0),Tasks[[#This Row],[Work]],Tasks[[#This Row],[Baseline Work]]))</f>
        <v/>
      </c>
      <c r="BQ43" s="7"/>
      <c r="BR43" s="7"/>
      <c r="BS43" s="22"/>
      <c r="BT43" s="88"/>
      <c r="BU43" s="23"/>
      <c r="BV43" s="23"/>
      <c r="BW43" s="23"/>
      <c r="BX43" s="89" t="str">
        <f aca="false">IF(AND(Tasks[[#This Row],[_IsLeaf]]=1,ISNUMBER(Tasks[[#This Row],[Optimistic]]),ISNUMBER(Tasks[[#This Row],[Pessimistic]])),ROUND((Tasks[[#This Row],[Optimistic]]+4*N(Tasks[[#This Row],[_Days]])+Tasks[[#This Row],[Pessimistic]])/6,1),"")</f>
        <v/>
      </c>
      <c r="BY43" s="87"/>
      <c r="BZ43" s="87"/>
      <c r="CA43" s="22"/>
      <c r="CB43" s="43" t="str">
        <f aca="false">IF(Tasks[[#This Row],[Task Name]]="","",MAX(1,N(Tasks[[#This Row],[Level]])))</f>
        <v/>
      </c>
      <c r="CC43" s="43" t="n">
        <f aca="false">ROW()-ROW(Tasks[[#Headers],[ID]])</f>
        <v>38</v>
      </c>
      <c r="CD43" s="43" t="n">
        <f aca="false">IF(OR(Tasks[[#This Row],[Task Name]]="",Tasks[[#This Row],[_Level]]&lt;=1),0,IFERROR(LOOKUP(2,1/(Tasks[[#Headers],[_Level]]:Tasks[[#This Row],[_Level]]=Tasks[[#This Row],[_Level]]-1),ROW(Tasks[[#Headers],[_Level]]:Tasks[[#This Row],[_Level]])),0))</f>
        <v>0</v>
      </c>
      <c r="CE43" s="43" t="n">
        <f aca="false">IFERROR(N(INDEX(Tasks[_Level],Tasks[[#This Row],[_Row]]+1)),0)</f>
        <v>0</v>
      </c>
      <c r="CF43" s="90" t="b">
        <f aca="false">AND(Tasks[[#This Row],[Task Name]]&lt;&gt;"",Tasks[[#This Row],[_NextLevel]]&gt;Tasks[[#This Row],[_Level]])</f>
        <v>0</v>
      </c>
      <c r="CG43" s="43" t="n">
        <f aca="false">IF(Tasks[[#This Row],[_IsSummary]],COUNTIF(Tasks[WBS],Tasks[[#This Row],[WBS]]&amp;".*"),0)</f>
        <v>0</v>
      </c>
      <c r="CH43" s="43" t="n">
        <f aca="false">IF(AND(Tasks[[#This Row],[Task Name]]&lt;&gt;"",NOT(Tasks[[#This Row],[_IsSummary]])),1,0)</f>
        <v>0</v>
      </c>
      <c r="CI43" s="43" t="n">
        <f aca="false">IF(N(Tasks[[#This Row],[_Pred1UID]])=0,0,IFERROR(MATCH(Tasks[[#This Row],[_Pred1UID]],Tasks[UID],0),-1))</f>
        <v>0</v>
      </c>
      <c r="CJ43" s="43" t="n">
        <f aca="false">IF(N(Tasks[[#This Row],[_Pred2UID]])=0,0,IFERROR(MATCH(Tasks[[#This Row],[_Pred2UID]],Tasks[UID],0),-1))</f>
        <v>0</v>
      </c>
      <c r="CK43" s="43" t="n">
        <f aca="false">IF(N(Tasks[[#This Row],[_Pred3UID]])=0,0,IFERROR(MATCH(Tasks[[#This Row],[_Pred3UID]],Tasks[UID],0),-1))</f>
        <v>0</v>
      </c>
      <c r="CL43" s="43" t="n">
        <f aca="false">IF(N(Tasks[[#This Row],[_Pred4UID]])=0,0,IFERROR(MATCH(Tasks[[#This Row],[_Pred4UID]],Tasks[UID],0),-1))</f>
        <v>0</v>
      </c>
      <c r="CM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3" s="91" t="n">
        <f aca="false">IF(OR(Tasks[[#This Row],[_ConstraintCode]]=2,Tasks[[#This Row],[_ConstraintCode]]=3,Tasks[[#This Row],[_ConstraintCode]]=4,Tasks[[#This Row],[_ConstraintCode]]=6),Tasks[[#This Row],[_ConstraintStart]],0)</f>
        <v>0</v>
      </c>
      <c r="CP43" s="91" t="n">
        <f aca="false">IF(OR(Tasks[[#This Row],[_ConstraintCode]]=2,Tasks[[#This Row],[_ConstraintCode]]=3,Tasks[[#This Row],[_ConstraintCode]]=5,Tasks[[#This Row],[_ConstraintCode]]=7),Tasks[[#This Row],[_ConstraintStart]],2958465)</f>
        <v>2958465</v>
      </c>
      <c r="CQ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91" t="str">
        <f aca="false">IF(NOT(Tasks[[#This Row],[_IsLeaf]]=1),"",IF(N(Tasks[[#This Row],[_Days]])&lt;=0,Tasks[[#This Row],[_LeafCalcStart]],WORKDAY.INTL(Tasks[[#This Row],[_LeafCalcStart]],Tasks[[#This Row],[_Days]]-1,WorkWeek,Holidays)))</f>
        <v/>
      </c>
      <c r="CS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3" t="str">
        <f aca="false">IF(Tasks[[#This Row],[_Predecessors]]="","",TRIM(MID(SUBSTITUTE(SUBSTITUTE(SUBSTITUTE(UPPER(Tasks[[#This Row],[_Predecessors]]),";",",")," ",""),",",REPT(" ",99)),1,99)))</f>
        <v/>
      </c>
      <c r="CV43" s="43" t="str">
        <f aca="false">IF(Tasks[[#This Row],[_Pred1Text]]="","",IFERROR(VALUE(LEFT(Tasks[[#This Row],[_Pred1Text]],MIN(FIND("F",Tasks[[#This Row],[_Pred1Text]]&amp;"F"),FIND("S",Tasks[[#This Row],[_Pred1Text]]&amp;"S"),FIND("+",Tasks[[#This Row],[_Pred1Text]]&amp;"+"),FIND("-",Tasks[[#This Row],[_Pred1Text]]&amp;"-"))-1)),""))</f>
        <v/>
      </c>
      <c r="CW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3" t="str">
        <f aca="false">IF(Tasks[[#This Row],[_Pred1Text]]="","",TRIM(MID(SUBSTITUTE(SUBSTITUTE(SUBSTITUTE(UPPER(Tasks[[#This Row],[_Predecessors]]),";",",")," ",""),",",REPT(" ",99)),100,99)))</f>
        <v/>
      </c>
      <c r="CZ43" s="43" t="str">
        <f aca="false">IF(Tasks[[#This Row],[_Pred2Text]]="","",IFERROR(VALUE(LEFT(Tasks[[#This Row],[_Pred2Text]],MIN(FIND("F",Tasks[[#This Row],[_Pred2Text]]&amp;"F"),FIND("S",Tasks[[#This Row],[_Pred2Text]]&amp;"S"),FIND("+",Tasks[[#This Row],[_Pred2Text]]&amp;"+"),FIND("-",Tasks[[#This Row],[_Pred2Text]]&amp;"-"))-1)),""))</f>
        <v/>
      </c>
      <c r="DA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3" t="str">
        <f aca="false">IF(Tasks[[#This Row],[_Pred2Text]]="","",TRIM(MID(SUBSTITUTE(SUBSTITUTE(SUBSTITUTE(UPPER(Tasks[[#This Row],[_Predecessors]]),";",",")," ",""),",",REPT(" ",99)),199,99)))</f>
        <v/>
      </c>
      <c r="DD43" s="43" t="str">
        <f aca="false">IF(Tasks[[#This Row],[_Pred3Text]]="","",IFERROR(VALUE(LEFT(Tasks[[#This Row],[_Pred3Text]],MIN(FIND("F",Tasks[[#This Row],[_Pred3Text]]&amp;"F"),FIND("S",Tasks[[#This Row],[_Pred3Text]]&amp;"S"),FIND("+",Tasks[[#This Row],[_Pred3Text]]&amp;"+"),FIND("-",Tasks[[#This Row],[_Pred3Text]]&amp;"-"))-1)),""))</f>
        <v/>
      </c>
      <c r="DE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3" t="str">
        <f aca="false">IF(Tasks[[#This Row],[_Pred3Text]]="","",TRIM(MID(SUBSTITUTE(SUBSTITUTE(SUBSTITUTE(UPPER(Tasks[[#This Row],[_Predecessors]]),";",",")," ",""),",",REPT(" ",99)),298,99)))</f>
        <v/>
      </c>
      <c r="DH43" s="43" t="str">
        <f aca="false">IF(Tasks[[#This Row],[_Pred4Text]]="","",IFERROR(VALUE(LEFT(Tasks[[#This Row],[_Pred4Text]],MIN(FIND("F",Tasks[[#This Row],[_Pred4Text]]&amp;"F"),FIND("S",Tasks[[#This Row],[_Pred4Text]]&amp;"S"),FIND("+",Tasks[[#This Row],[_Pred4Text]]&amp;"+"),FIND("-",Tasks[[#This Row],[_Pred4Text]]&amp;"-"))-1)),""))</f>
        <v/>
      </c>
      <c r="DI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3" t="str">
        <f aca="false">IF(OR(Tasks[[#This Row],[Task Name]]="",Tasks[[#This Row],[_Resources]]=""),"",TRIM(MID(SUBSTITUTE(Tasks[[#This Row],[_Resources]],",",REPT(" ",99)),1,99)))</f>
        <v/>
      </c>
      <c r="DL43" s="43" t="str">
        <f aca="false">IF(Tasks[[#This Row],[_Res1Text]]="","",TRIM(MID(SUBSTITUTE(Tasks[[#This Row],[_Resources]],",",REPT(" ",99)),100,99)))</f>
        <v/>
      </c>
      <c r="DM43" s="43" t="str">
        <f aca="false">IF(Tasks[[#This Row],[_Res2Text]]="","",TRIM(MID(SUBSTITUTE(Tasks[[#This Row],[_Resources]],",",REPT(" ",99)),199,99)))</f>
        <v/>
      </c>
      <c r="DN43" s="43" t="str">
        <f aca="false">IF(Tasks[[#This Row],[_Res3Text]]="","",TRIM(MID(SUBSTITUTE(Tasks[[#This Row],[_Resources]],",",REPT(" ",99)),298,99)))</f>
        <v/>
      </c>
      <c r="DO43" s="43" t="n">
        <f aca="false">IF(Tasks[[#This Row],[_Res1Text]]="",0,IFERROR(MATCH(TRIM(LEFT(Tasks[[#This Row],[_Res1Text]],FIND("[",Tasks[[#This Row],[_Res1Text]]&amp;"[")-1)),res_Name,0),IFERROR(MATCH(TRIM(LEFT(Tasks[[#This Row],[_Res1Text]],FIND("[",Tasks[[#This Row],[_Res1Text]]&amp;"[")-1)),res_Initials,0),0)))</f>
        <v>0</v>
      </c>
      <c r="DP43" s="43" t="n">
        <f aca="false">IF(Tasks[[#This Row],[_Res2Text]]="",0,IFERROR(MATCH(TRIM(LEFT(Tasks[[#This Row],[_Res2Text]],FIND("[",Tasks[[#This Row],[_Res2Text]]&amp;"[")-1)),res_Name,0),IFERROR(MATCH(TRIM(LEFT(Tasks[[#This Row],[_Res2Text]],FIND("[",Tasks[[#This Row],[_Res2Text]]&amp;"[")-1)),res_Initials,0),0)))</f>
        <v>0</v>
      </c>
      <c r="DQ43" s="43" t="n">
        <f aca="false">IF(Tasks[[#This Row],[_Res3Text]]="",0,IFERROR(MATCH(TRIM(LEFT(Tasks[[#This Row],[_Res3Text]],FIND("[",Tasks[[#This Row],[_Res3Text]]&amp;"[")-1)),res_Name,0),IFERROR(MATCH(TRIM(LEFT(Tasks[[#This Row],[_Res3Text]],FIND("[",Tasks[[#This Row],[_Res3Text]]&amp;"[")-1)),res_Initials,0),0)))</f>
        <v>0</v>
      </c>
      <c r="DR43" s="43" t="n">
        <f aca="false">IF(Tasks[[#This Row],[_Res4Text]]="",0,IFERROR(MATCH(TRIM(LEFT(Tasks[[#This Row],[_Res4Text]],FIND("[",Tasks[[#This Row],[_Res4Text]]&amp;"[")-1)),res_Name,0),IFERROR(MATCH(TRIM(LEFT(Tasks[[#This Row],[_Res4Text]],FIND("[",Tasks[[#This Row],[_Res4Text]]&amp;"[")-1)),res_Initials,0),0)))</f>
        <v>0</v>
      </c>
      <c r="DS43" s="43" t="str">
        <f aca="false">IF(Tasks[[#This Row],[_Res1Text]]="","",IF(Tasks[[#This Row],[_Res1Row]]&gt;0,INDEX(res_Name,Tasks[[#This Row],[_Res1Row]]),TRIM(LEFT(Tasks[[#This Row],[_Res1Text]],FIND("[",Tasks[[#This Row],[_Res1Text]]&amp;"[")-1))))</f>
        <v/>
      </c>
      <c r="DT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3" t="n">
        <f aca="false">IF(NOT(Tasks[[#This Row],[_IsLeaf]]=1),0,(Tasks[[#This Row],[_Resource1]]&lt;&gt;"")+(Tasks[[#This Row],[_Res2]]&lt;&gt;"")+(Tasks[[#This Row],[_Res3]]&lt;&gt;"")+(Tasks[[#This Row],[_Res4]]&lt;&gt;""))</f>
        <v>0</v>
      </c>
      <c r="DV43" s="43" t="str">
        <f aca="false">IF(Tasks[[#This Row],[_Res2Text]]="","",IF(Tasks[[#This Row],[_Res2Row]]&gt;0,INDEX(res_Name,Tasks[[#This Row],[_Res2Row]]),TRIM(LEFT(Tasks[[#This Row],[_Res2Text]],FIND("[",Tasks[[#This Row],[_Res2Text]]&amp;"[")-1))))</f>
        <v/>
      </c>
      <c r="DW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3" t="n">
        <f aca="false">IF(OR(NOT(Tasks[[#This Row],[_IsLeaf]]=1),Tasks[[#This Row],[_Res2Row]]=0),0,N(Tasks[[#This Row],[_Days]])*HoursPerDay*IF(Tasks[[#This Row],[_Res2Units]]="",DefaultUnits,Tasks[[#This Row],[_Res2Units]]))</f>
        <v>0</v>
      </c>
      <c r="DY43" s="43" t="n">
        <f aca="false">IF(AND(AND(Tasks[[#This Row],[_IsLeaf]]=1,Tasks[[#This Row],[_LeafTotalWork]]&gt;0),Tasks[[#This Row],[_Res2Work]]&gt;0),Tasks[[#This Row],[_Res2Work]]/(Tasks[[#This Row],[_FinishWorkday]]-Tasks[[#This Row],[_StartWorkday]]+1),0)</f>
        <v>0</v>
      </c>
      <c r="DZ43" s="43" t="n">
        <f aca="false">Tasks[[#This Row],[_Res2WorkPerWD]]*MAX(0,Tasks[[#This Row],[_StartWorkday]]-1)</f>
        <v>0</v>
      </c>
      <c r="EA43" s="43" t="n">
        <f aca="false">Tasks[[#This Row],[_Res2Work]]*Tasks[[#This Row],[_LeafProgress]]</f>
        <v>0</v>
      </c>
      <c r="EB43" s="43" t="str">
        <f aca="false">IF(Tasks[[#This Row],[_Res3Text]]="","",IF(Tasks[[#This Row],[_Res3Row]]&gt;0,INDEX(res_Name,Tasks[[#This Row],[_Res3Row]]),TRIM(LEFT(Tasks[[#This Row],[_Res3Text]],FIND("[",Tasks[[#This Row],[_Res3Text]]&amp;"[")-1))))</f>
        <v/>
      </c>
      <c r="EC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3" t="n">
        <f aca="false">IF(OR(NOT(Tasks[[#This Row],[_IsLeaf]]=1),Tasks[[#This Row],[_Res3Row]]=0),0,N(Tasks[[#This Row],[_Days]])*HoursPerDay*IF(Tasks[[#This Row],[_Res3Units]]="",DefaultUnits,Tasks[[#This Row],[_Res3Units]]))</f>
        <v>0</v>
      </c>
      <c r="EE43" s="43" t="n">
        <f aca="false">IF(AND(AND(Tasks[[#This Row],[_IsLeaf]]=1,Tasks[[#This Row],[_LeafTotalWork]]&gt;0),Tasks[[#This Row],[_Res3Work]]&gt;0),Tasks[[#This Row],[_Res3Work]]/(Tasks[[#This Row],[_FinishWorkday]]-Tasks[[#This Row],[_StartWorkday]]+1),0)</f>
        <v>0</v>
      </c>
      <c r="EF43" s="43" t="n">
        <f aca="false">Tasks[[#This Row],[_Res3WorkPerWD]]*MAX(0,Tasks[[#This Row],[_StartWorkday]]-1)</f>
        <v>0</v>
      </c>
      <c r="EG43" s="43" t="n">
        <f aca="false">Tasks[[#This Row],[_Res3Work]]*Tasks[[#This Row],[_LeafProgress]]</f>
        <v>0</v>
      </c>
      <c r="EH43" s="43" t="str">
        <f aca="false">IF(Tasks[[#This Row],[_Res4Text]]="","",IF(Tasks[[#This Row],[_Res4Row]]&gt;0,INDEX(res_Name,Tasks[[#This Row],[_Res4Row]]),TRIM(LEFT(Tasks[[#This Row],[_Res4Text]],FIND("[",Tasks[[#This Row],[_Res4Text]]&amp;"[")-1))))</f>
        <v/>
      </c>
      <c r="EI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3" t="n">
        <f aca="false">IF(OR(NOT(Tasks[[#This Row],[_IsLeaf]]=1),Tasks[[#This Row],[_Res4Row]]=0),0,N(Tasks[[#This Row],[_Days]])*HoursPerDay*IF(Tasks[[#This Row],[_Res4Units]]="",DefaultUnits,Tasks[[#This Row],[_Res4Units]]))</f>
        <v>0</v>
      </c>
      <c r="EK43" s="43" t="n">
        <f aca="false">IF(AND(AND(Tasks[[#This Row],[_IsLeaf]]=1,Tasks[[#This Row],[_LeafTotalWork]]&gt;0),Tasks[[#This Row],[_Res4Work]]&gt;0),Tasks[[#This Row],[_Res4Work]]/(Tasks[[#This Row],[_FinishWorkday]]-Tasks[[#This Row],[_StartWorkday]]+1),0)</f>
        <v>0</v>
      </c>
      <c r="EL43" s="43" t="n">
        <f aca="false">Tasks[[#This Row],[_Res4WorkPerWD]]*MAX(0,Tasks[[#This Row],[_StartWorkday]]-1)</f>
        <v>0</v>
      </c>
      <c r="EM43" s="43" t="n">
        <f aca="false">Tasks[[#This Row],[_Res4Work]]*Tasks[[#This Row],[_LeafProgress]]</f>
        <v>0</v>
      </c>
      <c r="EN43" s="43" t="n">
        <f aca="false">IF(ISNUMBER(Tasks[[#This Row],[% Complete]]),Tasks[[#This Row],[% Complete]],IF(Tasks[[#This Row],[Stage]]="",0,IFERROR(INDEX(stg_Pct,MATCH(Tasks[[#This Row],[Stage]],stg_Name,0)),0)))</f>
        <v>0</v>
      </c>
      <c r="EO43" s="43" t="n">
        <f aca="false">IF(NOT(Tasks[[#This Row],[_IsLeaf]]=1),0,IF(N(Tasks[[#This Row],[Actual Finish]])&gt;0,1,MIN(1,Tasks[[#This Row],[_Pct]])))</f>
        <v>0</v>
      </c>
      <c r="EP43" s="43" t="n">
        <f aca="false">IF(OR(NOT(Tasks[[#This Row],[_IsLeaf]]=1),Tasks[[#This Row],[_Res1Row]]=0),0,N(Tasks[[#This Row],[_Days]])*HoursPerDay*IF(Tasks[[#This Row],[_Units1]]="",DefaultUnits,Tasks[[#This Row],[_Units1]]))</f>
        <v>0</v>
      </c>
      <c r="EQ43" s="43" t="n">
        <f aca="false">Tasks[[#This Row],[_LeafWork]]+Tasks[[#This Row],[_Res2Work]]+Tasks[[#This Row],[_Res3Work]]+Tasks[[#This Row],[_Res4Work]]</f>
        <v>0</v>
      </c>
      <c r="ER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3" t="n">
        <f aca="false">IF(NOT(Tasks[[#This Row],[_IsLeaf]]=1),0,MAX(_xlfn.MAXIFS(Tasks[_Row],Tasks[_Pred1UID],Tasks[[#This Row],[UID]]),_xlfn.MAXIFS(Tasks[_Row],Tasks[_Pred2UID],Tasks[[#This Row],[UID]]),_xlfn.MAXIFS(Tasks[_Row],Tasks[_Pred3UID],Tasks[[#This Row],[UID]]),_xlfn.MAXIFS(Tasks[_Row],Tasks[_Pred4UID],Tasks[[#This Row],[UID]])))</f>
        <v>0</v>
      </c>
      <c r="FA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91" t="str">
        <f aca="false">IF(NOT(Tasks[[#This Row],[_IsLeaf]]=1),"",IF(N(Tasks[[#This Row],[_Days]])&lt;=0,Tasks[[#This Row],[_LeafLateFinish]],WORKDAY.INTL(Tasks[[#This Row],[_LeafLateFinish]],-(Tasks[[#This Row],[_Days]]-1),WorkWeek,Holidays)))</f>
        <v/>
      </c>
      <c r="FD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3" s="90" t="b">
        <f aca="false">AND(Tasks[[#This Row],[_IsLeaf]]=1,Tasks[[#This Row],[_LeafProgress]]&lt;1,N(Tasks[[#This Row],[_LeafTotalSlack]])&lt;=CriticalSlackDays)</f>
        <v>0</v>
      </c>
      <c r="FF43" s="43" t="n">
        <f aca="false">IF(AND(Tasks[[#This Row],[_IsLeaf]]=1,Tasks[[#This Row],[_ConstraintCode]]=1,Tasks[[#This Row],[Mode]]&lt;&gt;"Manual",N(Tasks[[#This Row],[Actual Start]])=0),MAX(0,N(Tasks[[#This Row],[Free Slack]])),0)</f>
        <v>0</v>
      </c>
      <c r="FG43" s="91" t="str">
        <f aca="false">IF(NOT(Tasks[[#This Row],[_IsLeaf]]=1),"",IF(Tasks[[#This Row],[_AlapShift]]=0,Tasks[[#This Row],[_LeafCalcStart]],WORKDAY.INTL(Tasks[[#This Row],[_LeafCalcStart]],Tasks[[#This Row],[_AlapShift]],WorkWeek,Holidays)))</f>
        <v/>
      </c>
      <c r="FH43" s="91" t="str">
        <f aca="false">IF(NOT(Tasks[[#This Row],[_IsLeaf]]=1),"",IF(Tasks[[#This Row],[_AlapShift]]=0,Tasks[[#This Row],[_LeafCalcFinish]],WORKDAY.INTL(Tasks[[#This Row],[_LeafCalcFinish]],Tasks[[#This Row],[_AlapShift]],WorkWeek,Holidays)))</f>
        <v/>
      </c>
      <c r="FI43" s="91" t="str">
        <f aca="false">IF(NOT(Tasks[[#This Row],[_IsLeaf]]=1),"",IF(Tasks[[#This Row],[_AlapShift]]=0,Tasks[[#This Row],[_LeafFcstStart]],WORKDAY.INTL(Tasks[[#This Row],[_LeafFcstStart]],Tasks[[#This Row],[_AlapShift]],WorkWeek,Holidays)))</f>
        <v/>
      </c>
      <c r="FJ43" s="91" t="str">
        <f aca="false">IF(NOT(Tasks[[#This Row],[_IsLeaf]]=1),"",IF(Tasks[[#This Row],[_AlapShift]]=0,Tasks[[#This Row],[_LeafFcstFinish]],WORKDAY.INTL(Tasks[[#This Row],[_LeafFcstFinish]],Tasks[[#This Row],[_AlapShift]],WorkWeek,Holidays)))</f>
        <v/>
      </c>
      <c r="FK43" s="91" t="str">
        <f aca="false">IF(Tasks[[#This Row],[Task Name]]="","",IF(Tasks[[#This Row],[_IsSummary]],MIN(INDEX(Tasks[_ShownCalcStart],Tasks[[#This Row],[_Row]]+1):INDEX(Tasks[_ShownCalcStart],Tasks[[#This Row],[_Row]]+Tasks[[#This Row],[_Descendants]])),Tasks[[#This Row],[_ShownCalcStart]]))</f>
        <v/>
      </c>
      <c r="FL43" s="91" t="str">
        <f aca="false">IF(Tasks[[#This Row],[Task Name]]="","",IF(Tasks[[#This Row],[_IsSummary]],MAX(INDEX(Tasks[_ShownCalcFinish],Tasks[[#This Row],[_Row]]+1):INDEX(Tasks[_ShownCalcFinish],Tasks[[#This Row],[_Row]]+Tasks[[#This Row],[_Descendants]])),Tasks[[#This Row],[_ShownCalcFinish]]))</f>
        <v/>
      </c>
      <c r="FM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3" s="43" t="n">
        <f aca="false">IF(AND(Tasks[[#This Row],[_IsLeaf]]=1,Tasks[[#This Row],[_LeafTotalWork]]&gt;0),NETWORKDAYS.INTL(ProjectStart,Tasks[[#This Row],[_ShownFcstStart]],WorkWeek,Holidays),0)</f>
        <v>0</v>
      </c>
      <c r="FZ43" s="43" t="n">
        <f aca="false">IF(AND(Tasks[[#This Row],[_IsLeaf]]=1,Tasks[[#This Row],[_LeafTotalWork]]&gt;0),MAX(Tasks[[#This Row],[_StartWorkday]],NETWORKDAYS.INTL(ProjectStart,Tasks[[#This Row],[_ShownFcstFinish]],WorkWeek,Holidays)),0)</f>
        <v>0</v>
      </c>
      <c r="GA43" s="43" t="n">
        <f aca="false">IF(AND(Tasks[[#This Row],[_IsLeaf]]=1,Tasks[[#This Row],[_LeafTotalWork]]&gt;0),Tasks[[#This Row],[_LeafWork]]/(Tasks[[#This Row],[_FinishWorkday]]-Tasks[[#This Row],[_StartWorkday]]+1),0)</f>
        <v>0</v>
      </c>
      <c r="GB43" s="43" t="n">
        <f aca="false">Tasks[[#This Row],[_WorkPerWorkday]]*(Tasks[[#This Row],[_StartWorkday]]-1)</f>
        <v>-0</v>
      </c>
      <c r="GC43" s="43" t="n">
        <f aca="false">IF(Tasks[[#This Row],[_IsLeaf]]=1,MAX(N(Tasks[[#This Row],[_Days]]),0.1),0)</f>
        <v>0</v>
      </c>
      <c r="GD43" s="43" t="n">
        <f aca="false">Tasks[[#This Row],[_WeightDur]]*Tasks[[#This Row],[_LeafProgress]]</f>
        <v>0</v>
      </c>
      <c r="GE43" s="43" t="n">
        <f aca="false">Tasks[[#This Row],[_WeightDur]]*Tasks[[#This Row],[_PlannedPct]]</f>
        <v>0</v>
      </c>
      <c r="GF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3" t="str">
        <f aca="false">IF(AND(Tasks[[#This Row],[_IsLeaf]]=1,N(Tasks[[#This Row],[_Days]])=0,Tasks[[#This Row],[_LeafProgress]]&lt;1),Tasks[[#This Row],[_ShownFcstFinish]]+Tasks[[#This Row],[_Row]]/100000,"")</f>
        <v/>
      </c>
      <c r="GH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3" s="43" t="str">
        <f aca="false">IF(Tasks[[#This Row],[Task Name]]="","",LEFT(Tasks[[#This Row],[WBS]],FIND(".",Tasks[[#This Row],[WBS]]&amp;".")-1))</f>
        <v/>
      </c>
      <c r="GJ43" s="43" t="str">
        <f aca="false">IF(AND(Tasks[[#This Row],[Task Name]]&lt;&gt;"",Tasks[[#This Row],[_Level]]=1),Tasks[[#This Row],[_Row]],"")</f>
        <v/>
      </c>
      <c r="GK43" s="43" t="str">
        <f aca="false">IF(AND(Tasks[[#This Row],[_IsLeaf]]=1,N(Tasks[[#This Row],[_Days]])=0),Tasks[[#This Row],[Planned Finish]]+Tasks[[#This Row],[_Row]]/100000,"")</f>
        <v/>
      </c>
      <c r="GL43" s="43" t="str">
        <f aca="false">IF(AND(Tasks[[#This Row],[_IsLeaf]]=1,Tasks[[#This Row],[_LeafProgress]]&lt;1,OR(N(Tasks[[#This Row],[Finish Var]])&gt;0,Tasks[[#This Row],[Status]]="Late Start")),MAX(0,Tasks[[#This Row],[Finish Var]])+1-Tasks[[#This Row],[_Row]]/1000000,"")</f>
        <v/>
      </c>
      <c r="GM43" s="43" t="str">
        <f aca="false">IF(AND(Tasks[[#This Row],[_IsLeaf]]=1,N(Tasks[[#This Row],[Actual Start]])=0,Tasks[[#This Row],[_ShownFcstStart]]&gt;=StatusDate,Tasks[[#This Row],[_ShownFcstStart]]&lt;=LookaheadEnd),Tasks[[#This Row],[_ShownFcstStart]]+Tasks[[#This Row],[_Row]]/100000,"")</f>
        <v/>
      </c>
      <c r="GN43" s="43" t="str">
        <f aca="false">IF(AND(Tasks[[#This Row],[_IsLeaf]]=1,Tasks[[#This Row],[_LeafProgress]]&lt;1,Tasks[[#This Row],[_ShownFcstFinish]]&gt;=StatusDate,Tasks[[#This Row],[_ShownFcstFinish]]&lt;=LookaheadEnd),Tasks[[#This Row],[_ShownFcstFinish]]+Tasks[[#This Row],[_Row]]/100000,"")</f>
        <v/>
      </c>
      <c r="GO43" s="43" t="str">
        <f aca="false">IF(Tasks[[#This Row],[_LeafCritical]],Tasks[[#This Row],[_ShownFcstStart]]+Tasks[[#This Row],[_Row]]/100000,"")</f>
        <v/>
      </c>
      <c r="GP43" s="43" t="n">
        <f aca="false">Tasks[[#This Row],[_LeafWork]]*Tasks[[#This Row],[_LeafProgress]]</f>
        <v>0</v>
      </c>
      <c r="GQ43" s="91" t="str">
        <f aca="false">IF(AND(Tasks[[#This Row],[_IsLeaf]]=1,Tasks[[#This Row],[_LeafProgress]]&gt;=1),IF(N(Tasks[[#This Row],[Actual Finish]])&gt;0,Tasks[[#This Row],[Actual Finish]],Tasks[[#This Row],[_ShownFcstFinish]]),"")</f>
        <v/>
      </c>
      <c r="GR43" s="43" t="n">
        <f aca="false">IF(Tasks[[#This Row],[_IsLeaf]]=1,N(Tasks[[#This Row],[Story Points]]),0)</f>
        <v>0</v>
      </c>
      <c r="GS43" s="43" t="str">
        <f aca="false">""</f>
        <v/>
      </c>
      <c r="GT43" s="90" t="b">
        <f aca="false">IF(Tasks[[#This Row],[Task Name]]="",FALSE(),AND(Tasks[[#This Row],[_IsLeaf]]=1,N(Tasks[[#This Row],[_Days]])=0))</f>
        <v>0</v>
      </c>
      <c r="GU43" s="91" t="n">
        <f aca="false">IF(Tasks[[#This Row],[Task Name]]="",0,IF(AND(Tasks[[#This Row],[_IsLeaf]]=1,NOT(Tasks[[#This Row],[_IsMilestone]]),N(Tasks[[#This Row],[Progress]])&gt;0),Tasks[[#This Row],[Start]],0))</f>
        <v>0</v>
      </c>
      <c r="GV43" s="91" t="n">
        <f aca="false">IF(Tasks[[#This Row],[_DoneFrom]]=0,0,IF(Tasks[[#This Row],[Progress]]&gt;=1,Tasks[[#This Row],[Finish]],MAX(Tasks[[#This Row],[_DoneFrom]],Tasks[[#This Row],[Start]]+ROUND((Tasks[[#This Row],[Finish]]-Tasks[[#This Row],[Start]]+1)*Tasks[[#This Row],[Progress]],0)-1)))</f>
        <v>0</v>
      </c>
      <c r="GW43" s="91" t="n">
        <f aca="false">IF(Tasks[[#This Row],[Task Name]]="",0,IF(OR(NOT(Tasks[[#This Row],[_IsLeaf]]=1),Tasks[[#This Row],[_IsMilestone]],N(Tasks[[#This Row],[Progress]])&gt;=1),0,IF(Tasks[[#This Row],[_DoneTo]]&gt;0,Tasks[[#This Row],[_DoneTo]]+1,Tasks[[#This Row],[Start]])))</f>
        <v>0</v>
      </c>
      <c r="GX43" s="91" t="n">
        <f aca="false">IF(Tasks[[#This Row],[_RemFrom]]=0,0,Tasks[[#This Row],[Finish]])</f>
        <v>0</v>
      </c>
      <c r="GY43" s="90" t="b">
        <f aca="false">IF(Tasks[[#This Row],[Task Name]]="",FALSE(),OR(NOT(BaselineSet),N(Tasks[[#This Row],[Baseline Start]])&gt;0))</f>
        <v>0</v>
      </c>
      <c r="GZ4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92" t="str">
        <f aca="false">IF(Tasks[[#This Row],[_IsLeaf]]=1,Tasks[[#This Row],[_Row]],"")</f>
        <v/>
      </c>
      <c r="HD43" s="92" t="str">
        <f aca="false">IFERROR(INDEX(Tasks[UID],SMALL(Tasks[_PickKey],Tasks[[#This Row],[_Row]]))&amp;" "&amp;INDEX(Tasks[Task Name],SMALL(Tasks[_PickKey],Tasks[[#This Row],[_Row]])),"")</f>
        <v/>
      </c>
      <c r="HE43" s="43" t="str">
        <f aca="false">IF(Tasks[[#This Row],[Task Name]]="","",IF(Tasks[[#This Row],[_IsSummary]],NETWORKDAYS.INTL(Tasks[[#This Row],[Start]],Tasks[[#This Row],[Finish]],WorkWeek,Holidays),N(Tasks[[#This Row],[_Days]])))</f>
        <v/>
      </c>
      <c r="HF43" s="43" t="n">
        <f aca="false">IF(Tasks[[#This Row],[Expected]]="",0,((Tasks[[#This Row],[Pessimistic]]-Tasks[[#This Row],[Optimistic]])/6)^2)</f>
        <v>0</v>
      </c>
      <c r="HG43" s="43" t="n">
        <f aca="false">IF(Tasks[[#This Row],[Expected]]="",0,Tasks[[#This Row],[Expected]]-N(Tasks[[#This Row],[_Days]]))</f>
        <v>0</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4"/>
      <c r="U44" s="23"/>
      <c r="V44" s="84"/>
      <c r="W44" s="23"/>
      <c r="X44" s="84"/>
      <c r="Y44" s="23"/>
      <c r="Z44" s="84"/>
      <c r="AA44" s="23"/>
      <c r="AB44" s="23"/>
      <c r="AC44" s="7"/>
      <c r="AD44" s="7"/>
      <c r="AE44" s="63" t="str">
        <f aca="false">IF(Tasks[[#This Row],[Task Name]]="","",IF(Tasks[[#This Row],[_IsSummary]],MIN(INDEX(Tasks[_ShownFcstStart],Tasks[[#This Row],[_Row]]+1):INDEX(Tasks[_ShownFcstStart],Tasks[[#This Row],[_Row]]+Tasks[[#This Row],[_Descendants]])),Tasks[[#This Row],[_ShownFcstStart]]))</f>
        <v/>
      </c>
      <c r="AF44" s="63"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4" s="7"/>
      <c r="AK44" s="22"/>
      <c r="AL44" s="23"/>
      <c r="AM44" s="7"/>
      <c r="AN44" s="47"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3" t="str">
        <f aca="false">IF(Tasks[[#This Row],[Task Name]]="","",IF(N(Tasks[[#This Row],[Baseline Start]])&gt;0,Tasks[[#This Row],[Baseline Start]],Tasks[[#This Row],[_CalcStart]]))</f>
        <v/>
      </c>
      <c r="AR44" s="63" t="str">
        <f aca="false">IF(Tasks[[#This Row],[Task Name]]="","",IF(N(Tasks[[#This Row],[Baseline Finish]])&gt;0,Tasks[[#This Row],[Baseline Finish]],Tasks[[#This Row],[_CalcFinish]]))</f>
        <v/>
      </c>
      <c r="AS44" s="47" t="str">
        <f aca="false">IF(Tasks[[#This Row],[Task Name]]="","",IF(Tasks[[#This Row],[Start]]&gt;=Tasks[[#This Row],[Planned Start]],NETWORKDAYS.INTL(Tasks[[#This Row],[Planned Start]],Tasks[[#This Row],[Start]],WorkWeek,Holidays)-1,1-NETWORKDAYS.INTL(Tasks[[#This Row],[Start]],Tasks[[#This Row],[Planned Start]],WorkWeek,Holidays)))</f>
        <v/>
      </c>
      <c r="AT44" s="63" t="str">
        <f aca="false">IF(Tasks[[#This Row],[Task Name]]="","",IF(Tasks[[#This Row],[_IsSummary]],MIN(INDEX(Tasks[_LeafLateStart],Tasks[[#This Row],[_Row]]+1):INDEX(Tasks[_LeafLateStart],Tasks[[#This Row],[_Row]]+Tasks[[#This Row],[_Descendants]])),Tasks[[#This Row],[_LeafLateStart]]))</f>
        <v/>
      </c>
      <c r="AU44" s="63" t="str">
        <f aca="false">IF(Tasks[[#This Row],[Task Name]]="","",IF(Tasks[[#This Row],[_IsSummary]],MAX(INDEX(Tasks[_LeafLateFinish],Tasks[[#This Row],[_Row]]+1):INDEX(Tasks[_LeafLateFinish],Tasks[[#This Row],[_Row]]+Tasks[[#This Row],[_Descendants]])),Tasks[[#This Row],[_LeafLateFinish]]))</f>
        <v/>
      </c>
      <c r="AV44" s="47"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5"/>
      <c r="BA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6"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7"/>
      <c r="BJ44" s="22"/>
      <c r="BK44" s="47" t="str">
        <f aca="false">IF(OR(Tasks[[#This Row],[Task Name]]="",Tasks[[#This Row],[Baseline Duration]]=""),"",Tasks[[#This Row],[_SpanDays]]-N(Tasks[[#This Row],[Baseline Duration]]))</f>
        <v/>
      </c>
      <c r="BL44" s="86" t="str">
        <f aca="false">IF(OR(Tasks[[#This Row],[Task Name]]="",Tasks[[#This Row],[Baseline Work]]=""),"",Tasks[[#This Row],[Work]]-N(Tasks[[#This Row],[Baseline Work]]))</f>
        <v/>
      </c>
      <c r="BM44" s="63" t="str">
        <f aca="false">IF(Tasks[[#This Row],[Task Name]]="","",IF(OR(TakeBaseline="Yes",N(Tasks[[#This Row],[Baseline Start]])=0),Tasks[[#This Row],[Start]],Tasks[[#This Row],[Baseline Start]]))</f>
        <v/>
      </c>
      <c r="BN44" s="63" t="str">
        <f aca="false">IF(Tasks[[#This Row],[Task Name]]="","",IF(OR(TakeBaseline="Yes",N(Tasks[[#This Row],[Baseline Finish]])=0),Tasks[[#This Row],[Finish]],Tasks[[#This Row],[Baseline Finish]]))</f>
        <v/>
      </c>
      <c r="BO44" s="21" t="str">
        <f aca="false">IF(Tasks[[#This Row],[Task Name]]="","",IF(OR(TakeBaseline="Yes",N(Tasks[[#This Row],[Baseline Duration]])=0),Tasks[[#This Row],[_SpanDays]],Tasks[[#This Row],[Baseline Duration]]))</f>
        <v/>
      </c>
      <c r="BP44" s="86" t="str">
        <f aca="false">IF(Tasks[[#This Row],[Task Name]]="","",IF(OR(TakeBaseline="Yes",N(Tasks[[#This Row],[Baseline Work]])=0),Tasks[[#This Row],[Work]],Tasks[[#This Row],[Baseline Work]]))</f>
        <v/>
      </c>
      <c r="BQ44" s="7"/>
      <c r="BR44" s="7"/>
      <c r="BS44" s="22"/>
      <c r="BT44" s="88"/>
      <c r="BU44" s="23"/>
      <c r="BV44" s="23"/>
      <c r="BW44" s="23"/>
      <c r="BX44" s="89" t="str">
        <f aca="false">IF(AND(Tasks[[#This Row],[_IsLeaf]]=1,ISNUMBER(Tasks[[#This Row],[Optimistic]]),ISNUMBER(Tasks[[#This Row],[Pessimistic]])),ROUND((Tasks[[#This Row],[Optimistic]]+4*N(Tasks[[#This Row],[_Days]])+Tasks[[#This Row],[Pessimistic]])/6,1),"")</f>
        <v/>
      </c>
      <c r="BY44" s="87"/>
      <c r="BZ44" s="87"/>
      <c r="CA44" s="22"/>
      <c r="CB44" s="43" t="str">
        <f aca="false">IF(Tasks[[#This Row],[Task Name]]="","",MAX(1,N(Tasks[[#This Row],[Level]])))</f>
        <v/>
      </c>
      <c r="CC44" s="43" t="n">
        <f aca="false">ROW()-ROW(Tasks[[#Headers],[ID]])</f>
        <v>39</v>
      </c>
      <c r="CD44" s="43" t="n">
        <f aca="false">IF(OR(Tasks[[#This Row],[Task Name]]="",Tasks[[#This Row],[_Level]]&lt;=1),0,IFERROR(LOOKUP(2,1/(Tasks[[#Headers],[_Level]]:Tasks[[#This Row],[_Level]]=Tasks[[#This Row],[_Level]]-1),ROW(Tasks[[#Headers],[_Level]]:Tasks[[#This Row],[_Level]])),0))</f>
        <v>0</v>
      </c>
      <c r="CE44" s="43" t="n">
        <f aca="false">IFERROR(N(INDEX(Tasks[_Level],Tasks[[#This Row],[_Row]]+1)),0)</f>
        <v>0</v>
      </c>
      <c r="CF44" s="90" t="b">
        <f aca="false">AND(Tasks[[#This Row],[Task Name]]&lt;&gt;"",Tasks[[#This Row],[_NextLevel]]&gt;Tasks[[#This Row],[_Level]])</f>
        <v>0</v>
      </c>
      <c r="CG44" s="43" t="n">
        <f aca="false">IF(Tasks[[#This Row],[_IsSummary]],COUNTIF(Tasks[WBS],Tasks[[#This Row],[WBS]]&amp;".*"),0)</f>
        <v>0</v>
      </c>
      <c r="CH44" s="43" t="n">
        <f aca="false">IF(AND(Tasks[[#This Row],[Task Name]]&lt;&gt;"",NOT(Tasks[[#This Row],[_IsSummary]])),1,0)</f>
        <v>0</v>
      </c>
      <c r="CI44" s="43" t="n">
        <f aca="false">IF(N(Tasks[[#This Row],[_Pred1UID]])=0,0,IFERROR(MATCH(Tasks[[#This Row],[_Pred1UID]],Tasks[UID],0),-1))</f>
        <v>0</v>
      </c>
      <c r="CJ44" s="43" t="n">
        <f aca="false">IF(N(Tasks[[#This Row],[_Pred2UID]])=0,0,IFERROR(MATCH(Tasks[[#This Row],[_Pred2UID]],Tasks[UID],0),-1))</f>
        <v>0</v>
      </c>
      <c r="CK44" s="43" t="n">
        <f aca="false">IF(N(Tasks[[#This Row],[_Pred3UID]])=0,0,IFERROR(MATCH(Tasks[[#This Row],[_Pred3UID]],Tasks[UID],0),-1))</f>
        <v>0</v>
      </c>
      <c r="CL44" s="43" t="n">
        <f aca="false">IF(N(Tasks[[#This Row],[_Pred4UID]])=0,0,IFERROR(MATCH(Tasks[[#This Row],[_Pred4UID]],Tasks[UID],0),-1))</f>
        <v>0</v>
      </c>
      <c r="CM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4" s="91" t="n">
        <f aca="false">IF(OR(Tasks[[#This Row],[_ConstraintCode]]=2,Tasks[[#This Row],[_ConstraintCode]]=3,Tasks[[#This Row],[_ConstraintCode]]=4,Tasks[[#This Row],[_ConstraintCode]]=6),Tasks[[#This Row],[_ConstraintStart]],0)</f>
        <v>0</v>
      </c>
      <c r="CP44" s="91" t="n">
        <f aca="false">IF(OR(Tasks[[#This Row],[_ConstraintCode]]=2,Tasks[[#This Row],[_ConstraintCode]]=3,Tasks[[#This Row],[_ConstraintCode]]=5,Tasks[[#This Row],[_ConstraintCode]]=7),Tasks[[#This Row],[_ConstraintStart]],2958465)</f>
        <v>2958465</v>
      </c>
      <c r="CQ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91" t="str">
        <f aca="false">IF(NOT(Tasks[[#This Row],[_IsLeaf]]=1),"",IF(N(Tasks[[#This Row],[_Days]])&lt;=0,Tasks[[#This Row],[_LeafCalcStart]],WORKDAY.INTL(Tasks[[#This Row],[_LeafCalcStart]],Tasks[[#This Row],[_Days]]-1,WorkWeek,Holidays)))</f>
        <v/>
      </c>
      <c r="CS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3" t="str">
        <f aca="false">IF(Tasks[[#This Row],[_Predecessors]]="","",TRIM(MID(SUBSTITUTE(SUBSTITUTE(SUBSTITUTE(UPPER(Tasks[[#This Row],[_Predecessors]]),";",",")," ",""),",",REPT(" ",99)),1,99)))</f>
        <v/>
      </c>
      <c r="CV44" s="43" t="str">
        <f aca="false">IF(Tasks[[#This Row],[_Pred1Text]]="","",IFERROR(VALUE(LEFT(Tasks[[#This Row],[_Pred1Text]],MIN(FIND("F",Tasks[[#This Row],[_Pred1Text]]&amp;"F"),FIND("S",Tasks[[#This Row],[_Pred1Text]]&amp;"S"),FIND("+",Tasks[[#This Row],[_Pred1Text]]&amp;"+"),FIND("-",Tasks[[#This Row],[_Pred1Text]]&amp;"-"))-1)),""))</f>
        <v/>
      </c>
      <c r="CW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3" t="str">
        <f aca="false">IF(Tasks[[#This Row],[_Pred1Text]]="","",TRIM(MID(SUBSTITUTE(SUBSTITUTE(SUBSTITUTE(UPPER(Tasks[[#This Row],[_Predecessors]]),";",",")," ",""),",",REPT(" ",99)),100,99)))</f>
        <v/>
      </c>
      <c r="CZ44" s="43" t="str">
        <f aca="false">IF(Tasks[[#This Row],[_Pred2Text]]="","",IFERROR(VALUE(LEFT(Tasks[[#This Row],[_Pred2Text]],MIN(FIND("F",Tasks[[#This Row],[_Pred2Text]]&amp;"F"),FIND("S",Tasks[[#This Row],[_Pred2Text]]&amp;"S"),FIND("+",Tasks[[#This Row],[_Pred2Text]]&amp;"+"),FIND("-",Tasks[[#This Row],[_Pred2Text]]&amp;"-"))-1)),""))</f>
        <v/>
      </c>
      <c r="DA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3" t="str">
        <f aca="false">IF(Tasks[[#This Row],[_Pred2Text]]="","",TRIM(MID(SUBSTITUTE(SUBSTITUTE(SUBSTITUTE(UPPER(Tasks[[#This Row],[_Predecessors]]),";",",")," ",""),",",REPT(" ",99)),199,99)))</f>
        <v/>
      </c>
      <c r="DD44" s="43" t="str">
        <f aca="false">IF(Tasks[[#This Row],[_Pred3Text]]="","",IFERROR(VALUE(LEFT(Tasks[[#This Row],[_Pred3Text]],MIN(FIND("F",Tasks[[#This Row],[_Pred3Text]]&amp;"F"),FIND("S",Tasks[[#This Row],[_Pred3Text]]&amp;"S"),FIND("+",Tasks[[#This Row],[_Pred3Text]]&amp;"+"),FIND("-",Tasks[[#This Row],[_Pred3Text]]&amp;"-"))-1)),""))</f>
        <v/>
      </c>
      <c r="DE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3" t="str">
        <f aca="false">IF(Tasks[[#This Row],[_Pred3Text]]="","",TRIM(MID(SUBSTITUTE(SUBSTITUTE(SUBSTITUTE(UPPER(Tasks[[#This Row],[_Predecessors]]),";",",")," ",""),",",REPT(" ",99)),298,99)))</f>
        <v/>
      </c>
      <c r="DH44" s="43" t="str">
        <f aca="false">IF(Tasks[[#This Row],[_Pred4Text]]="","",IFERROR(VALUE(LEFT(Tasks[[#This Row],[_Pred4Text]],MIN(FIND("F",Tasks[[#This Row],[_Pred4Text]]&amp;"F"),FIND("S",Tasks[[#This Row],[_Pred4Text]]&amp;"S"),FIND("+",Tasks[[#This Row],[_Pred4Text]]&amp;"+"),FIND("-",Tasks[[#This Row],[_Pred4Text]]&amp;"-"))-1)),""))</f>
        <v/>
      </c>
      <c r="DI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3" t="str">
        <f aca="false">IF(OR(Tasks[[#This Row],[Task Name]]="",Tasks[[#This Row],[_Resources]]=""),"",TRIM(MID(SUBSTITUTE(Tasks[[#This Row],[_Resources]],",",REPT(" ",99)),1,99)))</f>
        <v/>
      </c>
      <c r="DL44" s="43" t="str">
        <f aca="false">IF(Tasks[[#This Row],[_Res1Text]]="","",TRIM(MID(SUBSTITUTE(Tasks[[#This Row],[_Resources]],",",REPT(" ",99)),100,99)))</f>
        <v/>
      </c>
      <c r="DM44" s="43" t="str">
        <f aca="false">IF(Tasks[[#This Row],[_Res2Text]]="","",TRIM(MID(SUBSTITUTE(Tasks[[#This Row],[_Resources]],",",REPT(" ",99)),199,99)))</f>
        <v/>
      </c>
      <c r="DN44" s="43" t="str">
        <f aca="false">IF(Tasks[[#This Row],[_Res3Text]]="","",TRIM(MID(SUBSTITUTE(Tasks[[#This Row],[_Resources]],",",REPT(" ",99)),298,99)))</f>
        <v/>
      </c>
      <c r="DO44" s="43" t="n">
        <f aca="false">IF(Tasks[[#This Row],[_Res1Text]]="",0,IFERROR(MATCH(TRIM(LEFT(Tasks[[#This Row],[_Res1Text]],FIND("[",Tasks[[#This Row],[_Res1Text]]&amp;"[")-1)),res_Name,0),IFERROR(MATCH(TRIM(LEFT(Tasks[[#This Row],[_Res1Text]],FIND("[",Tasks[[#This Row],[_Res1Text]]&amp;"[")-1)),res_Initials,0),0)))</f>
        <v>0</v>
      </c>
      <c r="DP44" s="43" t="n">
        <f aca="false">IF(Tasks[[#This Row],[_Res2Text]]="",0,IFERROR(MATCH(TRIM(LEFT(Tasks[[#This Row],[_Res2Text]],FIND("[",Tasks[[#This Row],[_Res2Text]]&amp;"[")-1)),res_Name,0),IFERROR(MATCH(TRIM(LEFT(Tasks[[#This Row],[_Res2Text]],FIND("[",Tasks[[#This Row],[_Res2Text]]&amp;"[")-1)),res_Initials,0),0)))</f>
        <v>0</v>
      </c>
      <c r="DQ44" s="43" t="n">
        <f aca="false">IF(Tasks[[#This Row],[_Res3Text]]="",0,IFERROR(MATCH(TRIM(LEFT(Tasks[[#This Row],[_Res3Text]],FIND("[",Tasks[[#This Row],[_Res3Text]]&amp;"[")-1)),res_Name,0),IFERROR(MATCH(TRIM(LEFT(Tasks[[#This Row],[_Res3Text]],FIND("[",Tasks[[#This Row],[_Res3Text]]&amp;"[")-1)),res_Initials,0),0)))</f>
        <v>0</v>
      </c>
      <c r="DR44" s="43" t="n">
        <f aca="false">IF(Tasks[[#This Row],[_Res4Text]]="",0,IFERROR(MATCH(TRIM(LEFT(Tasks[[#This Row],[_Res4Text]],FIND("[",Tasks[[#This Row],[_Res4Text]]&amp;"[")-1)),res_Name,0),IFERROR(MATCH(TRIM(LEFT(Tasks[[#This Row],[_Res4Text]],FIND("[",Tasks[[#This Row],[_Res4Text]]&amp;"[")-1)),res_Initials,0),0)))</f>
        <v>0</v>
      </c>
      <c r="DS44" s="43" t="str">
        <f aca="false">IF(Tasks[[#This Row],[_Res1Text]]="","",IF(Tasks[[#This Row],[_Res1Row]]&gt;0,INDEX(res_Name,Tasks[[#This Row],[_Res1Row]]),TRIM(LEFT(Tasks[[#This Row],[_Res1Text]],FIND("[",Tasks[[#This Row],[_Res1Text]]&amp;"[")-1))))</f>
        <v/>
      </c>
      <c r="DT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3" t="n">
        <f aca="false">IF(NOT(Tasks[[#This Row],[_IsLeaf]]=1),0,(Tasks[[#This Row],[_Resource1]]&lt;&gt;"")+(Tasks[[#This Row],[_Res2]]&lt;&gt;"")+(Tasks[[#This Row],[_Res3]]&lt;&gt;"")+(Tasks[[#This Row],[_Res4]]&lt;&gt;""))</f>
        <v>0</v>
      </c>
      <c r="DV44" s="43" t="str">
        <f aca="false">IF(Tasks[[#This Row],[_Res2Text]]="","",IF(Tasks[[#This Row],[_Res2Row]]&gt;0,INDEX(res_Name,Tasks[[#This Row],[_Res2Row]]),TRIM(LEFT(Tasks[[#This Row],[_Res2Text]],FIND("[",Tasks[[#This Row],[_Res2Text]]&amp;"[")-1))))</f>
        <v/>
      </c>
      <c r="DW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3" t="n">
        <f aca="false">IF(OR(NOT(Tasks[[#This Row],[_IsLeaf]]=1),Tasks[[#This Row],[_Res2Row]]=0),0,N(Tasks[[#This Row],[_Days]])*HoursPerDay*IF(Tasks[[#This Row],[_Res2Units]]="",DefaultUnits,Tasks[[#This Row],[_Res2Units]]))</f>
        <v>0</v>
      </c>
      <c r="DY44" s="43" t="n">
        <f aca="false">IF(AND(AND(Tasks[[#This Row],[_IsLeaf]]=1,Tasks[[#This Row],[_LeafTotalWork]]&gt;0),Tasks[[#This Row],[_Res2Work]]&gt;0),Tasks[[#This Row],[_Res2Work]]/(Tasks[[#This Row],[_FinishWorkday]]-Tasks[[#This Row],[_StartWorkday]]+1),0)</f>
        <v>0</v>
      </c>
      <c r="DZ44" s="43" t="n">
        <f aca="false">Tasks[[#This Row],[_Res2WorkPerWD]]*MAX(0,Tasks[[#This Row],[_StartWorkday]]-1)</f>
        <v>0</v>
      </c>
      <c r="EA44" s="43" t="n">
        <f aca="false">Tasks[[#This Row],[_Res2Work]]*Tasks[[#This Row],[_LeafProgress]]</f>
        <v>0</v>
      </c>
      <c r="EB44" s="43" t="str">
        <f aca="false">IF(Tasks[[#This Row],[_Res3Text]]="","",IF(Tasks[[#This Row],[_Res3Row]]&gt;0,INDEX(res_Name,Tasks[[#This Row],[_Res3Row]]),TRIM(LEFT(Tasks[[#This Row],[_Res3Text]],FIND("[",Tasks[[#This Row],[_Res3Text]]&amp;"[")-1))))</f>
        <v/>
      </c>
      <c r="EC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3" t="n">
        <f aca="false">IF(OR(NOT(Tasks[[#This Row],[_IsLeaf]]=1),Tasks[[#This Row],[_Res3Row]]=0),0,N(Tasks[[#This Row],[_Days]])*HoursPerDay*IF(Tasks[[#This Row],[_Res3Units]]="",DefaultUnits,Tasks[[#This Row],[_Res3Units]]))</f>
        <v>0</v>
      </c>
      <c r="EE44" s="43" t="n">
        <f aca="false">IF(AND(AND(Tasks[[#This Row],[_IsLeaf]]=1,Tasks[[#This Row],[_LeafTotalWork]]&gt;0),Tasks[[#This Row],[_Res3Work]]&gt;0),Tasks[[#This Row],[_Res3Work]]/(Tasks[[#This Row],[_FinishWorkday]]-Tasks[[#This Row],[_StartWorkday]]+1),0)</f>
        <v>0</v>
      </c>
      <c r="EF44" s="43" t="n">
        <f aca="false">Tasks[[#This Row],[_Res3WorkPerWD]]*MAX(0,Tasks[[#This Row],[_StartWorkday]]-1)</f>
        <v>0</v>
      </c>
      <c r="EG44" s="43" t="n">
        <f aca="false">Tasks[[#This Row],[_Res3Work]]*Tasks[[#This Row],[_LeafProgress]]</f>
        <v>0</v>
      </c>
      <c r="EH44" s="43" t="str">
        <f aca="false">IF(Tasks[[#This Row],[_Res4Text]]="","",IF(Tasks[[#This Row],[_Res4Row]]&gt;0,INDEX(res_Name,Tasks[[#This Row],[_Res4Row]]),TRIM(LEFT(Tasks[[#This Row],[_Res4Text]],FIND("[",Tasks[[#This Row],[_Res4Text]]&amp;"[")-1))))</f>
        <v/>
      </c>
      <c r="EI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3" t="n">
        <f aca="false">IF(OR(NOT(Tasks[[#This Row],[_IsLeaf]]=1),Tasks[[#This Row],[_Res4Row]]=0),0,N(Tasks[[#This Row],[_Days]])*HoursPerDay*IF(Tasks[[#This Row],[_Res4Units]]="",DefaultUnits,Tasks[[#This Row],[_Res4Units]]))</f>
        <v>0</v>
      </c>
      <c r="EK44" s="43" t="n">
        <f aca="false">IF(AND(AND(Tasks[[#This Row],[_IsLeaf]]=1,Tasks[[#This Row],[_LeafTotalWork]]&gt;0),Tasks[[#This Row],[_Res4Work]]&gt;0),Tasks[[#This Row],[_Res4Work]]/(Tasks[[#This Row],[_FinishWorkday]]-Tasks[[#This Row],[_StartWorkday]]+1),0)</f>
        <v>0</v>
      </c>
      <c r="EL44" s="43" t="n">
        <f aca="false">Tasks[[#This Row],[_Res4WorkPerWD]]*MAX(0,Tasks[[#This Row],[_StartWorkday]]-1)</f>
        <v>0</v>
      </c>
      <c r="EM44" s="43" t="n">
        <f aca="false">Tasks[[#This Row],[_Res4Work]]*Tasks[[#This Row],[_LeafProgress]]</f>
        <v>0</v>
      </c>
      <c r="EN44" s="43" t="n">
        <f aca="false">IF(ISNUMBER(Tasks[[#This Row],[% Complete]]),Tasks[[#This Row],[% Complete]],IF(Tasks[[#This Row],[Stage]]="",0,IFERROR(INDEX(stg_Pct,MATCH(Tasks[[#This Row],[Stage]],stg_Name,0)),0)))</f>
        <v>0</v>
      </c>
      <c r="EO44" s="43" t="n">
        <f aca="false">IF(NOT(Tasks[[#This Row],[_IsLeaf]]=1),0,IF(N(Tasks[[#This Row],[Actual Finish]])&gt;0,1,MIN(1,Tasks[[#This Row],[_Pct]])))</f>
        <v>0</v>
      </c>
      <c r="EP44" s="43" t="n">
        <f aca="false">IF(OR(NOT(Tasks[[#This Row],[_IsLeaf]]=1),Tasks[[#This Row],[_Res1Row]]=0),0,N(Tasks[[#This Row],[_Days]])*HoursPerDay*IF(Tasks[[#This Row],[_Units1]]="",DefaultUnits,Tasks[[#This Row],[_Units1]]))</f>
        <v>0</v>
      </c>
      <c r="EQ44" s="43" t="n">
        <f aca="false">Tasks[[#This Row],[_LeafWork]]+Tasks[[#This Row],[_Res2Work]]+Tasks[[#This Row],[_Res3Work]]+Tasks[[#This Row],[_Res4Work]]</f>
        <v>0</v>
      </c>
      <c r="ER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3" t="n">
        <f aca="false">IF(NOT(Tasks[[#This Row],[_IsLeaf]]=1),0,MAX(_xlfn.MAXIFS(Tasks[_Row],Tasks[_Pred1UID],Tasks[[#This Row],[UID]]),_xlfn.MAXIFS(Tasks[_Row],Tasks[_Pred2UID],Tasks[[#This Row],[UID]]),_xlfn.MAXIFS(Tasks[_Row],Tasks[_Pred3UID],Tasks[[#This Row],[UID]]),_xlfn.MAXIFS(Tasks[_Row],Tasks[_Pred4UID],Tasks[[#This Row],[UID]])))</f>
        <v>0</v>
      </c>
      <c r="FA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91" t="str">
        <f aca="false">IF(NOT(Tasks[[#This Row],[_IsLeaf]]=1),"",IF(N(Tasks[[#This Row],[_Days]])&lt;=0,Tasks[[#This Row],[_LeafLateFinish]],WORKDAY.INTL(Tasks[[#This Row],[_LeafLateFinish]],-(Tasks[[#This Row],[_Days]]-1),WorkWeek,Holidays)))</f>
        <v/>
      </c>
      <c r="FD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4" s="90" t="b">
        <f aca="false">AND(Tasks[[#This Row],[_IsLeaf]]=1,Tasks[[#This Row],[_LeafProgress]]&lt;1,N(Tasks[[#This Row],[_LeafTotalSlack]])&lt;=CriticalSlackDays)</f>
        <v>0</v>
      </c>
      <c r="FF44" s="43" t="n">
        <f aca="false">IF(AND(Tasks[[#This Row],[_IsLeaf]]=1,Tasks[[#This Row],[_ConstraintCode]]=1,Tasks[[#This Row],[Mode]]&lt;&gt;"Manual",N(Tasks[[#This Row],[Actual Start]])=0),MAX(0,N(Tasks[[#This Row],[Free Slack]])),0)</f>
        <v>0</v>
      </c>
      <c r="FG44" s="91" t="str">
        <f aca="false">IF(NOT(Tasks[[#This Row],[_IsLeaf]]=1),"",IF(Tasks[[#This Row],[_AlapShift]]=0,Tasks[[#This Row],[_LeafCalcStart]],WORKDAY.INTL(Tasks[[#This Row],[_LeafCalcStart]],Tasks[[#This Row],[_AlapShift]],WorkWeek,Holidays)))</f>
        <v/>
      </c>
      <c r="FH44" s="91" t="str">
        <f aca="false">IF(NOT(Tasks[[#This Row],[_IsLeaf]]=1),"",IF(Tasks[[#This Row],[_AlapShift]]=0,Tasks[[#This Row],[_LeafCalcFinish]],WORKDAY.INTL(Tasks[[#This Row],[_LeafCalcFinish]],Tasks[[#This Row],[_AlapShift]],WorkWeek,Holidays)))</f>
        <v/>
      </c>
      <c r="FI44" s="91" t="str">
        <f aca="false">IF(NOT(Tasks[[#This Row],[_IsLeaf]]=1),"",IF(Tasks[[#This Row],[_AlapShift]]=0,Tasks[[#This Row],[_LeafFcstStart]],WORKDAY.INTL(Tasks[[#This Row],[_LeafFcstStart]],Tasks[[#This Row],[_AlapShift]],WorkWeek,Holidays)))</f>
        <v/>
      </c>
      <c r="FJ44" s="91" t="str">
        <f aca="false">IF(NOT(Tasks[[#This Row],[_IsLeaf]]=1),"",IF(Tasks[[#This Row],[_AlapShift]]=0,Tasks[[#This Row],[_LeafFcstFinish]],WORKDAY.INTL(Tasks[[#This Row],[_LeafFcstFinish]],Tasks[[#This Row],[_AlapShift]],WorkWeek,Holidays)))</f>
        <v/>
      </c>
      <c r="FK44" s="91" t="str">
        <f aca="false">IF(Tasks[[#This Row],[Task Name]]="","",IF(Tasks[[#This Row],[_IsSummary]],MIN(INDEX(Tasks[_ShownCalcStart],Tasks[[#This Row],[_Row]]+1):INDEX(Tasks[_ShownCalcStart],Tasks[[#This Row],[_Row]]+Tasks[[#This Row],[_Descendants]])),Tasks[[#This Row],[_ShownCalcStart]]))</f>
        <v/>
      </c>
      <c r="FL44" s="91" t="str">
        <f aca="false">IF(Tasks[[#This Row],[Task Name]]="","",IF(Tasks[[#This Row],[_IsSummary]],MAX(INDEX(Tasks[_ShownCalcFinish],Tasks[[#This Row],[_Row]]+1):INDEX(Tasks[_ShownCalcFinish],Tasks[[#This Row],[_Row]]+Tasks[[#This Row],[_Descendants]])),Tasks[[#This Row],[_ShownCalcFinish]]))</f>
        <v/>
      </c>
      <c r="FM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4" s="43" t="n">
        <f aca="false">IF(AND(Tasks[[#This Row],[_IsLeaf]]=1,Tasks[[#This Row],[_LeafTotalWork]]&gt;0),NETWORKDAYS.INTL(ProjectStart,Tasks[[#This Row],[_ShownFcstStart]],WorkWeek,Holidays),0)</f>
        <v>0</v>
      </c>
      <c r="FZ44" s="43" t="n">
        <f aca="false">IF(AND(Tasks[[#This Row],[_IsLeaf]]=1,Tasks[[#This Row],[_LeafTotalWork]]&gt;0),MAX(Tasks[[#This Row],[_StartWorkday]],NETWORKDAYS.INTL(ProjectStart,Tasks[[#This Row],[_ShownFcstFinish]],WorkWeek,Holidays)),0)</f>
        <v>0</v>
      </c>
      <c r="GA44" s="43" t="n">
        <f aca="false">IF(AND(Tasks[[#This Row],[_IsLeaf]]=1,Tasks[[#This Row],[_LeafTotalWork]]&gt;0),Tasks[[#This Row],[_LeafWork]]/(Tasks[[#This Row],[_FinishWorkday]]-Tasks[[#This Row],[_StartWorkday]]+1),0)</f>
        <v>0</v>
      </c>
      <c r="GB44" s="43" t="n">
        <f aca="false">Tasks[[#This Row],[_WorkPerWorkday]]*(Tasks[[#This Row],[_StartWorkday]]-1)</f>
        <v>-0</v>
      </c>
      <c r="GC44" s="43" t="n">
        <f aca="false">IF(Tasks[[#This Row],[_IsLeaf]]=1,MAX(N(Tasks[[#This Row],[_Days]]),0.1),0)</f>
        <v>0</v>
      </c>
      <c r="GD44" s="43" t="n">
        <f aca="false">Tasks[[#This Row],[_WeightDur]]*Tasks[[#This Row],[_LeafProgress]]</f>
        <v>0</v>
      </c>
      <c r="GE44" s="43" t="n">
        <f aca="false">Tasks[[#This Row],[_WeightDur]]*Tasks[[#This Row],[_PlannedPct]]</f>
        <v>0</v>
      </c>
      <c r="GF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3" t="str">
        <f aca="false">IF(AND(Tasks[[#This Row],[_IsLeaf]]=1,N(Tasks[[#This Row],[_Days]])=0,Tasks[[#This Row],[_LeafProgress]]&lt;1),Tasks[[#This Row],[_ShownFcstFinish]]+Tasks[[#This Row],[_Row]]/100000,"")</f>
        <v/>
      </c>
      <c r="GH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4" s="43" t="str">
        <f aca="false">IF(Tasks[[#This Row],[Task Name]]="","",LEFT(Tasks[[#This Row],[WBS]],FIND(".",Tasks[[#This Row],[WBS]]&amp;".")-1))</f>
        <v/>
      </c>
      <c r="GJ44" s="43" t="str">
        <f aca="false">IF(AND(Tasks[[#This Row],[Task Name]]&lt;&gt;"",Tasks[[#This Row],[_Level]]=1),Tasks[[#This Row],[_Row]],"")</f>
        <v/>
      </c>
      <c r="GK44" s="43" t="str">
        <f aca="false">IF(AND(Tasks[[#This Row],[_IsLeaf]]=1,N(Tasks[[#This Row],[_Days]])=0),Tasks[[#This Row],[Planned Finish]]+Tasks[[#This Row],[_Row]]/100000,"")</f>
        <v/>
      </c>
      <c r="GL44" s="43" t="str">
        <f aca="false">IF(AND(Tasks[[#This Row],[_IsLeaf]]=1,Tasks[[#This Row],[_LeafProgress]]&lt;1,OR(N(Tasks[[#This Row],[Finish Var]])&gt;0,Tasks[[#This Row],[Status]]="Late Start")),MAX(0,Tasks[[#This Row],[Finish Var]])+1-Tasks[[#This Row],[_Row]]/1000000,"")</f>
        <v/>
      </c>
      <c r="GM44" s="43" t="str">
        <f aca="false">IF(AND(Tasks[[#This Row],[_IsLeaf]]=1,N(Tasks[[#This Row],[Actual Start]])=0,Tasks[[#This Row],[_ShownFcstStart]]&gt;=StatusDate,Tasks[[#This Row],[_ShownFcstStart]]&lt;=LookaheadEnd),Tasks[[#This Row],[_ShownFcstStart]]+Tasks[[#This Row],[_Row]]/100000,"")</f>
        <v/>
      </c>
      <c r="GN44" s="43" t="str">
        <f aca="false">IF(AND(Tasks[[#This Row],[_IsLeaf]]=1,Tasks[[#This Row],[_LeafProgress]]&lt;1,Tasks[[#This Row],[_ShownFcstFinish]]&gt;=StatusDate,Tasks[[#This Row],[_ShownFcstFinish]]&lt;=LookaheadEnd),Tasks[[#This Row],[_ShownFcstFinish]]+Tasks[[#This Row],[_Row]]/100000,"")</f>
        <v/>
      </c>
      <c r="GO44" s="43" t="str">
        <f aca="false">IF(Tasks[[#This Row],[_LeafCritical]],Tasks[[#This Row],[_ShownFcstStart]]+Tasks[[#This Row],[_Row]]/100000,"")</f>
        <v/>
      </c>
      <c r="GP44" s="43" t="n">
        <f aca="false">Tasks[[#This Row],[_LeafWork]]*Tasks[[#This Row],[_LeafProgress]]</f>
        <v>0</v>
      </c>
      <c r="GQ44" s="91" t="str">
        <f aca="false">IF(AND(Tasks[[#This Row],[_IsLeaf]]=1,Tasks[[#This Row],[_LeafProgress]]&gt;=1),IF(N(Tasks[[#This Row],[Actual Finish]])&gt;0,Tasks[[#This Row],[Actual Finish]],Tasks[[#This Row],[_ShownFcstFinish]]),"")</f>
        <v/>
      </c>
      <c r="GR44" s="43" t="n">
        <f aca="false">IF(Tasks[[#This Row],[_IsLeaf]]=1,N(Tasks[[#This Row],[Story Points]]),0)</f>
        <v>0</v>
      </c>
      <c r="GS44" s="43" t="str">
        <f aca="false">""</f>
        <v/>
      </c>
      <c r="GT44" s="90" t="b">
        <f aca="false">IF(Tasks[[#This Row],[Task Name]]="",FALSE(),AND(Tasks[[#This Row],[_IsLeaf]]=1,N(Tasks[[#This Row],[_Days]])=0))</f>
        <v>0</v>
      </c>
      <c r="GU44" s="91" t="n">
        <f aca="false">IF(Tasks[[#This Row],[Task Name]]="",0,IF(AND(Tasks[[#This Row],[_IsLeaf]]=1,NOT(Tasks[[#This Row],[_IsMilestone]]),N(Tasks[[#This Row],[Progress]])&gt;0),Tasks[[#This Row],[Start]],0))</f>
        <v>0</v>
      </c>
      <c r="GV44" s="91" t="n">
        <f aca="false">IF(Tasks[[#This Row],[_DoneFrom]]=0,0,IF(Tasks[[#This Row],[Progress]]&gt;=1,Tasks[[#This Row],[Finish]],MAX(Tasks[[#This Row],[_DoneFrom]],Tasks[[#This Row],[Start]]+ROUND((Tasks[[#This Row],[Finish]]-Tasks[[#This Row],[Start]]+1)*Tasks[[#This Row],[Progress]],0)-1)))</f>
        <v>0</v>
      </c>
      <c r="GW44" s="91" t="n">
        <f aca="false">IF(Tasks[[#This Row],[Task Name]]="",0,IF(OR(NOT(Tasks[[#This Row],[_IsLeaf]]=1),Tasks[[#This Row],[_IsMilestone]],N(Tasks[[#This Row],[Progress]])&gt;=1),0,IF(Tasks[[#This Row],[_DoneTo]]&gt;0,Tasks[[#This Row],[_DoneTo]]+1,Tasks[[#This Row],[Start]])))</f>
        <v>0</v>
      </c>
      <c r="GX44" s="91" t="n">
        <f aca="false">IF(Tasks[[#This Row],[_RemFrom]]=0,0,Tasks[[#This Row],[Finish]])</f>
        <v>0</v>
      </c>
      <c r="GY44" s="90" t="b">
        <f aca="false">IF(Tasks[[#This Row],[Task Name]]="",FALSE(),OR(NOT(BaselineSet),N(Tasks[[#This Row],[Baseline Start]])&gt;0))</f>
        <v>0</v>
      </c>
      <c r="GZ4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92" t="str">
        <f aca="false">IF(Tasks[[#This Row],[_IsLeaf]]=1,Tasks[[#This Row],[_Row]],"")</f>
        <v/>
      </c>
      <c r="HD44" s="92" t="str">
        <f aca="false">IFERROR(INDEX(Tasks[UID],SMALL(Tasks[_PickKey],Tasks[[#This Row],[_Row]]))&amp;" "&amp;INDEX(Tasks[Task Name],SMALL(Tasks[_PickKey],Tasks[[#This Row],[_Row]])),"")</f>
        <v/>
      </c>
      <c r="HE44" s="43" t="str">
        <f aca="false">IF(Tasks[[#This Row],[Task Name]]="","",IF(Tasks[[#This Row],[_IsSummary]],NETWORKDAYS.INTL(Tasks[[#This Row],[Start]],Tasks[[#This Row],[Finish]],WorkWeek,Holidays),N(Tasks[[#This Row],[_Days]])))</f>
        <v/>
      </c>
      <c r="HF44" s="43" t="n">
        <f aca="false">IF(Tasks[[#This Row],[Expected]]="",0,((Tasks[[#This Row],[Pessimistic]]-Tasks[[#This Row],[Optimistic]])/6)^2)</f>
        <v>0</v>
      </c>
      <c r="HG44" s="43" t="n">
        <f aca="false">IF(Tasks[[#This Row],[Expected]]="",0,Tasks[[#This Row],[Expected]]-N(Tasks[[#This Row],[_Days]]))</f>
        <v>0</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4"/>
      <c r="U45" s="23"/>
      <c r="V45" s="84"/>
      <c r="W45" s="23"/>
      <c r="X45" s="84"/>
      <c r="Y45" s="23"/>
      <c r="Z45" s="84"/>
      <c r="AA45" s="23"/>
      <c r="AB45" s="23"/>
      <c r="AC45" s="7"/>
      <c r="AD45" s="7"/>
      <c r="AE45" s="63" t="str">
        <f aca="false">IF(Tasks[[#This Row],[Task Name]]="","",IF(Tasks[[#This Row],[_IsSummary]],MIN(INDEX(Tasks[_ShownFcstStart],Tasks[[#This Row],[_Row]]+1):INDEX(Tasks[_ShownFcstStart],Tasks[[#This Row],[_Row]]+Tasks[[#This Row],[_Descendants]])),Tasks[[#This Row],[_ShownFcstStart]]))</f>
        <v/>
      </c>
      <c r="AF45" s="63"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5" s="7"/>
      <c r="AK45" s="22"/>
      <c r="AL45" s="23"/>
      <c r="AM45" s="7"/>
      <c r="AN45" s="47"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3" t="str">
        <f aca="false">IF(Tasks[[#This Row],[Task Name]]="","",IF(N(Tasks[[#This Row],[Baseline Start]])&gt;0,Tasks[[#This Row],[Baseline Start]],Tasks[[#This Row],[_CalcStart]]))</f>
        <v/>
      </c>
      <c r="AR45" s="63" t="str">
        <f aca="false">IF(Tasks[[#This Row],[Task Name]]="","",IF(N(Tasks[[#This Row],[Baseline Finish]])&gt;0,Tasks[[#This Row],[Baseline Finish]],Tasks[[#This Row],[_CalcFinish]]))</f>
        <v/>
      </c>
      <c r="AS45" s="47" t="str">
        <f aca="false">IF(Tasks[[#This Row],[Task Name]]="","",IF(Tasks[[#This Row],[Start]]&gt;=Tasks[[#This Row],[Planned Start]],NETWORKDAYS.INTL(Tasks[[#This Row],[Planned Start]],Tasks[[#This Row],[Start]],WorkWeek,Holidays)-1,1-NETWORKDAYS.INTL(Tasks[[#This Row],[Start]],Tasks[[#This Row],[Planned Start]],WorkWeek,Holidays)))</f>
        <v/>
      </c>
      <c r="AT45" s="63" t="str">
        <f aca="false">IF(Tasks[[#This Row],[Task Name]]="","",IF(Tasks[[#This Row],[_IsSummary]],MIN(INDEX(Tasks[_LeafLateStart],Tasks[[#This Row],[_Row]]+1):INDEX(Tasks[_LeafLateStart],Tasks[[#This Row],[_Row]]+Tasks[[#This Row],[_Descendants]])),Tasks[[#This Row],[_LeafLateStart]]))</f>
        <v/>
      </c>
      <c r="AU45" s="63" t="str">
        <f aca="false">IF(Tasks[[#This Row],[Task Name]]="","",IF(Tasks[[#This Row],[_IsSummary]],MAX(INDEX(Tasks[_LeafLateFinish],Tasks[[#This Row],[_Row]]+1):INDEX(Tasks[_LeafLateFinish],Tasks[[#This Row],[_Row]]+Tasks[[#This Row],[_Descendants]])),Tasks[[#This Row],[_LeafLateFinish]]))</f>
        <v/>
      </c>
      <c r="AV45" s="47"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5"/>
      <c r="BA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6"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7"/>
      <c r="BJ45" s="22"/>
      <c r="BK45" s="47" t="str">
        <f aca="false">IF(OR(Tasks[[#This Row],[Task Name]]="",Tasks[[#This Row],[Baseline Duration]]=""),"",Tasks[[#This Row],[_SpanDays]]-N(Tasks[[#This Row],[Baseline Duration]]))</f>
        <v/>
      </c>
      <c r="BL45" s="86" t="str">
        <f aca="false">IF(OR(Tasks[[#This Row],[Task Name]]="",Tasks[[#This Row],[Baseline Work]]=""),"",Tasks[[#This Row],[Work]]-N(Tasks[[#This Row],[Baseline Work]]))</f>
        <v/>
      </c>
      <c r="BM45" s="63" t="str">
        <f aca="false">IF(Tasks[[#This Row],[Task Name]]="","",IF(OR(TakeBaseline="Yes",N(Tasks[[#This Row],[Baseline Start]])=0),Tasks[[#This Row],[Start]],Tasks[[#This Row],[Baseline Start]]))</f>
        <v/>
      </c>
      <c r="BN45" s="63" t="str">
        <f aca="false">IF(Tasks[[#This Row],[Task Name]]="","",IF(OR(TakeBaseline="Yes",N(Tasks[[#This Row],[Baseline Finish]])=0),Tasks[[#This Row],[Finish]],Tasks[[#This Row],[Baseline Finish]]))</f>
        <v/>
      </c>
      <c r="BO45" s="21" t="str">
        <f aca="false">IF(Tasks[[#This Row],[Task Name]]="","",IF(OR(TakeBaseline="Yes",N(Tasks[[#This Row],[Baseline Duration]])=0),Tasks[[#This Row],[_SpanDays]],Tasks[[#This Row],[Baseline Duration]]))</f>
        <v/>
      </c>
      <c r="BP45" s="86" t="str">
        <f aca="false">IF(Tasks[[#This Row],[Task Name]]="","",IF(OR(TakeBaseline="Yes",N(Tasks[[#This Row],[Baseline Work]])=0),Tasks[[#This Row],[Work]],Tasks[[#This Row],[Baseline Work]]))</f>
        <v/>
      </c>
      <c r="BQ45" s="7"/>
      <c r="BR45" s="7"/>
      <c r="BS45" s="22"/>
      <c r="BT45" s="88"/>
      <c r="BU45" s="23"/>
      <c r="BV45" s="23"/>
      <c r="BW45" s="23"/>
      <c r="BX45" s="89" t="str">
        <f aca="false">IF(AND(Tasks[[#This Row],[_IsLeaf]]=1,ISNUMBER(Tasks[[#This Row],[Optimistic]]),ISNUMBER(Tasks[[#This Row],[Pessimistic]])),ROUND((Tasks[[#This Row],[Optimistic]]+4*N(Tasks[[#This Row],[_Days]])+Tasks[[#This Row],[Pessimistic]])/6,1),"")</f>
        <v/>
      </c>
      <c r="BY45" s="87"/>
      <c r="BZ45" s="87"/>
      <c r="CA45" s="22"/>
      <c r="CB45" s="43" t="str">
        <f aca="false">IF(Tasks[[#This Row],[Task Name]]="","",MAX(1,N(Tasks[[#This Row],[Level]])))</f>
        <v/>
      </c>
      <c r="CC45" s="43" t="n">
        <f aca="false">ROW()-ROW(Tasks[[#Headers],[ID]])</f>
        <v>40</v>
      </c>
      <c r="CD45" s="43" t="n">
        <f aca="false">IF(OR(Tasks[[#This Row],[Task Name]]="",Tasks[[#This Row],[_Level]]&lt;=1),0,IFERROR(LOOKUP(2,1/(Tasks[[#Headers],[_Level]]:Tasks[[#This Row],[_Level]]=Tasks[[#This Row],[_Level]]-1),ROW(Tasks[[#Headers],[_Level]]:Tasks[[#This Row],[_Level]])),0))</f>
        <v>0</v>
      </c>
      <c r="CE45" s="43" t="n">
        <f aca="false">IFERROR(N(INDEX(Tasks[_Level],Tasks[[#This Row],[_Row]]+1)),0)</f>
        <v>0</v>
      </c>
      <c r="CF45" s="90" t="b">
        <f aca="false">AND(Tasks[[#This Row],[Task Name]]&lt;&gt;"",Tasks[[#This Row],[_NextLevel]]&gt;Tasks[[#This Row],[_Level]])</f>
        <v>0</v>
      </c>
      <c r="CG45" s="43" t="n">
        <f aca="false">IF(Tasks[[#This Row],[_IsSummary]],COUNTIF(Tasks[WBS],Tasks[[#This Row],[WBS]]&amp;".*"),0)</f>
        <v>0</v>
      </c>
      <c r="CH45" s="43" t="n">
        <f aca="false">IF(AND(Tasks[[#This Row],[Task Name]]&lt;&gt;"",NOT(Tasks[[#This Row],[_IsSummary]])),1,0)</f>
        <v>0</v>
      </c>
      <c r="CI45" s="43" t="n">
        <f aca="false">IF(N(Tasks[[#This Row],[_Pred1UID]])=0,0,IFERROR(MATCH(Tasks[[#This Row],[_Pred1UID]],Tasks[UID],0),-1))</f>
        <v>0</v>
      </c>
      <c r="CJ45" s="43" t="n">
        <f aca="false">IF(N(Tasks[[#This Row],[_Pred2UID]])=0,0,IFERROR(MATCH(Tasks[[#This Row],[_Pred2UID]],Tasks[UID],0),-1))</f>
        <v>0</v>
      </c>
      <c r="CK45" s="43" t="n">
        <f aca="false">IF(N(Tasks[[#This Row],[_Pred3UID]])=0,0,IFERROR(MATCH(Tasks[[#This Row],[_Pred3UID]],Tasks[UID],0),-1))</f>
        <v>0</v>
      </c>
      <c r="CL45" s="43" t="n">
        <f aca="false">IF(N(Tasks[[#This Row],[_Pred4UID]])=0,0,IFERROR(MATCH(Tasks[[#This Row],[_Pred4UID]],Tasks[UID],0),-1))</f>
        <v>0</v>
      </c>
      <c r="CM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5" s="91" t="n">
        <f aca="false">IF(OR(Tasks[[#This Row],[_ConstraintCode]]=2,Tasks[[#This Row],[_ConstraintCode]]=3,Tasks[[#This Row],[_ConstraintCode]]=4,Tasks[[#This Row],[_ConstraintCode]]=6),Tasks[[#This Row],[_ConstraintStart]],0)</f>
        <v>0</v>
      </c>
      <c r="CP45" s="91" t="n">
        <f aca="false">IF(OR(Tasks[[#This Row],[_ConstraintCode]]=2,Tasks[[#This Row],[_ConstraintCode]]=3,Tasks[[#This Row],[_ConstraintCode]]=5,Tasks[[#This Row],[_ConstraintCode]]=7),Tasks[[#This Row],[_ConstraintStart]],2958465)</f>
        <v>2958465</v>
      </c>
      <c r="CQ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91" t="str">
        <f aca="false">IF(NOT(Tasks[[#This Row],[_IsLeaf]]=1),"",IF(N(Tasks[[#This Row],[_Days]])&lt;=0,Tasks[[#This Row],[_LeafCalcStart]],WORKDAY.INTL(Tasks[[#This Row],[_LeafCalcStart]],Tasks[[#This Row],[_Days]]-1,WorkWeek,Holidays)))</f>
        <v/>
      </c>
      <c r="CS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3" t="str">
        <f aca="false">IF(Tasks[[#This Row],[_Predecessors]]="","",TRIM(MID(SUBSTITUTE(SUBSTITUTE(SUBSTITUTE(UPPER(Tasks[[#This Row],[_Predecessors]]),";",",")," ",""),",",REPT(" ",99)),1,99)))</f>
        <v/>
      </c>
      <c r="CV45" s="43" t="str">
        <f aca="false">IF(Tasks[[#This Row],[_Pred1Text]]="","",IFERROR(VALUE(LEFT(Tasks[[#This Row],[_Pred1Text]],MIN(FIND("F",Tasks[[#This Row],[_Pred1Text]]&amp;"F"),FIND("S",Tasks[[#This Row],[_Pred1Text]]&amp;"S"),FIND("+",Tasks[[#This Row],[_Pred1Text]]&amp;"+"),FIND("-",Tasks[[#This Row],[_Pred1Text]]&amp;"-"))-1)),""))</f>
        <v/>
      </c>
      <c r="CW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3" t="str">
        <f aca="false">IF(Tasks[[#This Row],[_Pred1Text]]="","",TRIM(MID(SUBSTITUTE(SUBSTITUTE(SUBSTITUTE(UPPER(Tasks[[#This Row],[_Predecessors]]),";",",")," ",""),",",REPT(" ",99)),100,99)))</f>
        <v/>
      </c>
      <c r="CZ45" s="43" t="str">
        <f aca="false">IF(Tasks[[#This Row],[_Pred2Text]]="","",IFERROR(VALUE(LEFT(Tasks[[#This Row],[_Pred2Text]],MIN(FIND("F",Tasks[[#This Row],[_Pred2Text]]&amp;"F"),FIND("S",Tasks[[#This Row],[_Pred2Text]]&amp;"S"),FIND("+",Tasks[[#This Row],[_Pred2Text]]&amp;"+"),FIND("-",Tasks[[#This Row],[_Pred2Text]]&amp;"-"))-1)),""))</f>
        <v/>
      </c>
      <c r="DA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3" t="str">
        <f aca="false">IF(Tasks[[#This Row],[_Pred2Text]]="","",TRIM(MID(SUBSTITUTE(SUBSTITUTE(SUBSTITUTE(UPPER(Tasks[[#This Row],[_Predecessors]]),";",",")," ",""),",",REPT(" ",99)),199,99)))</f>
        <v/>
      </c>
      <c r="DD45" s="43" t="str">
        <f aca="false">IF(Tasks[[#This Row],[_Pred3Text]]="","",IFERROR(VALUE(LEFT(Tasks[[#This Row],[_Pred3Text]],MIN(FIND("F",Tasks[[#This Row],[_Pred3Text]]&amp;"F"),FIND("S",Tasks[[#This Row],[_Pred3Text]]&amp;"S"),FIND("+",Tasks[[#This Row],[_Pred3Text]]&amp;"+"),FIND("-",Tasks[[#This Row],[_Pred3Text]]&amp;"-"))-1)),""))</f>
        <v/>
      </c>
      <c r="DE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3" t="str">
        <f aca="false">IF(Tasks[[#This Row],[_Pred3Text]]="","",TRIM(MID(SUBSTITUTE(SUBSTITUTE(SUBSTITUTE(UPPER(Tasks[[#This Row],[_Predecessors]]),";",",")," ",""),",",REPT(" ",99)),298,99)))</f>
        <v/>
      </c>
      <c r="DH45" s="43" t="str">
        <f aca="false">IF(Tasks[[#This Row],[_Pred4Text]]="","",IFERROR(VALUE(LEFT(Tasks[[#This Row],[_Pred4Text]],MIN(FIND("F",Tasks[[#This Row],[_Pred4Text]]&amp;"F"),FIND("S",Tasks[[#This Row],[_Pred4Text]]&amp;"S"),FIND("+",Tasks[[#This Row],[_Pred4Text]]&amp;"+"),FIND("-",Tasks[[#This Row],[_Pred4Text]]&amp;"-"))-1)),""))</f>
        <v/>
      </c>
      <c r="DI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3" t="str">
        <f aca="false">IF(OR(Tasks[[#This Row],[Task Name]]="",Tasks[[#This Row],[_Resources]]=""),"",TRIM(MID(SUBSTITUTE(Tasks[[#This Row],[_Resources]],",",REPT(" ",99)),1,99)))</f>
        <v/>
      </c>
      <c r="DL45" s="43" t="str">
        <f aca="false">IF(Tasks[[#This Row],[_Res1Text]]="","",TRIM(MID(SUBSTITUTE(Tasks[[#This Row],[_Resources]],",",REPT(" ",99)),100,99)))</f>
        <v/>
      </c>
      <c r="DM45" s="43" t="str">
        <f aca="false">IF(Tasks[[#This Row],[_Res2Text]]="","",TRIM(MID(SUBSTITUTE(Tasks[[#This Row],[_Resources]],",",REPT(" ",99)),199,99)))</f>
        <v/>
      </c>
      <c r="DN45" s="43" t="str">
        <f aca="false">IF(Tasks[[#This Row],[_Res3Text]]="","",TRIM(MID(SUBSTITUTE(Tasks[[#This Row],[_Resources]],",",REPT(" ",99)),298,99)))</f>
        <v/>
      </c>
      <c r="DO45" s="43" t="n">
        <f aca="false">IF(Tasks[[#This Row],[_Res1Text]]="",0,IFERROR(MATCH(TRIM(LEFT(Tasks[[#This Row],[_Res1Text]],FIND("[",Tasks[[#This Row],[_Res1Text]]&amp;"[")-1)),res_Name,0),IFERROR(MATCH(TRIM(LEFT(Tasks[[#This Row],[_Res1Text]],FIND("[",Tasks[[#This Row],[_Res1Text]]&amp;"[")-1)),res_Initials,0),0)))</f>
        <v>0</v>
      </c>
      <c r="DP45" s="43" t="n">
        <f aca="false">IF(Tasks[[#This Row],[_Res2Text]]="",0,IFERROR(MATCH(TRIM(LEFT(Tasks[[#This Row],[_Res2Text]],FIND("[",Tasks[[#This Row],[_Res2Text]]&amp;"[")-1)),res_Name,0),IFERROR(MATCH(TRIM(LEFT(Tasks[[#This Row],[_Res2Text]],FIND("[",Tasks[[#This Row],[_Res2Text]]&amp;"[")-1)),res_Initials,0),0)))</f>
        <v>0</v>
      </c>
      <c r="DQ45" s="43" t="n">
        <f aca="false">IF(Tasks[[#This Row],[_Res3Text]]="",0,IFERROR(MATCH(TRIM(LEFT(Tasks[[#This Row],[_Res3Text]],FIND("[",Tasks[[#This Row],[_Res3Text]]&amp;"[")-1)),res_Name,0),IFERROR(MATCH(TRIM(LEFT(Tasks[[#This Row],[_Res3Text]],FIND("[",Tasks[[#This Row],[_Res3Text]]&amp;"[")-1)),res_Initials,0),0)))</f>
        <v>0</v>
      </c>
      <c r="DR45" s="43" t="n">
        <f aca="false">IF(Tasks[[#This Row],[_Res4Text]]="",0,IFERROR(MATCH(TRIM(LEFT(Tasks[[#This Row],[_Res4Text]],FIND("[",Tasks[[#This Row],[_Res4Text]]&amp;"[")-1)),res_Name,0),IFERROR(MATCH(TRIM(LEFT(Tasks[[#This Row],[_Res4Text]],FIND("[",Tasks[[#This Row],[_Res4Text]]&amp;"[")-1)),res_Initials,0),0)))</f>
        <v>0</v>
      </c>
      <c r="DS45" s="43" t="str">
        <f aca="false">IF(Tasks[[#This Row],[_Res1Text]]="","",IF(Tasks[[#This Row],[_Res1Row]]&gt;0,INDEX(res_Name,Tasks[[#This Row],[_Res1Row]]),TRIM(LEFT(Tasks[[#This Row],[_Res1Text]],FIND("[",Tasks[[#This Row],[_Res1Text]]&amp;"[")-1))))</f>
        <v/>
      </c>
      <c r="DT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3" t="n">
        <f aca="false">IF(NOT(Tasks[[#This Row],[_IsLeaf]]=1),0,(Tasks[[#This Row],[_Resource1]]&lt;&gt;"")+(Tasks[[#This Row],[_Res2]]&lt;&gt;"")+(Tasks[[#This Row],[_Res3]]&lt;&gt;"")+(Tasks[[#This Row],[_Res4]]&lt;&gt;""))</f>
        <v>0</v>
      </c>
      <c r="DV45" s="43" t="str">
        <f aca="false">IF(Tasks[[#This Row],[_Res2Text]]="","",IF(Tasks[[#This Row],[_Res2Row]]&gt;0,INDEX(res_Name,Tasks[[#This Row],[_Res2Row]]),TRIM(LEFT(Tasks[[#This Row],[_Res2Text]],FIND("[",Tasks[[#This Row],[_Res2Text]]&amp;"[")-1))))</f>
        <v/>
      </c>
      <c r="DW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3" t="n">
        <f aca="false">IF(OR(NOT(Tasks[[#This Row],[_IsLeaf]]=1),Tasks[[#This Row],[_Res2Row]]=0),0,N(Tasks[[#This Row],[_Days]])*HoursPerDay*IF(Tasks[[#This Row],[_Res2Units]]="",DefaultUnits,Tasks[[#This Row],[_Res2Units]]))</f>
        <v>0</v>
      </c>
      <c r="DY45" s="43" t="n">
        <f aca="false">IF(AND(AND(Tasks[[#This Row],[_IsLeaf]]=1,Tasks[[#This Row],[_LeafTotalWork]]&gt;0),Tasks[[#This Row],[_Res2Work]]&gt;0),Tasks[[#This Row],[_Res2Work]]/(Tasks[[#This Row],[_FinishWorkday]]-Tasks[[#This Row],[_StartWorkday]]+1),0)</f>
        <v>0</v>
      </c>
      <c r="DZ45" s="43" t="n">
        <f aca="false">Tasks[[#This Row],[_Res2WorkPerWD]]*MAX(0,Tasks[[#This Row],[_StartWorkday]]-1)</f>
        <v>0</v>
      </c>
      <c r="EA45" s="43" t="n">
        <f aca="false">Tasks[[#This Row],[_Res2Work]]*Tasks[[#This Row],[_LeafProgress]]</f>
        <v>0</v>
      </c>
      <c r="EB45" s="43" t="str">
        <f aca="false">IF(Tasks[[#This Row],[_Res3Text]]="","",IF(Tasks[[#This Row],[_Res3Row]]&gt;0,INDEX(res_Name,Tasks[[#This Row],[_Res3Row]]),TRIM(LEFT(Tasks[[#This Row],[_Res3Text]],FIND("[",Tasks[[#This Row],[_Res3Text]]&amp;"[")-1))))</f>
        <v/>
      </c>
      <c r="EC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3" t="n">
        <f aca="false">IF(OR(NOT(Tasks[[#This Row],[_IsLeaf]]=1),Tasks[[#This Row],[_Res3Row]]=0),0,N(Tasks[[#This Row],[_Days]])*HoursPerDay*IF(Tasks[[#This Row],[_Res3Units]]="",DefaultUnits,Tasks[[#This Row],[_Res3Units]]))</f>
        <v>0</v>
      </c>
      <c r="EE45" s="43" t="n">
        <f aca="false">IF(AND(AND(Tasks[[#This Row],[_IsLeaf]]=1,Tasks[[#This Row],[_LeafTotalWork]]&gt;0),Tasks[[#This Row],[_Res3Work]]&gt;0),Tasks[[#This Row],[_Res3Work]]/(Tasks[[#This Row],[_FinishWorkday]]-Tasks[[#This Row],[_StartWorkday]]+1),0)</f>
        <v>0</v>
      </c>
      <c r="EF45" s="43" t="n">
        <f aca="false">Tasks[[#This Row],[_Res3WorkPerWD]]*MAX(0,Tasks[[#This Row],[_StartWorkday]]-1)</f>
        <v>0</v>
      </c>
      <c r="EG45" s="43" t="n">
        <f aca="false">Tasks[[#This Row],[_Res3Work]]*Tasks[[#This Row],[_LeafProgress]]</f>
        <v>0</v>
      </c>
      <c r="EH45" s="43" t="str">
        <f aca="false">IF(Tasks[[#This Row],[_Res4Text]]="","",IF(Tasks[[#This Row],[_Res4Row]]&gt;0,INDEX(res_Name,Tasks[[#This Row],[_Res4Row]]),TRIM(LEFT(Tasks[[#This Row],[_Res4Text]],FIND("[",Tasks[[#This Row],[_Res4Text]]&amp;"[")-1))))</f>
        <v/>
      </c>
      <c r="EI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3" t="n">
        <f aca="false">IF(OR(NOT(Tasks[[#This Row],[_IsLeaf]]=1),Tasks[[#This Row],[_Res4Row]]=0),0,N(Tasks[[#This Row],[_Days]])*HoursPerDay*IF(Tasks[[#This Row],[_Res4Units]]="",DefaultUnits,Tasks[[#This Row],[_Res4Units]]))</f>
        <v>0</v>
      </c>
      <c r="EK45" s="43" t="n">
        <f aca="false">IF(AND(AND(Tasks[[#This Row],[_IsLeaf]]=1,Tasks[[#This Row],[_LeafTotalWork]]&gt;0),Tasks[[#This Row],[_Res4Work]]&gt;0),Tasks[[#This Row],[_Res4Work]]/(Tasks[[#This Row],[_FinishWorkday]]-Tasks[[#This Row],[_StartWorkday]]+1),0)</f>
        <v>0</v>
      </c>
      <c r="EL45" s="43" t="n">
        <f aca="false">Tasks[[#This Row],[_Res4WorkPerWD]]*MAX(0,Tasks[[#This Row],[_StartWorkday]]-1)</f>
        <v>0</v>
      </c>
      <c r="EM45" s="43" t="n">
        <f aca="false">Tasks[[#This Row],[_Res4Work]]*Tasks[[#This Row],[_LeafProgress]]</f>
        <v>0</v>
      </c>
      <c r="EN45" s="43" t="n">
        <f aca="false">IF(ISNUMBER(Tasks[[#This Row],[% Complete]]),Tasks[[#This Row],[% Complete]],IF(Tasks[[#This Row],[Stage]]="",0,IFERROR(INDEX(stg_Pct,MATCH(Tasks[[#This Row],[Stage]],stg_Name,0)),0)))</f>
        <v>0</v>
      </c>
      <c r="EO45" s="43" t="n">
        <f aca="false">IF(NOT(Tasks[[#This Row],[_IsLeaf]]=1),0,IF(N(Tasks[[#This Row],[Actual Finish]])&gt;0,1,MIN(1,Tasks[[#This Row],[_Pct]])))</f>
        <v>0</v>
      </c>
      <c r="EP45" s="43" t="n">
        <f aca="false">IF(OR(NOT(Tasks[[#This Row],[_IsLeaf]]=1),Tasks[[#This Row],[_Res1Row]]=0),0,N(Tasks[[#This Row],[_Days]])*HoursPerDay*IF(Tasks[[#This Row],[_Units1]]="",DefaultUnits,Tasks[[#This Row],[_Units1]]))</f>
        <v>0</v>
      </c>
      <c r="EQ45" s="43" t="n">
        <f aca="false">Tasks[[#This Row],[_LeafWork]]+Tasks[[#This Row],[_Res2Work]]+Tasks[[#This Row],[_Res3Work]]+Tasks[[#This Row],[_Res4Work]]</f>
        <v>0</v>
      </c>
      <c r="ER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3" t="n">
        <f aca="false">IF(NOT(Tasks[[#This Row],[_IsLeaf]]=1),0,MAX(_xlfn.MAXIFS(Tasks[_Row],Tasks[_Pred1UID],Tasks[[#This Row],[UID]]),_xlfn.MAXIFS(Tasks[_Row],Tasks[_Pred2UID],Tasks[[#This Row],[UID]]),_xlfn.MAXIFS(Tasks[_Row],Tasks[_Pred3UID],Tasks[[#This Row],[UID]]),_xlfn.MAXIFS(Tasks[_Row],Tasks[_Pred4UID],Tasks[[#This Row],[UID]])))</f>
        <v>0</v>
      </c>
      <c r="FA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91" t="str">
        <f aca="false">IF(NOT(Tasks[[#This Row],[_IsLeaf]]=1),"",IF(N(Tasks[[#This Row],[_Days]])&lt;=0,Tasks[[#This Row],[_LeafLateFinish]],WORKDAY.INTL(Tasks[[#This Row],[_LeafLateFinish]],-(Tasks[[#This Row],[_Days]]-1),WorkWeek,Holidays)))</f>
        <v/>
      </c>
      <c r="FD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5" s="90" t="b">
        <f aca="false">AND(Tasks[[#This Row],[_IsLeaf]]=1,Tasks[[#This Row],[_LeafProgress]]&lt;1,N(Tasks[[#This Row],[_LeafTotalSlack]])&lt;=CriticalSlackDays)</f>
        <v>0</v>
      </c>
      <c r="FF45" s="43" t="n">
        <f aca="false">IF(AND(Tasks[[#This Row],[_IsLeaf]]=1,Tasks[[#This Row],[_ConstraintCode]]=1,Tasks[[#This Row],[Mode]]&lt;&gt;"Manual",N(Tasks[[#This Row],[Actual Start]])=0),MAX(0,N(Tasks[[#This Row],[Free Slack]])),0)</f>
        <v>0</v>
      </c>
      <c r="FG45" s="91" t="str">
        <f aca="false">IF(NOT(Tasks[[#This Row],[_IsLeaf]]=1),"",IF(Tasks[[#This Row],[_AlapShift]]=0,Tasks[[#This Row],[_LeafCalcStart]],WORKDAY.INTL(Tasks[[#This Row],[_LeafCalcStart]],Tasks[[#This Row],[_AlapShift]],WorkWeek,Holidays)))</f>
        <v/>
      </c>
      <c r="FH45" s="91" t="str">
        <f aca="false">IF(NOT(Tasks[[#This Row],[_IsLeaf]]=1),"",IF(Tasks[[#This Row],[_AlapShift]]=0,Tasks[[#This Row],[_LeafCalcFinish]],WORKDAY.INTL(Tasks[[#This Row],[_LeafCalcFinish]],Tasks[[#This Row],[_AlapShift]],WorkWeek,Holidays)))</f>
        <v/>
      </c>
      <c r="FI45" s="91" t="str">
        <f aca="false">IF(NOT(Tasks[[#This Row],[_IsLeaf]]=1),"",IF(Tasks[[#This Row],[_AlapShift]]=0,Tasks[[#This Row],[_LeafFcstStart]],WORKDAY.INTL(Tasks[[#This Row],[_LeafFcstStart]],Tasks[[#This Row],[_AlapShift]],WorkWeek,Holidays)))</f>
        <v/>
      </c>
      <c r="FJ45" s="91" t="str">
        <f aca="false">IF(NOT(Tasks[[#This Row],[_IsLeaf]]=1),"",IF(Tasks[[#This Row],[_AlapShift]]=0,Tasks[[#This Row],[_LeafFcstFinish]],WORKDAY.INTL(Tasks[[#This Row],[_LeafFcstFinish]],Tasks[[#This Row],[_AlapShift]],WorkWeek,Holidays)))</f>
        <v/>
      </c>
      <c r="FK45" s="91" t="str">
        <f aca="false">IF(Tasks[[#This Row],[Task Name]]="","",IF(Tasks[[#This Row],[_IsSummary]],MIN(INDEX(Tasks[_ShownCalcStart],Tasks[[#This Row],[_Row]]+1):INDEX(Tasks[_ShownCalcStart],Tasks[[#This Row],[_Row]]+Tasks[[#This Row],[_Descendants]])),Tasks[[#This Row],[_ShownCalcStart]]))</f>
        <v/>
      </c>
      <c r="FL45" s="91" t="str">
        <f aca="false">IF(Tasks[[#This Row],[Task Name]]="","",IF(Tasks[[#This Row],[_IsSummary]],MAX(INDEX(Tasks[_ShownCalcFinish],Tasks[[#This Row],[_Row]]+1):INDEX(Tasks[_ShownCalcFinish],Tasks[[#This Row],[_Row]]+Tasks[[#This Row],[_Descendants]])),Tasks[[#This Row],[_ShownCalcFinish]]))</f>
        <v/>
      </c>
      <c r="FM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5" s="43" t="n">
        <f aca="false">IF(AND(Tasks[[#This Row],[_IsLeaf]]=1,Tasks[[#This Row],[_LeafTotalWork]]&gt;0),NETWORKDAYS.INTL(ProjectStart,Tasks[[#This Row],[_ShownFcstStart]],WorkWeek,Holidays),0)</f>
        <v>0</v>
      </c>
      <c r="FZ45" s="43" t="n">
        <f aca="false">IF(AND(Tasks[[#This Row],[_IsLeaf]]=1,Tasks[[#This Row],[_LeafTotalWork]]&gt;0),MAX(Tasks[[#This Row],[_StartWorkday]],NETWORKDAYS.INTL(ProjectStart,Tasks[[#This Row],[_ShownFcstFinish]],WorkWeek,Holidays)),0)</f>
        <v>0</v>
      </c>
      <c r="GA45" s="43" t="n">
        <f aca="false">IF(AND(Tasks[[#This Row],[_IsLeaf]]=1,Tasks[[#This Row],[_LeafTotalWork]]&gt;0),Tasks[[#This Row],[_LeafWork]]/(Tasks[[#This Row],[_FinishWorkday]]-Tasks[[#This Row],[_StartWorkday]]+1),0)</f>
        <v>0</v>
      </c>
      <c r="GB45" s="43" t="n">
        <f aca="false">Tasks[[#This Row],[_WorkPerWorkday]]*(Tasks[[#This Row],[_StartWorkday]]-1)</f>
        <v>-0</v>
      </c>
      <c r="GC45" s="43" t="n">
        <f aca="false">IF(Tasks[[#This Row],[_IsLeaf]]=1,MAX(N(Tasks[[#This Row],[_Days]]),0.1),0)</f>
        <v>0</v>
      </c>
      <c r="GD45" s="43" t="n">
        <f aca="false">Tasks[[#This Row],[_WeightDur]]*Tasks[[#This Row],[_LeafProgress]]</f>
        <v>0</v>
      </c>
      <c r="GE45" s="43" t="n">
        <f aca="false">Tasks[[#This Row],[_WeightDur]]*Tasks[[#This Row],[_PlannedPct]]</f>
        <v>0</v>
      </c>
      <c r="GF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3" t="str">
        <f aca="false">IF(AND(Tasks[[#This Row],[_IsLeaf]]=1,N(Tasks[[#This Row],[_Days]])=0,Tasks[[#This Row],[_LeafProgress]]&lt;1),Tasks[[#This Row],[_ShownFcstFinish]]+Tasks[[#This Row],[_Row]]/100000,"")</f>
        <v/>
      </c>
      <c r="GH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5" s="43" t="str">
        <f aca="false">IF(Tasks[[#This Row],[Task Name]]="","",LEFT(Tasks[[#This Row],[WBS]],FIND(".",Tasks[[#This Row],[WBS]]&amp;".")-1))</f>
        <v/>
      </c>
      <c r="GJ45" s="43" t="str">
        <f aca="false">IF(AND(Tasks[[#This Row],[Task Name]]&lt;&gt;"",Tasks[[#This Row],[_Level]]=1),Tasks[[#This Row],[_Row]],"")</f>
        <v/>
      </c>
      <c r="GK45" s="43" t="str">
        <f aca="false">IF(AND(Tasks[[#This Row],[_IsLeaf]]=1,N(Tasks[[#This Row],[_Days]])=0),Tasks[[#This Row],[Planned Finish]]+Tasks[[#This Row],[_Row]]/100000,"")</f>
        <v/>
      </c>
      <c r="GL45" s="43" t="str">
        <f aca="false">IF(AND(Tasks[[#This Row],[_IsLeaf]]=1,Tasks[[#This Row],[_LeafProgress]]&lt;1,OR(N(Tasks[[#This Row],[Finish Var]])&gt;0,Tasks[[#This Row],[Status]]="Late Start")),MAX(0,Tasks[[#This Row],[Finish Var]])+1-Tasks[[#This Row],[_Row]]/1000000,"")</f>
        <v/>
      </c>
      <c r="GM45" s="43" t="str">
        <f aca="false">IF(AND(Tasks[[#This Row],[_IsLeaf]]=1,N(Tasks[[#This Row],[Actual Start]])=0,Tasks[[#This Row],[_ShownFcstStart]]&gt;=StatusDate,Tasks[[#This Row],[_ShownFcstStart]]&lt;=LookaheadEnd),Tasks[[#This Row],[_ShownFcstStart]]+Tasks[[#This Row],[_Row]]/100000,"")</f>
        <v/>
      </c>
      <c r="GN45" s="43" t="str">
        <f aca="false">IF(AND(Tasks[[#This Row],[_IsLeaf]]=1,Tasks[[#This Row],[_LeafProgress]]&lt;1,Tasks[[#This Row],[_ShownFcstFinish]]&gt;=StatusDate,Tasks[[#This Row],[_ShownFcstFinish]]&lt;=LookaheadEnd),Tasks[[#This Row],[_ShownFcstFinish]]+Tasks[[#This Row],[_Row]]/100000,"")</f>
        <v/>
      </c>
      <c r="GO45" s="43" t="str">
        <f aca="false">IF(Tasks[[#This Row],[_LeafCritical]],Tasks[[#This Row],[_ShownFcstStart]]+Tasks[[#This Row],[_Row]]/100000,"")</f>
        <v/>
      </c>
      <c r="GP45" s="43" t="n">
        <f aca="false">Tasks[[#This Row],[_LeafWork]]*Tasks[[#This Row],[_LeafProgress]]</f>
        <v>0</v>
      </c>
      <c r="GQ45" s="91" t="str">
        <f aca="false">IF(AND(Tasks[[#This Row],[_IsLeaf]]=1,Tasks[[#This Row],[_LeafProgress]]&gt;=1),IF(N(Tasks[[#This Row],[Actual Finish]])&gt;0,Tasks[[#This Row],[Actual Finish]],Tasks[[#This Row],[_ShownFcstFinish]]),"")</f>
        <v/>
      </c>
      <c r="GR45" s="43" t="n">
        <f aca="false">IF(Tasks[[#This Row],[_IsLeaf]]=1,N(Tasks[[#This Row],[Story Points]]),0)</f>
        <v>0</v>
      </c>
      <c r="GS45" s="43" t="str">
        <f aca="false">""</f>
        <v/>
      </c>
      <c r="GT45" s="90" t="b">
        <f aca="false">IF(Tasks[[#This Row],[Task Name]]="",FALSE(),AND(Tasks[[#This Row],[_IsLeaf]]=1,N(Tasks[[#This Row],[_Days]])=0))</f>
        <v>0</v>
      </c>
      <c r="GU45" s="91" t="n">
        <f aca="false">IF(Tasks[[#This Row],[Task Name]]="",0,IF(AND(Tasks[[#This Row],[_IsLeaf]]=1,NOT(Tasks[[#This Row],[_IsMilestone]]),N(Tasks[[#This Row],[Progress]])&gt;0),Tasks[[#This Row],[Start]],0))</f>
        <v>0</v>
      </c>
      <c r="GV45" s="91" t="n">
        <f aca="false">IF(Tasks[[#This Row],[_DoneFrom]]=0,0,IF(Tasks[[#This Row],[Progress]]&gt;=1,Tasks[[#This Row],[Finish]],MAX(Tasks[[#This Row],[_DoneFrom]],Tasks[[#This Row],[Start]]+ROUND((Tasks[[#This Row],[Finish]]-Tasks[[#This Row],[Start]]+1)*Tasks[[#This Row],[Progress]],0)-1)))</f>
        <v>0</v>
      </c>
      <c r="GW45" s="91" t="n">
        <f aca="false">IF(Tasks[[#This Row],[Task Name]]="",0,IF(OR(NOT(Tasks[[#This Row],[_IsLeaf]]=1),Tasks[[#This Row],[_IsMilestone]],N(Tasks[[#This Row],[Progress]])&gt;=1),0,IF(Tasks[[#This Row],[_DoneTo]]&gt;0,Tasks[[#This Row],[_DoneTo]]+1,Tasks[[#This Row],[Start]])))</f>
        <v>0</v>
      </c>
      <c r="GX45" s="91" t="n">
        <f aca="false">IF(Tasks[[#This Row],[_RemFrom]]=0,0,Tasks[[#This Row],[Finish]])</f>
        <v>0</v>
      </c>
      <c r="GY45" s="90" t="b">
        <f aca="false">IF(Tasks[[#This Row],[Task Name]]="",FALSE(),OR(NOT(BaselineSet),N(Tasks[[#This Row],[Baseline Start]])&gt;0))</f>
        <v>0</v>
      </c>
      <c r="GZ4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92" t="str">
        <f aca="false">IF(Tasks[[#This Row],[_IsLeaf]]=1,Tasks[[#This Row],[_Row]],"")</f>
        <v/>
      </c>
      <c r="HD45" s="92" t="str">
        <f aca="false">IFERROR(INDEX(Tasks[UID],SMALL(Tasks[_PickKey],Tasks[[#This Row],[_Row]]))&amp;" "&amp;INDEX(Tasks[Task Name],SMALL(Tasks[_PickKey],Tasks[[#This Row],[_Row]])),"")</f>
        <v/>
      </c>
      <c r="HE45" s="43" t="str">
        <f aca="false">IF(Tasks[[#This Row],[Task Name]]="","",IF(Tasks[[#This Row],[_IsSummary]],NETWORKDAYS.INTL(Tasks[[#This Row],[Start]],Tasks[[#This Row],[Finish]],WorkWeek,Holidays),N(Tasks[[#This Row],[_Days]])))</f>
        <v/>
      </c>
      <c r="HF45" s="43" t="n">
        <f aca="false">IF(Tasks[[#This Row],[Expected]]="",0,((Tasks[[#This Row],[Pessimistic]]-Tasks[[#This Row],[Optimistic]])/6)^2)</f>
        <v>0</v>
      </c>
      <c r="HG45" s="43" t="n">
        <f aca="false">IF(Tasks[[#This Row],[Expected]]="",0,Tasks[[#This Row],[Expected]]-N(Tasks[[#This Row],[_Days]]))</f>
        <v>0</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4"/>
      <c r="U46" s="23"/>
      <c r="V46" s="84"/>
      <c r="W46" s="23"/>
      <c r="X46" s="84"/>
      <c r="Y46" s="23"/>
      <c r="Z46" s="84"/>
      <c r="AA46" s="23"/>
      <c r="AB46" s="23"/>
      <c r="AC46" s="7"/>
      <c r="AD46" s="7"/>
      <c r="AE46" s="63" t="str">
        <f aca="false">IF(Tasks[[#This Row],[Task Name]]="","",IF(Tasks[[#This Row],[_IsSummary]],MIN(INDEX(Tasks[_ShownFcstStart],Tasks[[#This Row],[_Row]]+1):INDEX(Tasks[_ShownFcstStart],Tasks[[#This Row],[_Row]]+Tasks[[#This Row],[_Descendants]])),Tasks[[#This Row],[_ShownFcstStart]]))</f>
        <v/>
      </c>
      <c r="AF46" s="63"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6" s="7"/>
      <c r="AK46" s="22"/>
      <c r="AL46" s="23"/>
      <c r="AM46" s="7"/>
      <c r="AN46" s="47"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3" t="str">
        <f aca="false">IF(Tasks[[#This Row],[Task Name]]="","",IF(N(Tasks[[#This Row],[Baseline Start]])&gt;0,Tasks[[#This Row],[Baseline Start]],Tasks[[#This Row],[_CalcStart]]))</f>
        <v/>
      </c>
      <c r="AR46" s="63" t="str">
        <f aca="false">IF(Tasks[[#This Row],[Task Name]]="","",IF(N(Tasks[[#This Row],[Baseline Finish]])&gt;0,Tasks[[#This Row],[Baseline Finish]],Tasks[[#This Row],[_CalcFinish]]))</f>
        <v/>
      </c>
      <c r="AS46" s="47" t="str">
        <f aca="false">IF(Tasks[[#This Row],[Task Name]]="","",IF(Tasks[[#This Row],[Start]]&gt;=Tasks[[#This Row],[Planned Start]],NETWORKDAYS.INTL(Tasks[[#This Row],[Planned Start]],Tasks[[#This Row],[Start]],WorkWeek,Holidays)-1,1-NETWORKDAYS.INTL(Tasks[[#This Row],[Start]],Tasks[[#This Row],[Planned Start]],WorkWeek,Holidays)))</f>
        <v/>
      </c>
      <c r="AT46" s="63" t="str">
        <f aca="false">IF(Tasks[[#This Row],[Task Name]]="","",IF(Tasks[[#This Row],[_IsSummary]],MIN(INDEX(Tasks[_LeafLateStart],Tasks[[#This Row],[_Row]]+1):INDEX(Tasks[_LeafLateStart],Tasks[[#This Row],[_Row]]+Tasks[[#This Row],[_Descendants]])),Tasks[[#This Row],[_LeafLateStart]]))</f>
        <v/>
      </c>
      <c r="AU46" s="63" t="str">
        <f aca="false">IF(Tasks[[#This Row],[Task Name]]="","",IF(Tasks[[#This Row],[_IsSummary]],MAX(INDEX(Tasks[_LeafLateFinish],Tasks[[#This Row],[_Row]]+1):INDEX(Tasks[_LeafLateFinish],Tasks[[#This Row],[_Row]]+Tasks[[#This Row],[_Descendants]])),Tasks[[#This Row],[_LeafLateFinish]]))</f>
        <v/>
      </c>
      <c r="AV46" s="47"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5"/>
      <c r="BA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6"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7"/>
      <c r="BJ46" s="22"/>
      <c r="BK46" s="47" t="str">
        <f aca="false">IF(OR(Tasks[[#This Row],[Task Name]]="",Tasks[[#This Row],[Baseline Duration]]=""),"",Tasks[[#This Row],[_SpanDays]]-N(Tasks[[#This Row],[Baseline Duration]]))</f>
        <v/>
      </c>
      <c r="BL46" s="86" t="str">
        <f aca="false">IF(OR(Tasks[[#This Row],[Task Name]]="",Tasks[[#This Row],[Baseline Work]]=""),"",Tasks[[#This Row],[Work]]-N(Tasks[[#This Row],[Baseline Work]]))</f>
        <v/>
      </c>
      <c r="BM46" s="63" t="str">
        <f aca="false">IF(Tasks[[#This Row],[Task Name]]="","",IF(OR(TakeBaseline="Yes",N(Tasks[[#This Row],[Baseline Start]])=0),Tasks[[#This Row],[Start]],Tasks[[#This Row],[Baseline Start]]))</f>
        <v/>
      </c>
      <c r="BN46" s="63" t="str">
        <f aca="false">IF(Tasks[[#This Row],[Task Name]]="","",IF(OR(TakeBaseline="Yes",N(Tasks[[#This Row],[Baseline Finish]])=0),Tasks[[#This Row],[Finish]],Tasks[[#This Row],[Baseline Finish]]))</f>
        <v/>
      </c>
      <c r="BO46" s="21" t="str">
        <f aca="false">IF(Tasks[[#This Row],[Task Name]]="","",IF(OR(TakeBaseline="Yes",N(Tasks[[#This Row],[Baseline Duration]])=0),Tasks[[#This Row],[_SpanDays]],Tasks[[#This Row],[Baseline Duration]]))</f>
        <v/>
      </c>
      <c r="BP46" s="86" t="str">
        <f aca="false">IF(Tasks[[#This Row],[Task Name]]="","",IF(OR(TakeBaseline="Yes",N(Tasks[[#This Row],[Baseline Work]])=0),Tasks[[#This Row],[Work]],Tasks[[#This Row],[Baseline Work]]))</f>
        <v/>
      </c>
      <c r="BQ46" s="7"/>
      <c r="BR46" s="7"/>
      <c r="BS46" s="22"/>
      <c r="BT46" s="88"/>
      <c r="BU46" s="23"/>
      <c r="BV46" s="23"/>
      <c r="BW46" s="23"/>
      <c r="BX46" s="89" t="str">
        <f aca="false">IF(AND(Tasks[[#This Row],[_IsLeaf]]=1,ISNUMBER(Tasks[[#This Row],[Optimistic]]),ISNUMBER(Tasks[[#This Row],[Pessimistic]])),ROUND((Tasks[[#This Row],[Optimistic]]+4*N(Tasks[[#This Row],[_Days]])+Tasks[[#This Row],[Pessimistic]])/6,1),"")</f>
        <v/>
      </c>
      <c r="BY46" s="87"/>
      <c r="BZ46" s="87"/>
      <c r="CA46" s="22"/>
      <c r="CB46" s="43" t="str">
        <f aca="false">IF(Tasks[[#This Row],[Task Name]]="","",MAX(1,N(Tasks[[#This Row],[Level]])))</f>
        <v/>
      </c>
      <c r="CC46" s="43" t="n">
        <f aca="false">ROW()-ROW(Tasks[[#Headers],[ID]])</f>
        <v>41</v>
      </c>
      <c r="CD46" s="43" t="n">
        <f aca="false">IF(OR(Tasks[[#This Row],[Task Name]]="",Tasks[[#This Row],[_Level]]&lt;=1),0,IFERROR(LOOKUP(2,1/(Tasks[[#Headers],[_Level]]:Tasks[[#This Row],[_Level]]=Tasks[[#This Row],[_Level]]-1),ROW(Tasks[[#Headers],[_Level]]:Tasks[[#This Row],[_Level]])),0))</f>
        <v>0</v>
      </c>
      <c r="CE46" s="43" t="n">
        <f aca="false">IFERROR(N(INDEX(Tasks[_Level],Tasks[[#This Row],[_Row]]+1)),0)</f>
        <v>0</v>
      </c>
      <c r="CF46" s="90" t="b">
        <f aca="false">AND(Tasks[[#This Row],[Task Name]]&lt;&gt;"",Tasks[[#This Row],[_NextLevel]]&gt;Tasks[[#This Row],[_Level]])</f>
        <v>0</v>
      </c>
      <c r="CG46" s="43" t="n">
        <f aca="false">IF(Tasks[[#This Row],[_IsSummary]],COUNTIF(Tasks[WBS],Tasks[[#This Row],[WBS]]&amp;".*"),0)</f>
        <v>0</v>
      </c>
      <c r="CH46" s="43" t="n">
        <f aca="false">IF(AND(Tasks[[#This Row],[Task Name]]&lt;&gt;"",NOT(Tasks[[#This Row],[_IsSummary]])),1,0)</f>
        <v>0</v>
      </c>
      <c r="CI46" s="43" t="n">
        <f aca="false">IF(N(Tasks[[#This Row],[_Pred1UID]])=0,0,IFERROR(MATCH(Tasks[[#This Row],[_Pred1UID]],Tasks[UID],0),-1))</f>
        <v>0</v>
      </c>
      <c r="CJ46" s="43" t="n">
        <f aca="false">IF(N(Tasks[[#This Row],[_Pred2UID]])=0,0,IFERROR(MATCH(Tasks[[#This Row],[_Pred2UID]],Tasks[UID],0),-1))</f>
        <v>0</v>
      </c>
      <c r="CK46" s="43" t="n">
        <f aca="false">IF(N(Tasks[[#This Row],[_Pred3UID]])=0,0,IFERROR(MATCH(Tasks[[#This Row],[_Pred3UID]],Tasks[UID],0),-1))</f>
        <v>0</v>
      </c>
      <c r="CL46" s="43" t="n">
        <f aca="false">IF(N(Tasks[[#This Row],[_Pred4UID]])=0,0,IFERROR(MATCH(Tasks[[#This Row],[_Pred4UID]],Tasks[UID],0),-1))</f>
        <v>0</v>
      </c>
      <c r="CM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6" s="91" t="n">
        <f aca="false">IF(OR(Tasks[[#This Row],[_ConstraintCode]]=2,Tasks[[#This Row],[_ConstraintCode]]=3,Tasks[[#This Row],[_ConstraintCode]]=4,Tasks[[#This Row],[_ConstraintCode]]=6),Tasks[[#This Row],[_ConstraintStart]],0)</f>
        <v>0</v>
      </c>
      <c r="CP46" s="91" t="n">
        <f aca="false">IF(OR(Tasks[[#This Row],[_ConstraintCode]]=2,Tasks[[#This Row],[_ConstraintCode]]=3,Tasks[[#This Row],[_ConstraintCode]]=5,Tasks[[#This Row],[_ConstraintCode]]=7),Tasks[[#This Row],[_ConstraintStart]],2958465)</f>
        <v>2958465</v>
      </c>
      <c r="CQ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91" t="str">
        <f aca="false">IF(NOT(Tasks[[#This Row],[_IsLeaf]]=1),"",IF(N(Tasks[[#This Row],[_Days]])&lt;=0,Tasks[[#This Row],[_LeafCalcStart]],WORKDAY.INTL(Tasks[[#This Row],[_LeafCalcStart]],Tasks[[#This Row],[_Days]]-1,WorkWeek,Holidays)))</f>
        <v/>
      </c>
      <c r="CS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3" t="str">
        <f aca="false">IF(Tasks[[#This Row],[_Predecessors]]="","",TRIM(MID(SUBSTITUTE(SUBSTITUTE(SUBSTITUTE(UPPER(Tasks[[#This Row],[_Predecessors]]),";",",")," ",""),",",REPT(" ",99)),1,99)))</f>
        <v/>
      </c>
      <c r="CV46" s="43" t="str">
        <f aca="false">IF(Tasks[[#This Row],[_Pred1Text]]="","",IFERROR(VALUE(LEFT(Tasks[[#This Row],[_Pred1Text]],MIN(FIND("F",Tasks[[#This Row],[_Pred1Text]]&amp;"F"),FIND("S",Tasks[[#This Row],[_Pred1Text]]&amp;"S"),FIND("+",Tasks[[#This Row],[_Pred1Text]]&amp;"+"),FIND("-",Tasks[[#This Row],[_Pred1Text]]&amp;"-"))-1)),""))</f>
        <v/>
      </c>
      <c r="CW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3" t="str">
        <f aca="false">IF(Tasks[[#This Row],[_Pred1Text]]="","",TRIM(MID(SUBSTITUTE(SUBSTITUTE(SUBSTITUTE(UPPER(Tasks[[#This Row],[_Predecessors]]),";",",")," ",""),",",REPT(" ",99)),100,99)))</f>
        <v/>
      </c>
      <c r="CZ46" s="43" t="str">
        <f aca="false">IF(Tasks[[#This Row],[_Pred2Text]]="","",IFERROR(VALUE(LEFT(Tasks[[#This Row],[_Pred2Text]],MIN(FIND("F",Tasks[[#This Row],[_Pred2Text]]&amp;"F"),FIND("S",Tasks[[#This Row],[_Pred2Text]]&amp;"S"),FIND("+",Tasks[[#This Row],[_Pred2Text]]&amp;"+"),FIND("-",Tasks[[#This Row],[_Pred2Text]]&amp;"-"))-1)),""))</f>
        <v/>
      </c>
      <c r="DA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3" t="str">
        <f aca="false">IF(Tasks[[#This Row],[_Pred2Text]]="","",TRIM(MID(SUBSTITUTE(SUBSTITUTE(SUBSTITUTE(UPPER(Tasks[[#This Row],[_Predecessors]]),";",",")," ",""),",",REPT(" ",99)),199,99)))</f>
        <v/>
      </c>
      <c r="DD46" s="43" t="str">
        <f aca="false">IF(Tasks[[#This Row],[_Pred3Text]]="","",IFERROR(VALUE(LEFT(Tasks[[#This Row],[_Pred3Text]],MIN(FIND("F",Tasks[[#This Row],[_Pred3Text]]&amp;"F"),FIND("S",Tasks[[#This Row],[_Pred3Text]]&amp;"S"),FIND("+",Tasks[[#This Row],[_Pred3Text]]&amp;"+"),FIND("-",Tasks[[#This Row],[_Pred3Text]]&amp;"-"))-1)),""))</f>
        <v/>
      </c>
      <c r="DE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3" t="str">
        <f aca="false">IF(Tasks[[#This Row],[_Pred3Text]]="","",TRIM(MID(SUBSTITUTE(SUBSTITUTE(SUBSTITUTE(UPPER(Tasks[[#This Row],[_Predecessors]]),";",",")," ",""),",",REPT(" ",99)),298,99)))</f>
        <v/>
      </c>
      <c r="DH46" s="43" t="str">
        <f aca="false">IF(Tasks[[#This Row],[_Pred4Text]]="","",IFERROR(VALUE(LEFT(Tasks[[#This Row],[_Pred4Text]],MIN(FIND("F",Tasks[[#This Row],[_Pred4Text]]&amp;"F"),FIND("S",Tasks[[#This Row],[_Pred4Text]]&amp;"S"),FIND("+",Tasks[[#This Row],[_Pred4Text]]&amp;"+"),FIND("-",Tasks[[#This Row],[_Pred4Text]]&amp;"-"))-1)),""))</f>
        <v/>
      </c>
      <c r="DI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3" t="str">
        <f aca="false">IF(OR(Tasks[[#This Row],[Task Name]]="",Tasks[[#This Row],[_Resources]]=""),"",TRIM(MID(SUBSTITUTE(Tasks[[#This Row],[_Resources]],",",REPT(" ",99)),1,99)))</f>
        <v/>
      </c>
      <c r="DL46" s="43" t="str">
        <f aca="false">IF(Tasks[[#This Row],[_Res1Text]]="","",TRIM(MID(SUBSTITUTE(Tasks[[#This Row],[_Resources]],",",REPT(" ",99)),100,99)))</f>
        <v/>
      </c>
      <c r="DM46" s="43" t="str">
        <f aca="false">IF(Tasks[[#This Row],[_Res2Text]]="","",TRIM(MID(SUBSTITUTE(Tasks[[#This Row],[_Resources]],",",REPT(" ",99)),199,99)))</f>
        <v/>
      </c>
      <c r="DN46" s="43" t="str">
        <f aca="false">IF(Tasks[[#This Row],[_Res3Text]]="","",TRIM(MID(SUBSTITUTE(Tasks[[#This Row],[_Resources]],",",REPT(" ",99)),298,99)))</f>
        <v/>
      </c>
      <c r="DO46" s="43" t="n">
        <f aca="false">IF(Tasks[[#This Row],[_Res1Text]]="",0,IFERROR(MATCH(TRIM(LEFT(Tasks[[#This Row],[_Res1Text]],FIND("[",Tasks[[#This Row],[_Res1Text]]&amp;"[")-1)),res_Name,0),IFERROR(MATCH(TRIM(LEFT(Tasks[[#This Row],[_Res1Text]],FIND("[",Tasks[[#This Row],[_Res1Text]]&amp;"[")-1)),res_Initials,0),0)))</f>
        <v>0</v>
      </c>
      <c r="DP46" s="43" t="n">
        <f aca="false">IF(Tasks[[#This Row],[_Res2Text]]="",0,IFERROR(MATCH(TRIM(LEFT(Tasks[[#This Row],[_Res2Text]],FIND("[",Tasks[[#This Row],[_Res2Text]]&amp;"[")-1)),res_Name,0),IFERROR(MATCH(TRIM(LEFT(Tasks[[#This Row],[_Res2Text]],FIND("[",Tasks[[#This Row],[_Res2Text]]&amp;"[")-1)),res_Initials,0),0)))</f>
        <v>0</v>
      </c>
      <c r="DQ46" s="43" t="n">
        <f aca="false">IF(Tasks[[#This Row],[_Res3Text]]="",0,IFERROR(MATCH(TRIM(LEFT(Tasks[[#This Row],[_Res3Text]],FIND("[",Tasks[[#This Row],[_Res3Text]]&amp;"[")-1)),res_Name,0),IFERROR(MATCH(TRIM(LEFT(Tasks[[#This Row],[_Res3Text]],FIND("[",Tasks[[#This Row],[_Res3Text]]&amp;"[")-1)),res_Initials,0),0)))</f>
        <v>0</v>
      </c>
      <c r="DR46" s="43" t="n">
        <f aca="false">IF(Tasks[[#This Row],[_Res4Text]]="",0,IFERROR(MATCH(TRIM(LEFT(Tasks[[#This Row],[_Res4Text]],FIND("[",Tasks[[#This Row],[_Res4Text]]&amp;"[")-1)),res_Name,0),IFERROR(MATCH(TRIM(LEFT(Tasks[[#This Row],[_Res4Text]],FIND("[",Tasks[[#This Row],[_Res4Text]]&amp;"[")-1)),res_Initials,0),0)))</f>
        <v>0</v>
      </c>
      <c r="DS46" s="43" t="str">
        <f aca="false">IF(Tasks[[#This Row],[_Res1Text]]="","",IF(Tasks[[#This Row],[_Res1Row]]&gt;0,INDEX(res_Name,Tasks[[#This Row],[_Res1Row]]),TRIM(LEFT(Tasks[[#This Row],[_Res1Text]],FIND("[",Tasks[[#This Row],[_Res1Text]]&amp;"[")-1))))</f>
        <v/>
      </c>
      <c r="DT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3" t="n">
        <f aca="false">IF(NOT(Tasks[[#This Row],[_IsLeaf]]=1),0,(Tasks[[#This Row],[_Resource1]]&lt;&gt;"")+(Tasks[[#This Row],[_Res2]]&lt;&gt;"")+(Tasks[[#This Row],[_Res3]]&lt;&gt;"")+(Tasks[[#This Row],[_Res4]]&lt;&gt;""))</f>
        <v>0</v>
      </c>
      <c r="DV46" s="43" t="str">
        <f aca="false">IF(Tasks[[#This Row],[_Res2Text]]="","",IF(Tasks[[#This Row],[_Res2Row]]&gt;0,INDEX(res_Name,Tasks[[#This Row],[_Res2Row]]),TRIM(LEFT(Tasks[[#This Row],[_Res2Text]],FIND("[",Tasks[[#This Row],[_Res2Text]]&amp;"[")-1))))</f>
        <v/>
      </c>
      <c r="DW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3" t="n">
        <f aca="false">IF(OR(NOT(Tasks[[#This Row],[_IsLeaf]]=1),Tasks[[#This Row],[_Res2Row]]=0),0,N(Tasks[[#This Row],[_Days]])*HoursPerDay*IF(Tasks[[#This Row],[_Res2Units]]="",DefaultUnits,Tasks[[#This Row],[_Res2Units]]))</f>
        <v>0</v>
      </c>
      <c r="DY46" s="43" t="n">
        <f aca="false">IF(AND(AND(Tasks[[#This Row],[_IsLeaf]]=1,Tasks[[#This Row],[_LeafTotalWork]]&gt;0),Tasks[[#This Row],[_Res2Work]]&gt;0),Tasks[[#This Row],[_Res2Work]]/(Tasks[[#This Row],[_FinishWorkday]]-Tasks[[#This Row],[_StartWorkday]]+1),0)</f>
        <v>0</v>
      </c>
      <c r="DZ46" s="43" t="n">
        <f aca="false">Tasks[[#This Row],[_Res2WorkPerWD]]*MAX(0,Tasks[[#This Row],[_StartWorkday]]-1)</f>
        <v>0</v>
      </c>
      <c r="EA46" s="43" t="n">
        <f aca="false">Tasks[[#This Row],[_Res2Work]]*Tasks[[#This Row],[_LeafProgress]]</f>
        <v>0</v>
      </c>
      <c r="EB46" s="43" t="str">
        <f aca="false">IF(Tasks[[#This Row],[_Res3Text]]="","",IF(Tasks[[#This Row],[_Res3Row]]&gt;0,INDEX(res_Name,Tasks[[#This Row],[_Res3Row]]),TRIM(LEFT(Tasks[[#This Row],[_Res3Text]],FIND("[",Tasks[[#This Row],[_Res3Text]]&amp;"[")-1))))</f>
        <v/>
      </c>
      <c r="EC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3" t="n">
        <f aca="false">IF(OR(NOT(Tasks[[#This Row],[_IsLeaf]]=1),Tasks[[#This Row],[_Res3Row]]=0),0,N(Tasks[[#This Row],[_Days]])*HoursPerDay*IF(Tasks[[#This Row],[_Res3Units]]="",DefaultUnits,Tasks[[#This Row],[_Res3Units]]))</f>
        <v>0</v>
      </c>
      <c r="EE46" s="43" t="n">
        <f aca="false">IF(AND(AND(Tasks[[#This Row],[_IsLeaf]]=1,Tasks[[#This Row],[_LeafTotalWork]]&gt;0),Tasks[[#This Row],[_Res3Work]]&gt;0),Tasks[[#This Row],[_Res3Work]]/(Tasks[[#This Row],[_FinishWorkday]]-Tasks[[#This Row],[_StartWorkday]]+1),0)</f>
        <v>0</v>
      </c>
      <c r="EF46" s="43" t="n">
        <f aca="false">Tasks[[#This Row],[_Res3WorkPerWD]]*MAX(0,Tasks[[#This Row],[_StartWorkday]]-1)</f>
        <v>0</v>
      </c>
      <c r="EG46" s="43" t="n">
        <f aca="false">Tasks[[#This Row],[_Res3Work]]*Tasks[[#This Row],[_LeafProgress]]</f>
        <v>0</v>
      </c>
      <c r="EH46" s="43" t="str">
        <f aca="false">IF(Tasks[[#This Row],[_Res4Text]]="","",IF(Tasks[[#This Row],[_Res4Row]]&gt;0,INDEX(res_Name,Tasks[[#This Row],[_Res4Row]]),TRIM(LEFT(Tasks[[#This Row],[_Res4Text]],FIND("[",Tasks[[#This Row],[_Res4Text]]&amp;"[")-1))))</f>
        <v/>
      </c>
      <c r="EI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3" t="n">
        <f aca="false">IF(OR(NOT(Tasks[[#This Row],[_IsLeaf]]=1),Tasks[[#This Row],[_Res4Row]]=0),0,N(Tasks[[#This Row],[_Days]])*HoursPerDay*IF(Tasks[[#This Row],[_Res4Units]]="",DefaultUnits,Tasks[[#This Row],[_Res4Units]]))</f>
        <v>0</v>
      </c>
      <c r="EK46" s="43" t="n">
        <f aca="false">IF(AND(AND(Tasks[[#This Row],[_IsLeaf]]=1,Tasks[[#This Row],[_LeafTotalWork]]&gt;0),Tasks[[#This Row],[_Res4Work]]&gt;0),Tasks[[#This Row],[_Res4Work]]/(Tasks[[#This Row],[_FinishWorkday]]-Tasks[[#This Row],[_StartWorkday]]+1),0)</f>
        <v>0</v>
      </c>
      <c r="EL46" s="43" t="n">
        <f aca="false">Tasks[[#This Row],[_Res4WorkPerWD]]*MAX(0,Tasks[[#This Row],[_StartWorkday]]-1)</f>
        <v>0</v>
      </c>
      <c r="EM46" s="43" t="n">
        <f aca="false">Tasks[[#This Row],[_Res4Work]]*Tasks[[#This Row],[_LeafProgress]]</f>
        <v>0</v>
      </c>
      <c r="EN46" s="43" t="n">
        <f aca="false">IF(ISNUMBER(Tasks[[#This Row],[% Complete]]),Tasks[[#This Row],[% Complete]],IF(Tasks[[#This Row],[Stage]]="",0,IFERROR(INDEX(stg_Pct,MATCH(Tasks[[#This Row],[Stage]],stg_Name,0)),0)))</f>
        <v>0</v>
      </c>
      <c r="EO46" s="43" t="n">
        <f aca="false">IF(NOT(Tasks[[#This Row],[_IsLeaf]]=1),0,IF(N(Tasks[[#This Row],[Actual Finish]])&gt;0,1,MIN(1,Tasks[[#This Row],[_Pct]])))</f>
        <v>0</v>
      </c>
      <c r="EP46" s="43" t="n">
        <f aca="false">IF(OR(NOT(Tasks[[#This Row],[_IsLeaf]]=1),Tasks[[#This Row],[_Res1Row]]=0),0,N(Tasks[[#This Row],[_Days]])*HoursPerDay*IF(Tasks[[#This Row],[_Units1]]="",DefaultUnits,Tasks[[#This Row],[_Units1]]))</f>
        <v>0</v>
      </c>
      <c r="EQ46" s="43" t="n">
        <f aca="false">Tasks[[#This Row],[_LeafWork]]+Tasks[[#This Row],[_Res2Work]]+Tasks[[#This Row],[_Res3Work]]+Tasks[[#This Row],[_Res4Work]]</f>
        <v>0</v>
      </c>
      <c r="ER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3" t="n">
        <f aca="false">IF(NOT(Tasks[[#This Row],[_IsLeaf]]=1),0,MAX(_xlfn.MAXIFS(Tasks[_Row],Tasks[_Pred1UID],Tasks[[#This Row],[UID]]),_xlfn.MAXIFS(Tasks[_Row],Tasks[_Pred2UID],Tasks[[#This Row],[UID]]),_xlfn.MAXIFS(Tasks[_Row],Tasks[_Pred3UID],Tasks[[#This Row],[UID]]),_xlfn.MAXIFS(Tasks[_Row],Tasks[_Pred4UID],Tasks[[#This Row],[UID]])))</f>
        <v>0</v>
      </c>
      <c r="FA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91" t="str">
        <f aca="false">IF(NOT(Tasks[[#This Row],[_IsLeaf]]=1),"",IF(N(Tasks[[#This Row],[_Days]])&lt;=0,Tasks[[#This Row],[_LeafLateFinish]],WORKDAY.INTL(Tasks[[#This Row],[_LeafLateFinish]],-(Tasks[[#This Row],[_Days]]-1),WorkWeek,Holidays)))</f>
        <v/>
      </c>
      <c r="FD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6" s="90" t="b">
        <f aca="false">AND(Tasks[[#This Row],[_IsLeaf]]=1,Tasks[[#This Row],[_LeafProgress]]&lt;1,N(Tasks[[#This Row],[_LeafTotalSlack]])&lt;=CriticalSlackDays)</f>
        <v>0</v>
      </c>
      <c r="FF46" s="43" t="n">
        <f aca="false">IF(AND(Tasks[[#This Row],[_IsLeaf]]=1,Tasks[[#This Row],[_ConstraintCode]]=1,Tasks[[#This Row],[Mode]]&lt;&gt;"Manual",N(Tasks[[#This Row],[Actual Start]])=0),MAX(0,N(Tasks[[#This Row],[Free Slack]])),0)</f>
        <v>0</v>
      </c>
      <c r="FG46" s="91" t="str">
        <f aca="false">IF(NOT(Tasks[[#This Row],[_IsLeaf]]=1),"",IF(Tasks[[#This Row],[_AlapShift]]=0,Tasks[[#This Row],[_LeafCalcStart]],WORKDAY.INTL(Tasks[[#This Row],[_LeafCalcStart]],Tasks[[#This Row],[_AlapShift]],WorkWeek,Holidays)))</f>
        <v/>
      </c>
      <c r="FH46" s="91" t="str">
        <f aca="false">IF(NOT(Tasks[[#This Row],[_IsLeaf]]=1),"",IF(Tasks[[#This Row],[_AlapShift]]=0,Tasks[[#This Row],[_LeafCalcFinish]],WORKDAY.INTL(Tasks[[#This Row],[_LeafCalcFinish]],Tasks[[#This Row],[_AlapShift]],WorkWeek,Holidays)))</f>
        <v/>
      </c>
      <c r="FI46" s="91" t="str">
        <f aca="false">IF(NOT(Tasks[[#This Row],[_IsLeaf]]=1),"",IF(Tasks[[#This Row],[_AlapShift]]=0,Tasks[[#This Row],[_LeafFcstStart]],WORKDAY.INTL(Tasks[[#This Row],[_LeafFcstStart]],Tasks[[#This Row],[_AlapShift]],WorkWeek,Holidays)))</f>
        <v/>
      </c>
      <c r="FJ46" s="91" t="str">
        <f aca="false">IF(NOT(Tasks[[#This Row],[_IsLeaf]]=1),"",IF(Tasks[[#This Row],[_AlapShift]]=0,Tasks[[#This Row],[_LeafFcstFinish]],WORKDAY.INTL(Tasks[[#This Row],[_LeafFcstFinish]],Tasks[[#This Row],[_AlapShift]],WorkWeek,Holidays)))</f>
        <v/>
      </c>
      <c r="FK46" s="91" t="str">
        <f aca="false">IF(Tasks[[#This Row],[Task Name]]="","",IF(Tasks[[#This Row],[_IsSummary]],MIN(INDEX(Tasks[_ShownCalcStart],Tasks[[#This Row],[_Row]]+1):INDEX(Tasks[_ShownCalcStart],Tasks[[#This Row],[_Row]]+Tasks[[#This Row],[_Descendants]])),Tasks[[#This Row],[_ShownCalcStart]]))</f>
        <v/>
      </c>
      <c r="FL46" s="91" t="str">
        <f aca="false">IF(Tasks[[#This Row],[Task Name]]="","",IF(Tasks[[#This Row],[_IsSummary]],MAX(INDEX(Tasks[_ShownCalcFinish],Tasks[[#This Row],[_Row]]+1):INDEX(Tasks[_ShownCalcFinish],Tasks[[#This Row],[_Row]]+Tasks[[#This Row],[_Descendants]])),Tasks[[#This Row],[_ShownCalcFinish]]))</f>
        <v/>
      </c>
      <c r="FM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6" s="43" t="n">
        <f aca="false">IF(AND(Tasks[[#This Row],[_IsLeaf]]=1,Tasks[[#This Row],[_LeafTotalWork]]&gt;0),NETWORKDAYS.INTL(ProjectStart,Tasks[[#This Row],[_ShownFcstStart]],WorkWeek,Holidays),0)</f>
        <v>0</v>
      </c>
      <c r="FZ46" s="43" t="n">
        <f aca="false">IF(AND(Tasks[[#This Row],[_IsLeaf]]=1,Tasks[[#This Row],[_LeafTotalWork]]&gt;0),MAX(Tasks[[#This Row],[_StartWorkday]],NETWORKDAYS.INTL(ProjectStart,Tasks[[#This Row],[_ShownFcstFinish]],WorkWeek,Holidays)),0)</f>
        <v>0</v>
      </c>
      <c r="GA46" s="43" t="n">
        <f aca="false">IF(AND(Tasks[[#This Row],[_IsLeaf]]=1,Tasks[[#This Row],[_LeafTotalWork]]&gt;0),Tasks[[#This Row],[_LeafWork]]/(Tasks[[#This Row],[_FinishWorkday]]-Tasks[[#This Row],[_StartWorkday]]+1),0)</f>
        <v>0</v>
      </c>
      <c r="GB46" s="43" t="n">
        <f aca="false">Tasks[[#This Row],[_WorkPerWorkday]]*(Tasks[[#This Row],[_StartWorkday]]-1)</f>
        <v>-0</v>
      </c>
      <c r="GC46" s="43" t="n">
        <f aca="false">IF(Tasks[[#This Row],[_IsLeaf]]=1,MAX(N(Tasks[[#This Row],[_Days]]),0.1),0)</f>
        <v>0</v>
      </c>
      <c r="GD46" s="43" t="n">
        <f aca="false">Tasks[[#This Row],[_WeightDur]]*Tasks[[#This Row],[_LeafProgress]]</f>
        <v>0</v>
      </c>
      <c r="GE46" s="43" t="n">
        <f aca="false">Tasks[[#This Row],[_WeightDur]]*Tasks[[#This Row],[_PlannedPct]]</f>
        <v>0</v>
      </c>
      <c r="GF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3" t="str">
        <f aca="false">IF(AND(Tasks[[#This Row],[_IsLeaf]]=1,N(Tasks[[#This Row],[_Days]])=0,Tasks[[#This Row],[_LeafProgress]]&lt;1),Tasks[[#This Row],[_ShownFcstFinish]]+Tasks[[#This Row],[_Row]]/100000,"")</f>
        <v/>
      </c>
      <c r="GH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6" s="43" t="str">
        <f aca="false">IF(Tasks[[#This Row],[Task Name]]="","",LEFT(Tasks[[#This Row],[WBS]],FIND(".",Tasks[[#This Row],[WBS]]&amp;".")-1))</f>
        <v/>
      </c>
      <c r="GJ46" s="43" t="str">
        <f aca="false">IF(AND(Tasks[[#This Row],[Task Name]]&lt;&gt;"",Tasks[[#This Row],[_Level]]=1),Tasks[[#This Row],[_Row]],"")</f>
        <v/>
      </c>
      <c r="GK46" s="43" t="str">
        <f aca="false">IF(AND(Tasks[[#This Row],[_IsLeaf]]=1,N(Tasks[[#This Row],[_Days]])=0),Tasks[[#This Row],[Planned Finish]]+Tasks[[#This Row],[_Row]]/100000,"")</f>
        <v/>
      </c>
      <c r="GL46" s="43" t="str">
        <f aca="false">IF(AND(Tasks[[#This Row],[_IsLeaf]]=1,Tasks[[#This Row],[_LeafProgress]]&lt;1,OR(N(Tasks[[#This Row],[Finish Var]])&gt;0,Tasks[[#This Row],[Status]]="Late Start")),MAX(0,Tasks[[#This Row],[Finish Var]])+1-Tasks[[#This Row],[_Row]]/1000000,"")</f>
        <v/>
      </c>
      <c r="GM46" s="43" t="str">
        <f aca="false">IF(AND(Tasks[[#This Row],[_IsLeaf]]=1,N(Tasks[[#This Row],[Actual Start]])=0,Tasks[[#This Row],[_ShownFcstStart]]&gt;=StatusDate,Tasks[[#This Row],[_ShownFcstStart]]&lt;=LookaheadEnd),Tasks[[#This Row],[_ShownFcstStart]]+Tasks[[#This Row],[_Row]]/100000,"")</f>
        <v/>
      </c>
      <c r="GN46" s="43" t="str">
        <f aca="false">IF(AND(Tasks[[#This Row],[_IsLeaf]]=1,Tasks[[#This Row],[_LeafProgress]]&lt;1,Tasks[[#This Row],[_ShownFcstFinish]]&gt;=StatusDate,Tasks[[#This Row],[_ShownFcstFinish]]&lt;=LookaheadEnd),Tasks[[#This Row],[_ShownFcstFinish]]+Tasks[[#This Row],[_Row]]/100000,"")</f>
        <v/>
      </c>
      <c r="GO46" s="43" t="str">
        <f aca="false">IF(Tasks[[#This Row],[_LeafCritical]],Tasks[[#This Row],[_ShownFcstStart]]+Tasks[[#This Row],[_Row]]/100000,"")</f>
        <v/>
      </c>
      <c r="GP46" s="43" t="n">
        <f aca="false">Tasks[[#This Row],[_LeafWork]]*Tasks[[#This Row],[_LeafProgress]]</f>
        <v>0</v>
      </c>
      <c r="GQ46" s="91" t="str">
        <f aca="false">IF(AND(Tasks[[#This Row],[_IsLeaf]]=1,Tasks[[#This Row],[_LeafProgress]]&gt;=1),IF(N(Tasks[[#This Row],[Actual Finish]])&gt;0,Tasks[[#This Row],[Actual Finish]],Tasks[[#This Row],[_ShownFcstFinish]]),"")</f>
        <v/>
      </c>
      <c r="GR46" s="43" t="n">
        <f aca="false">IF(Tasks[[#This Row],[_IsLeaf]]=1,N(Tasks[[#This Row],[Story Points]]),0)</f>
        <v>0</v>
      </c>
      <c r="GS46" s="43" t="str">
        <f aca="false">""</f>
        <v/>
      </c>
      <c r="GT46" s="90" t="b">
        <f aca="false">IF(Tasks[[#This Row],[Task Name]]="",FALSE(),AND(Tasks[[#This Row],[_IsLeaf]]=1,N(Tasks[[#This Row],[_Days]])=0))</f>
        <v>0</v>
      </c>
      <c r="GU46" s="91" t="n">
        <f aca="false">IF(Tasks[[#This Row],[Task Name]]="",0,IF(AND(Tasks[[#This Row],[_IsLeaf]]=1,NOT(Tasks[[#This Row],[_IsMilestone]]),N(Tasks[[#This Row],[Progress]])&gt;0),Tasks[[#This Row],[Start]],0))</f>
        <v>0</v>
      </c>
      <c r="GV46" s="91" t="n">
        <f aca="false">IF(Tasks[[#This Row],[_DoneFrom]]=0,0,IF(Tasks[[#This Row],[Progress]]&gt;=1,Tasks[[#This Row],[Finish]],MAX(Tasks[[#This Row],[_DoneFrom]],Tasks[[#This Row],[Start]]+ROUND((Tasks[[#This Row],[Finish]]-Tasks[[#This Row],[Start]]+1)*Tasks[[#This Row],[Progress]],0)-1)))</f>
        <v>0</v>
      </c>
      <c r="GW46" s="91" t="n">
        <f aca="false">IF(Tasks[[#This Row],[Task Name]]="",0,IF(OR(NOT(Tasks[[#This Row],[_IsLeaf]]=1),Tasks[[#This Row],[_IsMilestone]],N(Tasks[[#This Row],[Progress]])&gt;=1),0,IF(Tasks[[#This Row],[_DoneTo]]&gt;0,Tasks[[#This Row],[_DoneTo]]+1,Tasks[[#This Row],[Start]])))</f>
        <v>0</v>
      </c>
      <c r="GX46" s="91" t="n">
        <f aca="false">IF(Tasks[[#This Row],[_RemFrom]]=0,0,Tasks[[#This Row],[Finish]])</f>
        <v>0</v>
      </c>
      <c r="GY46" s="90" t="b">
        <f aca="false">IF(Tasks[[#This Row],[Task Name]]="",FALSE(),OR(NOT(BaselineSet),N(Tasks[[#This Row],[Baseline Start]])&gt;0))</f>
        <v>0</v>
      </c>
      <c r="GZ4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92" t="str">
        <f aca="false">IF(Tasks[[#This Row],[_IsLeaf]]=1,Tasks[[#This Row],[_Row]],"")</f>
        <v/>
      </c>
      <c r="HD46" s="92" t="str">
        <f aca="false">IFERROR(INDEX(Tasks[UID],SMALL(Tasks[_PickKey],Tasks[[#This Row],[_Row]]))&amp;" "&amp;INDEX(Tasks[Task Name],SMALL(Tasks[_PickKey],Tasks[[#This Row],[_Row]])),"")</f>
        <v/>
      </c>
      <c r="HE46" s="43" t="str">
        <f aca="false">IF(Tasks[[#This Row],[Task Name]]="","",IF(Tasks[[#This Row],[_IsSummary]],NETWORKDAYS.INTL(Tasks[[#This Row],[Start]],Tasks[[#This Row],[Finish]],WorkWeek,Holidays),N(Tasks[[#This Row],[_Days]])))</f>
        <v/>
      </c>
      <c r="HF46" s="43" t="n">
        <f aca="false">IF(Tasks[[#This Row],[Expected]]="",0,((Tasks[[#This Row],[Pessimistic]]-Tasks[[#This Row],[Optimistic]])/6)^2)</f>
        <v>0</v>
      </c>
      <c r="HG46" s="43" t="n">
        <f aca="false">IF(Tasks[[#This Row],[Expected]]="",0,Tasks[[#This Row],[Expected]]-N(Tasks[[#This Row],[_Days]]))</f>
        <v>0</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4"/>
      <c r="U47" s="23"/>
      <c r="V47" s="84"/>
      <c r="W47" s="23"/>
      <c r="X47" s="84"/>
      <c r="Y47" s="23"/>
      <c r="Z47" s="84"/>
      <c r="AA47" s="23"/>
      <c r="AB47" s="23"/>
      <c r="AC47" s="7"/>
      <c r="AD47" s="7"/>
      <c r="AE47" s="63" t="str">
        <f aca="false">IF(Tasks[[#This Row],[Task Name]]="","",IF(Tasks[[#This Row],[_IsSummary]],MIN(INDEX(Tasks[_ShownFcstStart],Tasks[[#This Row],[_Row]]+1):INDEX(Tasks[_ShownFcstStart],Tasks[[#This Row],[_Row]]+Tasks[[#This Row],[_Descendants]])),Tasks[[#This Row],[_ShownFcstStart]]))</f>
        <v/>
      </c>
      <c r="AF47" s="63"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7" s="7"/>
      <c r="AK47" s="22"/>
      <c r="AL47" s="23"/>
      <c r="AM47" s="7"/>
      <c r="AN47" s="47"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3" t="str">
        <f aca="false">IF(Tasks[[#This Row],[Task Name]]="","",IF(N(Tasks[[#This Row],[Baseline Start]])&gt;0,Tasks[[#This Row],[Baseline Start]],Tasks[[#This Row],[_CalcStart]]))</f>
        <v/>
      </c>
      <c r="AR47" s="63" t="str">
        <f aca="false">IF(Tasks[[#This Row],[Task Name]]="","",IF(N(Tasks[[#This Row],[Baseline Finish]])&gt;0,Tasks[[#This Row],[Baseline Finish]],Tasks[[#This Row],[_CalcFinish]]))</f>
        <v/>
      </c>
      <c r="AS47" s="47" t="str">
        <f aca="false">IF(Tasks[[#This Row],[Task Name]]="","",IF(Tasks[[#This Row],[Start]]&gt;=Tasks[[#This Row],[Planned Start]],NETWORKDAYS.INTL(Tasks[[#This Row],[Planned Start]],Tasks[[#This Row],[Start]],WorkWeek,Holidays)-1,1-NETWORKDAYS.INTL(Tasks[[#This Row],[Start]],Tasks[[#This Row],[Planned Start]],WorkWeek,Holidays)))</f>
        <v/>
      </c>
      <c r="AT47" s="63" t="str">
        <f aca="false">IF(Tasks[[#This Row],[Task Name]]="","",IF(Tasks[[#This Row],[_IsSummary]],MIN(INDEX(Tasks[_LeafLateStart],Tasks[[#This Row],[_Row]]+1):INDEX(Tasks[_LeafLateStart],Tasks[[#This Row],[_Row]]+Tasks[[#This Row],[_Descendants]])),Tasks[[#This Row],[_LeafLateStart]]))</f>
        <v/>
      </c>
      <c r="AU47" s="63" t="str">
        <f aca="false">IF(Tasks[[#This Row],[Task Name]]="","",IF(Tasks[[#This Row],[_IsSummary]],MAX(INDEX(Tasks[_LeafLateFinish],Tasks[[#This Row],[_Row]]+1):INDEX(Tasks[_LeafLateFinish],Tasks[[#This Row],[_Row]]+Tasks[[#This Row],[_Descendants]])),Tasks[[#This Row],[_LeafLateFinish]]))</f>
        <v/>
      </c>
      <c r="AV47" s="47"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5"/>
      <c r="BA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6"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7"/>
      <c r="BJ47" s="22"/>
      <c r="BK47" s="47" t="str">
        <f aca="false">IF(OR(Tasks[[#This Row],[Task Name]]="",Tasks[[#This Row],[Baseline Duration]]=""),"",Tasks[[#This Row],[_SpanDays]]-N(Tasks[[#This Row],[Baseline Duration]]))</f>
        <v/>
      </c>
      <c r="BL47" s="86" t="str">
        <f aca="false">IF(OR(Tasks[[#This Row],[Task Name]]="",Tasks[[#This Row],[Baseline Work]]=""),"",Tasks[[#This Row],[Work]]-N(Tasks[[#This Row],[Baseline Work]]))</f>
        <v/>
      </c>
      <c r="BM47" s="63" t="str">
        <f aca="false">IF(Tasks[[#This Row],[Task Name]]="","",IF(OR(TakeBaseline="Yes",N(Tasks[[#This Row],[Baseline Start]])=0),Tasks[[#This Row],[Start]],Tasks[[#This Row],[Baseline Start]]))</f>
        <v/>
      </c>
      <c r="BN47" s="63" t="str">
        <f aca="false">IF(Tasks[[#This Row],[Task Name]]="","",IF(OR(TakeBaseline="Yes",N(Tasks[[#This Row],[Baseline Finish]])=0),Tasks[[#This Row],[Finish]],Tasks[[#This Row],[Baseline Finish]]))</f>
        <v/>
      </c>
      <c r="BO47" s="21" t="str">
        <f aca="false">IF(Tasks[[#This Row],[Task Name]]="","",IF(OR(TakeBaseline="Yes",N(Tasks[[#This Row],[Baseline Duration]])=0),Tasks[[#This Row],[_SpanDays]],Tasks[[#This Row],[Baseline Duration]]))</f>
        <v/>
      </c>
      <c r="BP47" s="86" t="str">
        <f aca="false">IF(Tasks[[#This Row],[Task Name]]="","",IF(OR(TakeBaseline="Yes",N(Tasks[[#This Row],[Baseline Work]])=0),Tasks[[#This Row],[Work]],Tasks[[#This Row],[Baseline Work]]))</f>
        <v/>
      </c>
      <c r="BQ47" s="7"/>
      <c r="BR47" s="7"/>
      <c r="BS47" s="22"/>
      <c r="BT47" s="88"/>
      <c r="BU47" s="23"/>
      <c r="BV47" s="23"/>
      <c r="BW47" s="23"/>
      <c r="BX47" s="89" t="str">
        <f aca="false">IF(AND(Tasks[[#This Row],[_IsLeaf]]=1,ISNUMBER(Tasks[[#This Row],[Optimistic]]),ISNUMBER(Tasks[[#This Row],[Pessimistic]])),ROUND((Tasks[[#This Row],[Optimistic]]+4*N(Tasks[[#This Row],[_Days]])+Tasks[[#This Row],[Pessimistic]])/6,1),"")</f>
        <v/>
      </c>
      <c r="BY47" s="87"/>
      <c r="BZ47" s="87"/>
      <c r="CA47" s="22"/>
      <c r="CB47" s="43" t="str">
        <f aca="false">IF(Tasks[[#This Row],[Task Name]]="","",MAX(1,N(Tasks[[#This Row],[Level]])))</f>
        <v/>
      </c>
      <c r="CC47" s="43" t="n">
        <f aca="false">ROW()-ROW(Tasks[[#Headers],[ID]])</f>
        <v>42</v>
      </c>
      <c r="CD47" s="43" t="n">
        <f aca="false">IF(OR(Tasks[[#This Row],[Task Name]]="",Tasks[[#This Row],[_Level]]&lt;=1),0,IFERROR(LOOKUP(2,1/(Tasks[[#Headers],[_Level]]:Tasks[[#This Row],[_Level]]=Tasks[[#This Row],[_Level]]-1),ROW(Tasks[[#Headers],[_Level]]:Tasks[[#This Row],[_Level]])),0))</f>
        <v>0</v>
      </c>
      <c r="CE47" s="43" t="n">
        <f aca="false">IFERROR(N(INDEX(Tasks[_Level],Tasks[[#This Row],[_Row]]+1)),0)</f>
        <v>0</v>
      </c>
      <c r="CF47" s="90" t="b">
        <f aca="false">AND(Tasks[[#This Row],[Task Name]]&lt;&gt;"",Tasks[[#This Row],[_NextLevel]]&gt;Tasks[[#This Row],[_Level]])</f>
        <v>0</v>
      </c>
      <c r="CG47" s="43" t="n">
        <f aca="false">IF(Tasks[[#This Row],[_IsSummary]],COUNTIF(Tasks[WBS],Tasks[[#This Row],[WBS]]&amp;".*"),0)</f>
        <v>0</v>
      </c>
      <c r="CH47" s="43" t="n">
        <f aca="false">IF(AND(Tasks[[#This Row],[Task Name]]&lt;&gt;"",NOT(Tasks[[#This Row],[_IsSummary]])),1,0)</f>
        <v>0</v>
      </c>
      <c r="CI47" s="43" t="n">
        <f aca="false">IF(N(Tasks[[#This Row],[_Pred1UID]])=0,0,IFERROR(MATCH(Tasks[[#This Row],[_Pred1UID]],Tasks[UID],0),-1))</f>
        <v>0</v>
      </c>
      <c r="CJ47" s="43" t="n">
        <f aca="false">IF(N(Tasks[[#This Row],[_Pred2UID]])=0,0,IFERROR(MATCH(Tasks[[#This Row],[_Pred2UID]],Tasks[UID],0),-1))</f>
        <v>0</v>
      </c>
      <c r="CK47" s="43" t="n">
        <f aca="false">IF(N(Tasks[[#This Row],[_Pred3UID]])=0,0,IFERROR(MATCH(Tasks[[#This Row],[_Pred3UID]],Tasks[UID],0),-1))</f>
        <v>0</v>
      </c>
      <c r="CL47" s="43" t="n">
        <f aca="false">IF(N(Tasks[[#This Row],[_Pred4UID]])=0,0,IFERROR(MATCH(Tasks[[#This Row],[_Pred4UID]],Tasks[UID],0),-1))</f>
        <v>0</v>
      </c>
      <c r="CM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7" s="91" t="n">
        <f aca="false">IF(OR(Tasks[[#This Row],[_ConstraintCode]]=2,Tasks[[#This Row],[_ConstraintCode]]=3,Tasks[[#This Row],[_ConstraintCode]]=4,Tasks[[#This Row],[_ConstraintCode]]=6),Tasks[[#This Row],[_ConstraintStart]],0)</f>
        <v>0</v>
      </c>
      <c r="CP47" s="91" t="n">
        <f aca="false">IF(OR(Tasks[[#This Row],[_ConstraintCode]]=2,Tasks[[#This Row],[_ConstraintCode]]=3,Tasks[[#This Row],[_ConstraintCode]]=5,Tasks[[#This Row],[_ConstraintCode]]=7),Tasks[[#This Row],[_ConstraintStart]],2958465)</f>
        <v>2958465</v>
      </c>
      <c r="CQ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91" t="str">
        <f aca="false">IF(NOT(Tasks[[#This Row],[_IsLeaf]]=1),"",IF(N(Tasks[[#This Row],[_Days]])&lt;=0,Tasks[[#This Row],[_LeafCalcStart]],WORKDAY.INTL(Tasks[[#This Row],[_LeafCalcStart]],Tasks[[#This Row],[_Days]]-1,WorkWeek,Holidays)))</f>
        <v/>
      </c>
      <c r="CS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3" t="str">
        <f aca="false">IF(Tasks[[#This Row],[_Predecessors]]="","",TRIM(MID(SUBSTITUTE(SUBSTITUTE(SUBSTITUTE(UPPER(Tasks[[#This Row],[_Predecessors]]),";",",")," ",""),",",REPT(" ",99)),1,99)))</f>
        <v/>
      </c>
      <c r="CV47" s="43" t="str">
        <f aca="false">IF(Tasks[[#This Row],[_Pred1Text]]="","",IFERROR(VALUE(LEFT(Tasks[[#This Row],[_Pred1Text]],MIN(FIND("F",Tasks[[#This Row],[_Pred1Text]]&amp;"F"),FIND("S",Tasks[[#This Row],[_Pred1Text]]&amp;"S"),FIND("+",Tasks[[#This Row],[_Pred1Text]]&amp;"+"),FIND("-",Tasks[[#This Row],[_Pred1Text]]&amp;"-"))-1)),""))</f>
        <v/>
      </c>
      <c r="CW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3" t="str">
        <f aca="false">IF(Tasks[[#This Row],[_Pred1Text]]="","",TRIM(MID(SUBSTITUTE(SUBSTITUTE(SUBSTITUTE(UPPER(Tasks[[#This Row],[_Predecessors]]),";",",")," ",""),",",REPT(" ",99)),100,99)))</f>
        <v/>
      </c>
      <c r="CZ47" s="43" t="str">
        <f aca="false">IF(Tasks[[#This Row],[_Pred2Text]]="","",IFERROR(VALUE(LEFT(Tasks[[#This Row],[_Pred2Text]],MIN(FIND("F",Tasks[[#This Row],[_Pred2Text]]&amp;"F"),FIND("S",Tasks[[#This Row],[_Pred2Text]]&amp;"S"),FIND("+",Tasks[[#This Row],[_Pred2Text]]&amp;"+"),FIND("-",Tasks[[#This Row],[_Pred2Text]]&amp;"-"))-1)),""))</f>
        <v/>
      </c>
      <c r="DA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3" t="str">
        <f aca="false">IF(Tasks[[#This Row],[_Pred2Text]]="","",TRIM(MID(SUBSTITUTE(SUBSTITUTE(SUBSTITUTE(UPPER(Tasks[[#This Row],[_Predecessors]]),";",",")," ",""),",",REPT(" ",99)),199,99)))</f>
        <v/>
      </c>
      <c r="DD47" s="43" t="str">
        <f aca="false">IF(Tasks[[#This Row],[_Pred3Text]]="","",IFERROR(VALUE(LEFT(Tasks[[#This Row],[_Pred3Text]],MIN(FIND("F",Tasks[[#This Row],[_Pred3Text]]&amp;"F"),FIND("S",Tasks[[#This Row],[_Pred3Text]]&amp;"S"),FIND("+",Tasks[[#This Row],[_Pred3Text]]&amp;"+"),FIND("-",Tasks[[#This Row],[_Pred3Text]]&amp;"-"))-1)),""))</f>
        <v/>
      </c>
      <c r="DE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3" t="str">
        <f aca="false">IF(Tasks[[#This Row],[_Pred3Text]]="","",TRIM(MID(SUBSTITUTE(SUBSTITUTE(SUBSTITUTE(UPPER(Tasks[[#This Row],[_Predecessors]]),";",",")," ",""),",",REPT(" ",99)),298,99)))</f>
        <v/>
      </c>
      <c r="DH47" s="43" t="str">
        <f aca="false">IF(Tasks[[#This Row],[_Pred4Text]]="","",IFERROR(VALUE(LEFT(Tasks[[#This Row],[_Pred4Text]],MIN(FIND("F",Tasks[[#This Row],[_Pred4Text]]&amp;"F"),FIND("S",Tasks[[#This Row],[_Pred4Text]]&amp;"S"),FIND("+",Tasks[[#This Row],[_Pred4Text]]&amp;"+"),FIND("-",Tasks[[#This Row],[_Pred4Text]]&amp;"-"))-1)),""))</f>
        <v/>
      </c>
      <c r="DI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3" t="str">
        <f aca="false">IF(OR(Tasks[[#This Row],[Task Name]]="",Tasks[[#This Row],[_Resources]]=""),"",TRIM(MID(SUBSTITUTE(Tasks[[#This Row],[_Resources]],",",REPT(" ",99)),1,99)))</f>
        <v/>
      </c>
      <c r="DL47" s="43" t="str">
        <f aca="false">IF(Tasks[[#This Row],[_Res1Text]]="","",TRIM(MID(SUBSTITUTE(Tasks[[#This Row],[_Resources]],",",REPT(" ",99)),100,99)))</f>
        <v/>
      </c>
      <c r="DM47" s="43" t="str">
        <f aca="false">IF(Tasks[[#This Row],[_Res2Text]]="","",TRIM(MID(SUBSTITUTE(Tasks[[#This Row],[_Resources]],",",REPT(" ",99)),199,99)))</f>
        <v/>
      </c>
      <c r="DN47" s="43" t="str">
        <f aca="false">IF(Tasks[[#This Row],[_Res3Text]]="","",TRIM(MID(SUBSTITUTE(Tasks[[#This Row],[_Resources]],",",REPT(" ",99)),298,99)))</f>
        <v/>
      </c>
      <c r="DO47" s="43" t="n">
        <f aca="false">IF(Tasks[[#This Row],[_Res1Text]]="",0,IFERROR(MATCH(TRIM(LEFT(Tasks[[#This Row],[_Res1Text]],FIND("[",Tasks[[#This Row],[_Res1Text]]&amp;"[")-1)),res_Name,0),IFERROR(MATCH(TRIM(LEFT(Tasks[[#This Row],[_Res1Text]],FIND("[",Tasks[[#This Row],[_Res1Text]]&amp;"[")-1)),res_Initials,0),0)))</f>
        <v>0</v>
      </c>
      <c r="DP47" s="43" t="n">
        <f aca="false">IF(Tasks[[#This Row],[_Res2Text]]="",0,IFERROR(MATCH(TRIM(LEFT(Tasks[[#This Row],[_Res2Text]],FIND("[",Tasks[[#This Row],[_Res2Text]]&amp;"[")-1)),res_Name,0),IFERROR(MATCH(TRIM(LEFT(Tasks[[#This Row],[_Res2Text]],FIND("[",Tasks[[#This Row],[_Res2Text]]&amp;"[")-1)),res_Initials,0),0)))</f>
        <v>0</v>
      </c>
      <c r="DQ47" s="43" t="n">
        <f aca="false">IF(Tasks[[#This Row],[_Res3Text]]="",0,IFERROR(MATCH(TRIM(LEFT(Tasks[[#This Row],[_Res3Text]],FIND("[",Tasks[[#This Row],[_Res3Text]]&amp;"[")-1)),res_Name,0),IFERROR(MATCH(TRIM(LEFT(Tasks[[#This Row],[_Res3Text]],FIND("[",Tasks[[#This Row],[_Res3Text]]&amp;"[")-1)),res_Initials,0),0)))</f>
        <v>0</v>
      </c>
      <c r="DR47" s="43" t="n">
        <f aca="false">IF(Tasks[[#This Row],[_Res4Text]]="",0,IFERROR(MATCH(TRIM(LEFT(Tasks[[#This Row],[_Res4Text]],FIND("[",Tasks[[#This Row],[_Res4Text]]&amp;"[")-1)),res_Name,0),IFERROR(MATCH(TRIM(LEFT(Tasks[[#This Row],[_Res4Text]],FIND("[",Tasks[[#This Row],[_Res4Text]]&amp;"[")-1)),res_Initials,0),0)))</f>
        <v>0</v>
      </c>
      <c r="DS47" s="43" t="str">
        <f aca="false">IF(Tasks[[#This Row],[_Res1Text]]="","",IF(Tasks[[#This Row],[_Res1Row]]&gt;0,INDEX(res_Name,Tasks[[#This Row],[_Res1Row]]),TRIM(LEFT(Tasks[[#This Row],[_Res1Text]],FIND("[",Tasks[[#This Row],[_Res1Text]]&amp;"[")-1))))</f>
        <v/>
      </c>
      <c r="DT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3" t="n">
        <f aca="false">IF(NOT(Tasks[[#This Row],[_IsLeaf]]=1),0,(Tasks[[#This Row],[_Resource1]]&lt;&gt;"")+(Tasks[[#This Row],[_Res2]]&lt;&gt;"")+(Tasks[[#This Row],[_Res3]]&lt;&gt;"")+(Tasks[[#This Row],[_Res4]]&lt;&gt;""))</f>
        <v>0</v>
      </c>
      <c r="DV47" s="43" t="str">
        <f aca="false">IF(Tasks[[#This Row],[_Res2Text]]="","",IF(Tasks[[#This Row],[_Res2Row]]&gt;0,INDEX(res_Name,Tasks[[#This Row],[_Res2Row]]),TRIM(LEFT(Tasks[[#This Row],[_Res2Text]],FIND("[",Tasks[[#This Row],[_Res2Text]]&amp;"[")-1))))</f>
        <v/>
      </c>
      <c r="DW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3" t="n">
        <f aca="false">IF(OR(NOT(Tasks[[#This Row],[_IsLeaf]]=1),Tasks[[#This Row],[_Res2Row]]=0),0,N(Tasks[[#This Row],[_Days]])*HoursPerDay*IF(Tasks[[#This Row],[_Res2Units]]="",DefaultUnits,Tasks[[#This Row],[_Res2Units]]))</f>
        <v>0</v>
      </c>
      <c r="DY47" s="43" t="n">
        <f aca="false">IF(AND(AND(Tasks[[#This Row],[_IsLeaf]]=1,Tasks[[#This Row],[_LeafTotalWork]]&gt;0),Tasks[[#This Row],[_Res2Work]]&gt;0),Tasks[[#This Row],[_Res2Work]]/(Tasks[[#This Row],[_FinishWorkday]]-Tasks[[#This Row],[_StartWorkday]]+1),0)</f>
        <v>0</v>
      </c>
      <c r="DZ47" s="43" t="n">
        <f aca="false">Tasks[[#This Row],[_Res2WorkPerWD]]*MAX(0,Tasks[[#This Row],[_StartWorkday]]-1)</f>
        <v>0</v>
      </c>
      <c r="EA47" s="43" t="n">
        <f aca="false">Tasks[[#This Row],[_Res2Work]]*Tasks[[#This Row],[_LeafProgress]]</f>
        <v>0</v>
      </c>
      <c r="EB47" s="43" t="str">
        <f aca="false">IF(Tasks[[#This Row],[_Res3Text]]="","",IF(Tasks[[#This Row],[_Res3Row]]&gt;0,INDEX(res_Name,Tasks[[#This Row],[_Res3Row]]),TRIM(LEFT(Tasks[[#This Row],[_Res3Text]],FIND("[",Tasks[[#This Row],[_Res3Text]]&amp;"[")-1))))</f>
        <v/>
      </c>
      <c r="EC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3" t="n">
        <f aca="false">IF(OR(NOT(Tasks[[#This Row],[_IsLeaf]]=1),Tasks[[#This Row],[_Res3Row]]=0),0,N(Tasks[[#This Row],[_Days]])*HoursPerDay*IF(Tasks[[#This Row],[_Res3Units]]="",DefaultUnits,Tasks[[#This Row],[_Res3Units]]))</f>
        <v>0</v>
      </c>
      <c r="EE47" s="43" t="n">
        <f aca="false">IF(AND(AND(Tasks[[#This Row],[_IsLeaf]]=1,Tasks[[#This Row],[_LeafTotalWork]]&gt;0),Tasks[[#This Row],[_Res3Work]]&gt;0),Tasks[[#This Row],[_Res3Work]]/(Tasks[[#This Row],[_FinishWorkday]]-Tasks[[#This Row],[_StartWorkday]]+1),0)</f>
        <v>0</v>
      </c>
      <c r="EF47" s="43" t="n">
        <f aca="false">Tasks[[#This Row],[_Res3WorkPerWD]]*MAX(0,Tasks[[#This Row],[_StartWorkday]]-1)</f>
        <v>0</v>
      </c>
      <c r="EG47" s="43" t="n">
        <f aca="false">Tasks[[#This Row],[_Res3Work]]*Tasks[[#This Row],[_LeafProgress]]</f>
        <v>0</v>
      </c>
      <c r="EH47" s="43" t="str">
        <f aca="false">IF(Tasks[[#This Row],[_Res4Text]]="","",IF(Tasks[[#This Row],[_Res4Row]]&gt;0,INDEX(res_Name,Tasks[[#This Row],[_Res4Row]]),TRIM(LEFT(Tasks[[#This Row],[_Res4Text]],FIND("[",Tasks[[#This Row],[_Res4Text]]&amp;"[")-1))))</f>
        <v/>
      </c>
      <c r="EI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3" t="n">
        <f aca="false">IF(OR(NOT(Tasks[[#This Row],[_IsLeaf]]=1),Tasks[[#This Row],[_Res4Row]]=0),0,N(Tasks[[#This Row],[_Days]])*HoursPerDay*IF(Tasks[[#This Row],[_Res4Units]]="",DefaultUnits,Tasks[[#This Row],[_Res4Units]]))</f>
        <v>0</v>
      </c>
      <c r="EK47" s="43" t="n">
        <f aca="false">IF(AND(AND(Tasks[[#This Row],[_IsLeaf]]=1,Tasks[[#This Row],[_LeafTotalWork]]&gt;0),Tasks[[#This Row],[_Res4Work]]&gt;0),Tasks[[#This Row],[_Res4Work]]/(Tasks[[#This Row],[_FinishWorkday]]-Tasks[[#This Row],[_StartWorkday]]+1),0)</f>
        <v>0</v>
      </c>
      <c r="EL47" s="43" t="n">
        <f aca="false">Tasks[[#This Row],[_Res4WorkPerWD]]*MAX(0,Tasks[[#This Row],[_StartWorkday]]-1)</f>
        <v>0</v>
      </c>
      <c r="EM47" s="43" t="n">
        <f aca="false">Tasks[[#This Row],[_Res4Work]]*Tasks[[#This Row],[_LeafProgress]]</f>
        <v>0</v>
      </c>
      <c r="EN47" s="43" t="n">
        <f aca="false">IF(ISNUMBER(Tasks[[#This Row],[% Complete]]),Tasks[[#This Row],[% Complete]],IF(Tasks[[#This Row],[Stage]]="",0,IFERROR(INDEX(stg_Pct,MATCH(Tasks[[#This Row],[Stage]],stg_Name,0)),0)))</f>
        <v>0</v>
      </c>
      <c r="EO47" s="43" t="n">
        <f aca="false">IF(NOT(Tasks[[#This Row],[_IsLeaf]]=1),0,IF(N(Tasks[[#This Row],[Actual Finish]])&gt;0,1,MIN(1,Tasks[[#This Row],[_Pct]])))</f>
        <v>0</v>
      </c>
      <c r="EP47" s="43" t="n">
        <f aca="false">IF(OR(NOT(Tasks[[#This Row],[_IsLeaf]]=1),Tasks[[#This Row],[_Res1Row]]=0),0,N(Tasks[[#This Row],[_Days]])*HoursPerDay*IF(Tasks[[#This Row],[_Units1]]="",DefaultUnits,Tasks[[#This Row],[_Units1]]))</f>
        <v>0</v>
      </c>
      <c r="EQ47" s="43" t="n">
        <f aca="false">Tasks[[#This Row],[_LeafWork]]+Tasks[[#This Row],[_Res2Work]]+Tasks[[#This Row],[_Res3Work]]+Tasks[[#This Row],[_Res4Work]]</f>
        <v>0</v>
      </c>
      <c r="ER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3" t="n">
        <f aca="false">IF(NOT(Tasks[[#This Row],[_IsLeaf]]=1),0,MAX(_xlfn.MAXIFS(Tasks[_Row],Tasks[_Pred1UID],Tasks[[#This Row],[UID]]),_xlfn.MAXIFS(Tasks[_Row],Tasks[_Pred2UID],Tasks[[#This Row],[UID]]),_xlfn.MAXIFS(Tasks[_Row],Tasks[_Pred3UID],Tasks[[#This Row],[UID]]),_xlfn.MAXIFS(Tasks[_Row],Tasks[_Pred4UID],Tasks[[#This Row],[UID]])))</f>
        <v>0</v>
      </c>
      <c r="FA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91" t="str">
        <f aca="false">IF(NOT(Tasks[[#This Row],[_IsLeaf]]=1),"",IF(N(Tasks[[#This Row],[_Days]])&lt;=0,Tasks[[#This Row],[_LeafLateFinish]],WORKDAY.INTL(Tasks[[#This Row],[_LeafLateFinish]],-(Tasks[[#This Row],[_Days]]-1),WorkWeek,Holidays)))</f>
        <v/>
      </c>
      <c r="FD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7" s="90" t="b">
        <f aca="false">AND(Tasks[[#This Row],[_IsLeaf]]=1,Tasks[[#This Row],[_LeafProgress]]&lt;1,N(Tasks[[#This Row],[_LeafTotalSlack]])&lt;=CriticalSlackDays)</f>
        <v>0</v>
      </c>
      <c r="FF47" s="43" t="n">
        <f aca="false">IF(AND(Tasks[[#This Row],[_IsLeaf]]=1,Tasks[[#This Row],[_ConstraintCode]]=1,Tasks[[#This Row],[Mode]]&lt;&gt;"Manual",N(Tasks[[#This Row],[Actual Start]])=0),MAX(0,N(Tasks[[#This Row],[Free Slack]])),0)</f>
        <v>0</v>
      </c>
      <c r="FG47" s="91" t="str">
        <f aca="false">IF(NOT(Tasks[[#This Row],[_IsLeaf]]=1),"",IF(Tasks[[#This Row],[_AlapShift]]=0,Tasks[[#This Row],[_LeafCalcStart]],WORKDAY.INTL(Tasks[[#This Row],[_LeafCalcStart]],Tasks[[#This Row],[_AlapShift]],WorkWeek,Holidays)))</f>
        <v/>
      </c>
      <c r="FH47" s="91" t="str">
        <f aca="false">IF(NOT(Tasks[[#This Row],[_IsLeaf]]=1),"",IF(Tasks[[#This Row],[_AlapShift]]=0,Tasks[[#This Row],[_LeafCalcFinish]],WORKDAY.INTL(Tasks[[#This Row],[_LeafCalcFinish]],Tasks[[#This Row],[_AlapShift]],WorkWeek,Holidays)))</f>
        <v/>
      </c>
      <c r="FI47" s="91" t="str">
        <f aca="false">IF(NOT(Tasks[[#This Row],[_IsLeaf]]=1),"",IF(Tasks[[#This Row],[_AlapShift]]=0,Tasks[[#This Row],[_LeafFcstStart]],WORKDAY.INTL(Tasks[[#This Row],[_LeafFcstStart]],Tasks[[#This Row],[_AlapShift]],WorkWeek,Holidays)))</f>
        <v/>
      </c>
      <c r="FJ47" s="91" t="str">
        <f aca="false">IF(NOT(Tasks[[#This Row],[_IsLeaf]]=1),"",IF(Tasks[[#This Row],[_AlapShift]]=0,Tasks[[#This Row],[_LeafFcstFinish]],WORKDAY.INTL(Tasks[[#This Row],[_LeafFcstFinish]],Tasks[[#This Row],[_AlapShift]],WorkWeek,Holidays)))</f>
        <v/>
      </c>
      <c r="FK47" s="91" t="str">
        <f aca="false">IF(Tasks[[#This Row],[Task Name]]="","",IF(Tasks[[#This Row],[_IsSummary]],MIN(INDEX(Tasks[_ShownCalcStart],Tasks[[#This Row],[_Row]]+1):INDEX(Tasks[_ShownCalcStart],Tasks[[#This Row],[_Row]]+Tasks[[#This Row],[_Descendants]])),Tasks[[#This Row],[_ShownCalcStart]]))</f>
        <v/>
      </c>
      <c r="FL47" s="91" t="str">
        <f aca="false">IF(Tasks[[#This Row],[Task Name]]="","",IF(Tasks[[#This Row],[_IsSummary]],MAX(INDEX(Tasks[_ShownCalcFinish],Tasks[[#This Row],[_Row]]+1):INDEX(Tasks[_ShownCalcFinish],Tasks[[#This Row],[_Row]]+Tasks[[#This Row],[_Descendants]])),Tasks[[#This Row],[_ShownCalcFinish]]))</f>
        <v/>
      </c>
      <c r="FM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7" s="43" t="n">
        <f aca="false">IF(AND(Tasks[[#This Row],[_IsLeaf]]=1,Tasks[[#This Row],[_LeafTotalWork]]&gt;0),NETWORKDAYS.INTL(ProjectStart,Tasks[[#This Row],[_ShownFcstStart]],WorkWeek,Holidays),0)</f>
        <v>0</v>
      </c>
      <c r="FZ47" s="43" t="n">
        <f aca="false">IF(AND(Tasks[[#This Row],[_IsLeaf]]=1,Tasks[[#This Row],[_LeafTotalWork]]&gt;0),MAX(Tasks[[#This Row],[_StartWorkday]],NETWORKDAYS.INTL(ProjectStart,Tasks[[#This Row],[_ShownFcstFinish]],WorkWeek,Holidays)),0)</f>
        <v>0</v>
      </c>
      <c r="GA47" s="43" t="n">
        <f aca="false">IF(AND(Tasks[[#This Row],[_IsLeaf]]=1,Tasks[[#This Row],[_LeafTotalWork]]&gt;0),Tasks[[#This Row],[_LeafWork]]/(Tasks[[#This Row],[_FinishWorkday]]-Tasks[[#This Row],[_StartWorkday]]+1),0)</f>
        <v>0</v>
      </c>
      <c r="GB47" s="43" t="n">
        <f aca="false">Tasks[[#This Row],[_WorkPerWorkday]]*(Tasks[[#This Row],[_StartWorkday]]-1)</f>
        <v>-0</v>
      </c>
      <c r="GC47" s="43" t="n">
        <f aca="false">IF(Tasks[[#This Row],[_IsLeaf]]=1,MAX(N(Tasks[[#This Row],[_Days]]),0.1),0)</f>
        <v>0</v>
      </c>
      <c r="GD47" s="43" t="n">
        <f aca="false">Tasks[[#This Row],[_WeightDur]]*Tasks[[#This Row],[_LeafProgress]]</f>
        <v>0</v>
      </c>
      <c r="GE47" s="43" t="n">
        <f aca="false">Tasks[[#This Row],[_WeightDur]]*Tasks[[#This Row],[_PlannedPct]]</f>
        <v>0</v>
      </c>
      <c r="GF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3" t="str">
        <f aca="false">IF(AND(Tasks[[#This Row],[_IsLeaf]]=1,N(Tasks[[#This Row],[_Days]])=0,Tasks[[#This Row],[_LeafProgress]]&lt;1),Tasks[[#This Row],[_ShownFcstFinish]]+Tasks[[#This Row],[_Row]]/100000,"")</f>
        <v/>
      </c>
      <c r="GH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7" s="43" t="str">
        <f aca="false">IF(Tasks[[#This Row],[Task Name]]="","",LEFT(Tasks[[#This Row],[WBS]],FIND(".",Tasks[[#This Row],[WBS]]&amp;".")-1))</f>
        <v/>
      </c>
      <c r="GJ47" s="43" t="str">
        <f aca="false">IF(AND(Tasks[[#This Row],[Task Name]]&lt;&gt;"",Tasks[[#This Row],[_Level]]=1),Tasks[[#This Row],[_Row]],"")</f>
        <v/>
      </c>
      <c r="GK47" s="43" t="str">
        <f aca="false">IF(AND(Tasks[[#This Row],[_IsLeaf]]=1,N(Tasks[[#This Row],[_Days]])=0),Tasks[[#This Row],[Planned Finish]]+Tasks[[#This Row],[_Row]]/100000,"")</f>
        <v/>
      </c>
      <c r="GL47" s="43" t="str">
        <f aca="false">IF(AND(Tasks[[#This Row],[_IsLeaf]]=1,Tasks[[#This Row],[_LeafProgress]]&lt;1,OR(N(Tasks[[#This Row],[Finish Var]])&gt;0,Tasks[[#This Row],[Status]]="Late Start")),MAX(0,Tasks[[#This Row],[Finish Var]])+1-Tasks[[#This Row],[_Row]]/1000000,"")</f>
        <v/>
      </c>
      <c r="GM47" s="43" t="str">
        <f aca="false">IF(AND(Tasks[[#This Row],[_IsLeaf]]=1,N(Tasks[[#This Row],[Actual Start]])=0,Tasks[[#This Row],[_ShownFcstStart]]&gt;=StatusDate,Tasks[[#This Row],[_ShownFcstStart]]&lt;=LookaheadEnd),Tasks[[#This Row],[_ShownFcstStart]]+Tasks[[#This Row],[_Row]]/100000,"")</f>
        <v/>
      </c>
      <c r="GN47" s="43" t="str">
        <f aca="false">IF(AND(Tasks[[#This Row],[_IsLeaf]]=1,Tasks[[#This Row],[_LeafProgress]]&lt;1,Tasks[[#This Row],[_ShownFcstFinish]]&gt;=StatusDate,Tasks[[#This Row],[_ShownFcstFinish]]&lt;=LookaheadEnd),Tasks[[#This Row],[_ShownFcstFinish]]+Tasks[[#This Row],[_Row]]/100000,"")</f>
        <v/>
      </c>
      <c r="GO47" s="43" t="str">
        <f aca="false">IF(Tasks[[#This Row],[_LeafCritical]],Tasks[[#This Row],[_ShownFcstStart]]+Tasks[[#This Row],[_Row]]/100000,"")</f>
        <v/>
      </c>
      <c r="GP47" s="43" t="n">
        <f aca="false">Tasks[[#This Row],[_LeafWork]]*Tasks[[#This Row],[_LeafProgress]]</f>
        <v>0</v>
      </c>
      <c r="GQ47" s="91" t="str">
        <f aca="false">IF(AND(Tasks[[#This Row],[_IsLeaf]]=1,Tasks[[#This Row],[_LeafProgress]]&gt;=1),IF(N(Tasks[[#This Row],[Actual Finish]])&gt;0,Tasks[[#This Row],[Actual Finish]],Tasks[[#This Row],[_ShownFcstFinish]]),"")</f>
        <v/>
      </c>
      <c r="GR47" s="43" t="n">
        <f aca="false">IF(Tasks[[#This Row],[_IsLeaf]]=1,N(Tasks[[#This Row],[Story Points]]),0)</f>
        <v>0</v>
      </c>
      <c r="GS47" s="43" t="str">
        <f aca="false">""</f>
        <v/>
      </c>
      <c r="GT47" s="90" t="b">
        <f aca="false">IF(Tasks[[#This Row],[Task Name]]="",FALSE(),AND(Tasks[[#This Row],[_IsLeaf]]=1,N(Tasks[[#This Row],[_Days]])=0))</f>
        <v>0</v>
      </c>
      <c r="GU47" s="91" t="n">
        <f aca="false">IF(Tasks[[#This Row],[Task Name]]="",0,IF(AND(Tasks[[#This Row],[_IsLeaf]]=1,NOT(Tasks[[#This Row],[_IsMilestone]]),N(Tasks[[#This Row],[Progress]])&gt;0),Tasks[[#This Row],[Start]],0))</f>
        <v>0</v>
      </c>
      <c r="GV47" s="91" t="n">
        <f aca="false">IF(Tasks[[#This Row],[_DoneFrom]]=0,0,IF(Tasks[[#This Row],[Progress]]&gt;=1,Tasks[[#This Row],[Finish]],MAX(Tasks[[#This Row],[_DoneFrom]],Tasks[[#This Row],[Start]]+ROUND((Tasks[[#This Row],[Finish]]-Tasks[[#This Row],[Start]]+1)*Tasks[[#This Row],[Progress]],0)-1)))</f>
        <v>0</v>
      </c>
      <c r="GW47" s="91" t="n">
        <f aca="false">IF(Tasks[[#This Row],[Task Name]]="",0,IF(OR(NOT(Tasks[[#This Row],[_IsLeaf]]=1),Tasks[[#This Row],[_IsMilestone]],N(Tasks[[#This Row],[Progress]])&gt;=1),0,IF(Tasks[[#This Row],[_DoneTo]]&gt;0,Tasks[[#This Row],[_DoneTo]]+1,Tasks[[#This Row],[Start]])))</f>
        <v>0</v>
      </c>
      <c r="GX47" s="91" t="n">
        <f aca="false">IF(Tasks[[#This Row],[_RemFrom]]=0,0,Tasks[[#This Row],[Finish]])</f>
        <v>0</v>
      </c>
      <c r="GY47" s="90" t="b">
        <f aca="false">IF(Tasks[[#This Row],[Task Name]]="",FALSE(),OR(NOT(BaselineSet),N(Tasks[[#This Row],[Baseline Start]])&gt;0))</f>
        <v>0</v>
      </c>
      <c r="GZ4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92" t="str">
        <f aca="false">IF(Tasks[[#This Row],[_IsLeaf]]=1,Tasks[[#This Row],[_Row]],"")</f>
        <v/>
      </c>
      <c r="HD47" s="92" t="str">
        <f aca="false">IFERROR(INDEX(Tasks[UID],SMALL(Tasks[_PickKey],Tasks[[#This Row],[_Row]]))&amp;" "&amp;INDEX(Tasks[Task Name],SMALL(Tasks[_PickKey],Tasks[[#This Row],[_Row]])),"")</f>
        <v/>
      </c>
      <c r="HE47" s="43" t="str">
        <f aca="false">IF(Tasks[[#This Row],[Task Name]]="","",IF(Tasks[[#This Row],[_IsSummary]],NETWORKDAYS.INTL(Tasks[[#This Row],[Start]],Tasks[[#This Row],[Finish]],WorkWeek,Holidays),N(Tasks[[#This Row],[_Days]])))</f>
        <v/>
      </c>
      <c r="HF47" s="43" t="n">
        <f aca="false">IF(Tasks[[#This Row],[Expected]]="",0,((Tasks[[#This Row],[Pessimistic]]-Tasks[[#This Row],[Optimistic]])/6)^2)</f>
        <v>0</v>
      </c>
      <c r="HG47" s="43" t="n">
        <f aca="false">IF(Tasks[[#This Row],[Expected]]="",0,Tasks[[#This Row],[Expected]]-N(Tasks[[#This Row],[_Days]]))</f>
        <v>0</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4"/>
      <c r="U48" s="23"/>
      <c r="V48" s="84"/>
      <c r="W48" s="23"/>
      <c r="X48" s="84"/>
      <c r="Y48" s="23"/>
      <c r="Z48" s="84"/>
      <c r="AA48" s="23"/>
      <c r="AB48" s="23"/>
      <c r="AC48" s="7"/>
      <c r="AD48" s="7"/>
      <c r="AE48" s="63" t="str">
        <f aca="false">IF(Tasks[[#This Row],[Task Name]]="","",IF(Tasks[[#This Row],[_IsSummary]],MIN(INDEX(Tasks[_ShownFcstStart],Tasks[[#This Row],[_Row]]+1):INDEX(Tasks[_ShownFcstStart],Tasks[[#This Row],[_Row]]+Tasks[[#This Row],[_Descendants]])),Tasks[[#This Row],[_ShownFcstStart]]))</f>
        <v/>
      </c>
      <c r="AF48" s="63"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8" s="7"/>
      <c r="AK48" s="22"/>
      <c r="AL48" s="23"/>
      <c r="AM48" s="7"/>
      <c r="AN48" s="47"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3" t="str">
        <f aca="false">IF(Tasks[[#This Row],[Task Name]]="","",IF(N(Tasks[[#This Row],[Baseline Start]])&gt;0,Tasks[[#This Row],[Baseline Start]],Tasks[[#This Row],[_CalcStart]]))</f>
        <v/>
      </c>
      <c r="AR48" s="63" t="str">
        <f aca="false">IF(Tasks[[#This Row],[Task Name]]="","",IF(N(Tasks[[#This Row],[Baseline Finish]])&gt;0,Tasks[[#This Row],[Baseline Finish]],Tasks[[#This Row],[_CalcFinish]]))</f>
        <v/>
      </c>
      <c r="AS48" s="47" t="str">
        <f aca="false">IF(Tasks[[#This Row],[Task Name]]="","",IF(Tasks[[#This Row],[Start]]&gt;=Tasks[[#This Row],[Planned Start]],NETWORKDAYS.INTL(Tasks[[#This Row],[Planned Start]],Tasks[[#This Row],[Start]],WorkWeek,Holidays)-1,1-NETWORKDAYS.INTL(Tasks[[#This Row],[Start]],Tasks[[#This Row],[Planned Start]],WorkWeek,Holidays)))</f>
        <v/>
      </c>
      <c r="AT48" s="63" t="str">
        <f aca="false">IF(Tasks[[#This Row],[Task Name]]="","",IF(Tasks[[#This Row],[_IsSummary]],MIN(INDEX(Tasks[_LeafLateStart],Tasks[[#This Row],[_Row]]+1):INDEX(Tasks[_LeafLateStart],Tasks[[#This Row],[_Row]]+Tasks[[#This Row],[_Descendants]])),Tasks[[#This Row],[_LeafLateStart]]))</f>
        <v/>
      </c>
      <c r="AU48" s="63" t="str">
        <f aca="false">IF(Tasks[[#This Row],[Task Name]]="","",IF(Tasks[[#This Row],[_IsSummary]],MAX(INDEX(Tasks[_LeafLateFinish],Tasks[[#This Row],[_Row]]+1):INDEX(Tasks[_LeafLateFinish],Tasks[[#This Row],[_Row]]+Tasks[[#This Row],[_Descendants]])),Tasks[[#This Row],[_LeafLateFinish]]))</f>
        <v/>
      </c>
      <c r="AV48" s="47"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5"/>
      <c r="BA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6"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7"/>
      <c r="BJ48" s="22"/>
      <c r="BK48" s="47" t="str">
        <f aca="false">IF(OR(Tasks[[#This Row],[Task Name]]="",Tasks[[#This Row],[Baseline Duration]]=""),"",Tasks[[#This Row],[_SpanDays]]-N(Tasks[[#This Row],[Baseline Duration]]))</f>
        <v/>
      </c>
      <c r="BL48" s="86" t="str">
        <f aca="false">IF(OR(Tasks[[#This Row],[Task Name]]="",Tasks[[#This Row],[Baseline Work]]=""),"",Tasks[[#This Row],[Work]]-N(Tasks[[#This Row],[Baseline Work]]))</f>
        <v/>
      </c>
      <c r="BM48" s="63" t="str">
        <f aca="false">IF(Tasks[[#This Row],[Task Name]]="","",IF(OR(TakeBaseline="Yes",N(Tasks[[#This Row],[Baseline Start]])=0),Tasks[[#This Row],[Start]],Tasks[[#This Row],[Baseline Start]]))</f>
        <v/>
      </c>
      <c r="BN48" s="63" t="str">
        <f aca="false">IF(Tasks[[#This Row],[Task Name]]="","",IF(OR(TakeBaseline="Yes",N(Tasks[[#This Row],[Baseline Finish]])=0),Tasks[[#This Row],[Finish]],Tasks[[#This Row],[Baseline Finish]]))</f>
        <v/>
      </c>
      <c r="BO48" s="21" t="str">
        <f aca="false">IF(Tasks[[#This Row],[Task Name]]="","",IF(OR(TakeBaseline="Yes",N(Tasks[[#This Row],[Baseline Duration]])=0),Tasks[[#This Row],[_SpanDays]],Tasks[[#This Row],[Baseline Duration]]))</f>
        <v/>
      </c>
      <c r="BP48" s="86" t="str">
        <f aca="false">IF(Tasks[[#This Row],[Task Name]]="","",IF(OR(TakeBaseline="Yes",N(Tasks[[#This Row],[Baseline Work]])=0),Tasks[[#This Row],[Work]],Tasks[[#This Row],[Baseline Work]]))</f>
        <v/>
      </c>
      <c r="BQ48" s="7"/>
      <c r="BR48" s="7"/>
      <c r="BS48" s="22"/>
      <c r="BT48" s="88"/>
      <c r="BU48" s="23"/>
      <c r="BV48" s="23"/>
      <c r="BW48" s="23"/>
      <c r="BX48" s="89" t="str">
        <f aca="false">IF(AND(Tasks[[#This Row],[_IsLeaf]]=1,ISNUMBER(Tasks[[#This Row],[Optimistic]]),ISNUMBER(Tasks[[#This Row],[Pessimistic]])),ROUND((Tasks[[#This Row],[Optimistic]]+4*N(Tasks[[#This Row],[_Days]])+Tasks[[#This Row],[Pessimistic]])/6,1),"")</f>
        <v/>
      </c>
      <c r="BY48" s="87"/>
      <c r="BZ48" s="87"/>
      <c r="CA48" s="22"/>
      <c r="CB48" s="43" t="str">
        <f aca="false">IF(Tasks[[#This Row],[Task Name]]="","",MAX(1,N(Tasks[[#This Row],[Level]])))</f>
        <v/>
      </c>
      <c r="CC48" s="43" t="n">
        <f aca="false">ROW()-ROW(Tasks[[#Headers],[ID]])</f>
        <v>43</v>
      </c>
      <c r="CD48" s="43" t="n">
        <f aca="false">IF(OR(Tasks[[#This Row],[Task Name]]="",Tasks[[#This Row],[_Level]]&lt;=1),0,IFERROR(LOOKUP(2,1/(Tasks[[#Headers],[_Level]]:Tasks[[#This Row],[_Level]]=Tasks[[#This Row],[_Level]]-1),ROW(Tasks[[#Headers],[_Level]]:Tasks[[#This Row],[_Level]])),0))</f>
        <v>0</v>
      </c>
      <c r="CE48" s="43" t="n">
        <f aca="false">IFERROR(N(INDEX(Tasks[_Level],Tasks[[#This Row],[_Row]]+1)),0)</f>
        <v>0</v>
      </c>
      <c r="CF48" s="90" t="b">
        <f aca="false">AND(Tasks[[#This Row],[Task Name]]&lt;&gt;"",Tasks[[#This Row],[_NextLevel]]&gt;Tasks[[#This Row],[_Level]])</f>
        <v>0</v>
      </c>
      <c r="CG48" s="43" t="n">
        <f aca="false">IF(Tasks[[#This Row],[_IsSummary]],COUNTIF(Tasks[WBS],Tasks[[#This Row],[WBS]]&amp;".*"),0)</f>
        <v>0</v>
      </c>
      <c r="CH48" s="43" t="n">
        <f aca="false">IF(AND(Tasks[[#This Row],[Task Name]]&lt;&gt;"",NOT(Tasks[[#This Row],[_IsSummary]])),1,0)</f>
        <v>0</v>
      </c>
      <c r="CI48" s="43" t="n">
        <f aca="false">IF(N(Tasks[[#This Row],[_Pred1UID]])=0,0,IFERROR(MATCH(Tasks[[#This Row],[_Pred1UID]],Tasks[UID],0),-1))</f>
        <v>0</v>
      </c>
      <c r="CJ48" s="43" t="n">
        <f aca="false">IF(N(Tasks[[#This Row],[_Pred2UID]])=0,0,IFERROR(MATCH(Tasks[[#This Row],[_Pred2UID]],Tasks[UID],0),-1))</f>
        <v>0</v>
      </c>
      <c r="CK48" s="43" t="n">
        <f aca="false">IF(N(Tasks[[#This Row],[_Pred3UID]])=0,0,IFERROR(MATCH(Tasks[[#This Row],[_Pred3UID]],Tasks[UID],0),-1))</f>
        <v>0</v>
      </c>
      <c r="CL48" s="43" t="n">
        <f aca="false">IF(N(Tasks[[#This Row],[_Pred4UID]])=0,0,IFERROR(MATCH(Tasks[[#This Row],[_Pred4UID]],Tasks[UID],0),-1))</f>
        <v>0</v>
      </c>
      <c r="CM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8" s="91" t="n">
        <f aca="false">IF(OR(Tasks[[#This Row],[_ConstraintCode]]=2,Tasks[[#This Row],[_ConstraintCode]]=3,Tasks[[#This Row],[_ConstraintCode]]=4,Tasks[[#This Row],[_ConstraintCode]]=6),Tasks[[#This Row],[_ConstraintStart]],0)</f>
        <v>0</v>
      </c>
      <c r="CP48" s="91" t="n">
        <f aca="false">IF(OR(Tasks[[#This Row],[_ConstraintCode]]=2,Tasks[[#This Row],[_ConstraintCode]]=3,Tasks[[#This Row],[_ConstraintCode]]=5,Tasks[[#This Row],[_ConstraintCode]]=7),Tasks[[#This Row],[_ConstraintStart]],2958465)</f>
        <v>2958465</v>
      </c>
      <c r="CQ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91" t="str">
        <f aca="false">IF(NOT(Tasks[[#This Row],[_IsLeaf]]=1),"",IF(N(Tasks[[#This Row],[_Days]])&lt;=0,Tasks[[#This Row],[_LeafCalcStart]],WORKDAY.INTL(Tasks[[#This Row],[_LeafCalcStart]],Tasks[[#This Row],[_Days]]-1,WorkWeek,Holidays)))</f>
        <v/>
      </c>
      <c r="CS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3" t="str">
        <f aca="false">IF(Tasks[[#This Row],[_Predecessors]]="","",TRIM(MID(SUBSTITUTE(SUBSTITUTE(SUBSTITUTE(UPPER(Tasks[[#This Row],[_Predecessors]]),";",",")," ",""),",",REPT(" ",99)),1,99)))</f>
        <v/>
      </c>
      <c r="CV48" s="43" t="str">
        <f aca="false">IF(Tasks[[#This Row],[_Pred1Text]]="","",IFERROR(VALUE(LEFT(Tasks[[#This Row],[_Pred1Text]],MIN(FIND("F",Tasks[[#This Row],[_Pred1Text]]&amp;"F"),FIND("S",Tasks[[#This Row],[_Pred1Text]]&amp;"S"),FIND("+",Tasks[[#This Row],[_Pred1Text]]&amp;"+"),FIND("-",Tasks[[#This Row],[_Pred1Text]]&amp;"-"))-1)),""))</f>
        <v/>
      </c>
      <c r="CW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3" t="str">
        <f aca="false">IF(Tasks[[#This Row],[_Pred1Text]]="","",TRIM(MID(SUBSTITUTE(SUBSTITUTE(SUBSTITUTE(UPPER(Tasks[[#This Row],[_Predecessors]]),";",",")," ",""),",",REPT(" ",99)),100,99)))</f>
        <v/>
      </c>
      <c r="CZ48" s="43" t="str">
        <f aca="false">IF(Tasks[[#This Row],[_Pred2Text]]="","",IFERROR(VALUE(LEFT(Tasks[[#This Row],[_Pred2Text]],MIN(FIND("F",Tasks[[#This Row],[_Pred2Text]]&amp;"F"),FIND("S",Tasks[[#This Row],[_Pred2Text]]&amp;"S"),FIND("+",Tasks[[#This Row],[_Pred2Text]]&amp;"+"),FIND("-",Tasks[[#This Row],[_Pred2Text]]&amp;"-"))-1)),""))</f>
        <v/>
      </c>
      <c r="DA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3" t="str">
        <f aca="false">IF(Tasks[[#This Row],[_Pred2Text]]="","",TRIM(MID(SUBSTITUTE(SUBSTITUTE(SUBSTITUTE(UPPER(Tasks[[#This Row],[_Predecessors]]),";",",")," ",""),",",REPT(" ",99)),199,99)))</f>
        <v/>
      </c>
      <c r="DD48" s="43" t="str">
        <f aca="false">IF(Tasks[[#This Row],[_Pred3Text]]="","",IFERROR(VALUE(LEFT(Tasks[[#This Row],[_Pred3Text]],MIN(FIND("F",Tasks[[#This Row],[_Pred3Text]]&amp;"F"),FIND("S",Tasks[[#This Row],[_Pred3Text]]&amp;"S"),FIND("+",Tasks[[#This Row],[_Pred3Text]]&amp;"+"),FIND("-",Tasks[[#This Row],[_Pred3Text]]&amp;"-"))-1)),""))</f>
        <v/>
      </c>
      <c r="DE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3" t="str">
        <f aca="false">IF(Tasks[[#This Row],[_Pred3Text]]="","",TRIM(MID(SUBSTITUTE(SUBSTITUTE(SUBSTITUTE(UPPER(Tasks[[#This Row],[_Predecessors]]),";",",")," ",""),",",REPT(" ",99)),298,99)))</f>
        <v/>
      </c>
      <c r="DH48" s="43" t="str">
        <f aca="false">IF(Tasks[[#This Row],[_Pred4Text]]="","",IFERROR(VALUE(LEFT(Tasks[[#This Row],[_Pred4Text]],MIN(FIND("F",Tasks[[#This Row],[_Pred4Text]]&amp;"F"),FIND("S",Tasks[[#This Row],[_Pred4Text]]&amp;"S"),FIND("+",Tasks[[#This Row],[_Pred4Text]]&amp;"+"),FIND("-",Tasks[[#This Row],[_Pred4Text]]&amp;"-"))-1)),""))</f>
        <v/>
      </c>
      <c r="DI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3" t="str">
        <f aca="false">IF(OR(Tasks[[#This Row],[Task Name]]="",Tasks[[#This Row],[_Resources]]=""),"",TRIM(MID(SUBSTITUTE(Tasks[[#This Row],[_Resources]],",",REPT(" ",99)),1,99)))</f>
        <v/>
      </c>
      <c r="DL48" s="43" t="str">
        <f aca="false">IF(Tasks[[#This Row],[_Res1Text]]="","",TRIM(MID(SUBSTITUTE(Tasks[[#This Row],[_Resources]],",",REPT(" ",99)),100,99)))</f>
        <v/>
      </c>
      <c r="DM48" s="43" t="str">
        <f aca="false">IF(Tasks[[#This Row],[_Res2Text]]="","",TRIM(MID(SUBSTITUTE(Tasks[[#This Row],[_Resources]],",",REPT(" ",99)),199,99)))</f>
        <v/>
      </c>
      <c r="DN48" s="43" t="str">
        <f aca="false">IF(Tasks[[#This Row],[_Res3Text]]="","",TRIM(MID(SUBSTITUTE(Tasks[[#This Row],[_Resources]],",",REPT(" ",99)),298,99)))</f>
        <v/>
      </c>
      <c r="DO48" s="43" t="n">
        <f aca="false">IF(Tasks[[#This Row],[_Res1Text]]="",0,IFERROR(MATCH(TRIM(LEFT(Tasks[[#This Row],[_Res1Text]],FIND("[",Tasks[[#This Row],[_Res1Text]]&amp;"[")-1)),res_Name,0),IFERROR(MATCH(TRIM(LEFT(Tasks[[#This Row],[_Res1Text]],FIND("[",Tasks[[#This Row],[_Res1Text]]&amp;"[")-1)),res_Initials,0),0)))</f>
        <v>0</v>
      </c>
      <c r="DP48" s="43" t="n">
        <f aca="false">IF(Tasks[[#This Row],[_Res2Text]]="",0,IFERROR(MATCH(TRIM(LEFT(Tasks[[#This Row],[_Res2Text]],FIND("[",Tasks[[#This Row],[_Res2Text]]&amp;"[")-1)),res_Name,0),IFERROR(MATCH(TRIM(LEFT(Tasks[[#This Row],[_Res2Text]],FIND("[",Tasks[[#This Row],[_Res2Text]]&amp;"[")-1)),res_Initials,0),0)))</f>
        <v>0</v>
      </c>
      <c r="DQ48" s="43" t="n">
        <f aca="false">IF(Tasks[[#This Row],[_Res3Text]]="",0,IFERROR(MATCH(TRIM(LEFT(Tasks[[#This Row],[_Res3Text]],FIND("[",Tasks[[#This Row],[_Res3Text]]&amp;"[")-1)),res_Name,0),IFERROR(MATCH(TRIM(LEFT(Tasks[[#This Row],[_Res3Text]],FIND("[",Tasks[[#This Row],[_Res3Text]]&amp;"[")-1)),res_Initials,0),0)))</f>
        <v>0</v>
      </c>
      <c r="DR48" s="43" t="n">
        <f aca="false">IF(Tasks[[#This Row],[_Res4Text]]="",0,IFERROR(MATCH(TRIM(LEFT(Tasks[[#This Row],[_Res4Text]],FIND("[",Tasks[[#This Row],[_Res4Text]]&amp;"[")-1)),res_Name,0),IFERROR(MATCH(TRIM(LEFT(Tasks[[#This Row],[_Res4Text]],FIND("[",Tasks[[#This Row],[_Res4Text]]&amp;"[")-1)),res_Initials,0),0)))</f>
        <v>0</v>
      </c>
      <c r="DS48" s="43" t="str">
        <f aca="false">IF(Tasks[[#This Row],[_Res1Text]]="","",IF(Tasks[[#This Row],[_Res1Row]]&gt;0,INDEX(res_Name,Tasks[[#This Row],[_Res1Row]]),TRIM(LEFT(Tasks[[#This Row],[_Res1Text]],FIND("[",Tasks[[#This Row],[_Res1Text]]&amp;"[")-1))))</f>
        <v/>
      </c>
      <c r="DT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3" t="n">
        <f aca="false">IF(NOT(Tasks[[#This Row],[_IsLeaf]]=1),0,(Tasks[[#This Row],[_Resource1]]&lt;&gt;"")+(Tasks[[#This Row],[_Res2]]&lt;&gt;"")+(Tasks[[#This Row],[_Res3]]&lt;&gt;"")+(Tasks[[#This Row],[_Res4]]&lt;&gt;""))</f>
        <v>0</v>
      </c>
      <c r="DV48" s="43" t="str">
        <f aca="false">IF(Tasks[[#This Row],[_Res2Text]]="","",IF(Tasks[[#This Row],[_Res2Row]]&gt;0,INDEX(res_Name,Tasks[[#This Row],[_Res2Row]]),TRIM(LEFT(Tasks[[#This Row],[_Res2Text]],FIND("[",Tasks[[#This Row],[_Res2Text]]&amp;"[")-1))))</f>
        <v/>
      </c>
      <c r="DW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3" t="n">
        <f aca="false">IF(OR(NOT(Tasks[[#This Row],[_IsLeaf]]=1),Tasks[[#This Row],[_Res2Row]]=0),0,N(Tasks[[#This Row],[_Days]])*HoursPerDay*IF(Tasks[[#This Row],[_Res2Units]]="",DefaultUnits,Tasks[[#This Row],[_Res2Units]]))</f>
        <v>0</v>
      </c>
      <c r="DY48" s="43" t="n">
        <f aca="false">IF(AND(AND(Tasks[[#This Row],[_IsLeaf]]=1,Tasks[[#This Row],[_LeafTotalWork]]&gt;0),Tasks[[#This Row],[_Res2Work]]&gt;0),Tasks[[#This Row],[_Res2Work]]/(Tasks[[#This Row],[_FinishWorkday]]-Tasks[[#This Row],[_StartWorkday]]+1),0)</f>
        <v>0</v>
      </c>
      <c r="DZ48" s="43" t="n">
        <f aca="false">Tasks[[#This Row],[_Res2WorkPerWD]]*MAX(0,Tasks[[#This Row],[_StartWorkday]]-1)</f>
        <v>0</v>
      </c>
      <c r="EA48" s="43" t="n">
        <f aca="false">Tasks[[#This Row],[_Res2Work]]*Tasks[[#This Row],[_LeafProgress]]</f>
        <v>0</v>
      </c>
      <c r="EB48" s="43" t="str">
        <f aca="false">IF(Tasks[[#This Row],[_Res3Text]]="","",IF(Tasks[[#This Row],[_Res3Row]]&gt;0,INDEX(res_Name,Tasks[[#This Row],[_Res3Row]]),TRIM(LEFT(Tasks[[#This Row],[_Res3Text]],FIND("[",Tasks[[#This Row],[_Res3Text]]&amp;"[")-1))))</f>
        <v/>
      </c>
      <c r="EC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3" t="n">
        <f aca="false">IF(OR(NOT(Tasks[[#This Row],[_IsLeaf]]=1),Tasks[[#This Row],[_Res3Row]]=0),0,N(Tasks[[#This Row],[_Days]])*HoursPerDay*IF(Tasks[[#This Row],[_Res3Units]]="",DefaultUnits,Tasks[[#This Row],[_Res3Units]]))</f>
        <v>0</v>
      </c>
      <c r="EE48" s="43" t="n">
        <f aca="false">IF(AND(AND(Tasks[[#This Row],[_IsLeaf]]=1,Tasks[[#This Row],[_LeafTotalWork]]&gt;0),Tasks[[#This Row],[_Res3Work]]&gt;0),Tasks[[#This Row],[_Res3Work]]/(Tasks[[#This Row],[_FinishWorkday]]-Tasks[[#This Row],[_StartWorkday]]+1),0)</f>
        <v>0</v>
      </c>
      <c r="EF48" s="43" t="n">
        <f aca="false">Tasks[[#This Row],[_Res3WorkPerWD]]*MAX(0,Tasks[[#This Row],[_StartWorkday]]-1)</f>
        <v>0</v>
      </c>
      <c r="EG48" s="43" t="n">
        <f aca="false">Tasks[[#This Row],[_Res3Work]]*Tasks[[#This Row],[_LeafProgress]]</f>
        <v>0</v>
      </c>
      <c r="EH48" s="43" t="str">
        <f aca="false">IF(Tasks[[#This Row],[_Res4Text]]="","",IF(Tasks[[#This Row],[_Res4Row]]&gt;0,INDEX(res_Name,Tasks[[#This Row],[_Res4Row]]),TRIM(LEFT(Tasks[[#This Row],[_Res4Text]],FIND("[",Tasks[[#This Row],[_Res4Text]]&amp;"[")-1))))</f>
        <v/>
      </c>
      <c r="EI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3" t="n">
        <f aca="false">IF(OR(NOT(Tasks[[#This Row],[_IsLeaf]]=1),Tasks[[#This Row],[_Res4Row]]=0),0,N(Tasks[[#This Row],[_Days]])*HoursPerDay*IF(Tasks[[#This Row],[_Res4Units]]="",DefaultUnits,Tasks[[#This Row],[_Res4Units]]))</f>
        <v>0</v>
      </c>
      <c r="EK48" s="43" t="n">
        <f aca="false">IF(AND(AND(Tasks[[#This Row],[_IsLeaf]]=1,Tasks[[#This Row],[_LeafTotalWork]]&gt;0),Tasks[[#This Row],[_Res4Work]]&gt;0),Tasks[[#This Row],[_Res4Work]]/(Tasks[[#This Row],[_FinishWorkday]]-Tasks[[#This Row],[_StartWorkday]]+1),0)</f>
        <v>0</v>
      </c>
      <c r="EL48" s="43" t="n">
        <f aca="false">Tasks[[#This Row],[_Res4WorkPerWD]]*MAX(0,Tasks[[#This Row],[_StartWorkday]]-1)</f>
        <v>0</v>
      </c>
      <c r="EM48" s="43" t="n">
        <f aca="false">Tasks[[#This Row],[_Res4Work]]*Tasks[[#This Row],[_LeafProgress]]</f>
        <v>0</v>
      </c>
      <c r="EN48" s="43" t="n">
        <f aca="false">IF(ISNUMBER(Tasks[[#This Row],[% Complete]]),Tasks[[#This Row],[% Complete]],IF(Tasks[[#This Row],[Stage]]="",0,IFERROR(INDEX(stg_Pct,MATCH(Tasks[[#This Row],[Stage]],stg_Name,0)),0)))</f>
        <v>0</v>
      </c>
      <c r="EO48" s="43" t="n">
        <f aca="false">IF(NOT(Tasks[[#This Row],[_IsLeaf]]=1),0,IF(N(Tasks[[#This Row],[Actual Finish]])&gt;0,1,MIN(1,Tasks[[#This Row],[_Pct]])))</f>
        <v>0</v>
      </c>
      <c r="EP48" s="43" t="n">
        <f aca="false">IF(OR(NOT(Tasks[[#This Row],[_IsLeaf]]=1),Tasks[[#This Row],[_Res1Row]]=0),0,N(Tasks[[#This Row],[_Days]])*HoursPerDay*IF(Tasks[[#This Row],[_Units1]]="",DefaultUnits,Tasks[[#This Row],[_Units1]]))</f>
        <v>0</v>
      </c>
      <c r="EQ48" s="43" t="n">
        <f aca="false">Tasks[[#This Row],[_LeafWork]]+Tasks[[#This Row],[_Res2Work]]+Tasks[[#This Row],[_Res3Work]]+Tasks[[#This Row],[_Res4Work]]</f>
        <v>0</v>
      </c>
      <c r="ER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3" t="n">
        <f aca="false">IF(NOT(Tasks[[#This Row],[_IsLeaf]]=1),0,MAX(_xlfn.MAXIFS(Tasks[_Row],Tasks[_Pred1UID],Tasks[[#This Row],[UID]]),_xlfn.MAXIFS(Tasks[_Row],Tasks[_Pred2UID],Tasks[[#This Row],[UID]]),_xlfn.MAXIFS(Tasks[_Row],Tasks[_Pred3UID],Tasks[[#This Row],[UID]]),_xlfn.MAXIFS(Tasks[_Row],Tasks[_Pred4UID],Tasks[[#This Row],[UID]])))</f>
        <v>0</v>
      </c>
      <c r="FA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91" t="str">
        <f aca="false">IF(NOT(Tasks[[#This Row],[_IsLeaf]]=1),"",IF(N(Tasks[[#This Row],[_Days]])&lt;=0,Tasks[[#This Row],[_LeafLateFinish]],WORKDAY.INTL(Tasks[[#This Row],[_LeafLateFinish]],-(Tasks[[#This Row],[_Days]]-1),WorkWeek,Holidays)))</f>
        <v/>
      </c>
      <c r="FD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8" s="90" t="b">
        <f aca="false">AND(Tasks[[#This Row],[_IsLeaf]]=1,Tasks[[#This Row],[_LeafProgress]]&lt;1,N(Tasks[[#This Row],[_LeafTotalSlack]])&lt;=CriticalSlackDays)</f>
        <v>0</v>
      </c>
      <c r="FF48" s="43" t="n">
        <f aca="false">IF(AND(Tasks[[#This Row],[_IsLeaf]]=1,Tasks[[#This Row],[_ConstraintCode]]=1,Tasks[[#This Row],[Mode]]&lt;&gt;"Manual",N(Tasks[[#This Row],[Actual Start]])=0),MAX(0,N(Tasks[[#This Row],[Free Slack]])),0)</f>
        <v>0</v>
      </c>
      <c r="FG48" s="91" t="str">
        <f aca="false">IF(NOT(Tasks[[#This Row],[_IsLeaf]]=1),"",IF(Tasks[[#This Row],[_AlapShift]]=0,Tasks[[#This Row],[_LeafCalcStart]],WORKDAY.INTL(Tasks[[#This Row],[_LeafCalcStart]],Tasks[[#This Row],[_AlapShift]],WorkWeek,Holidays)))</f>
        <v/>
      </c>
      <c r="FH48" s="91" t="str">
        <f aca="false">IF(NOT(Tasks[[#This Row],[_IsLeaf]]=1),"",IF(Tasks[[#This Row],[_AlapShift]]=0,Tasks[[#This Row],[_LeafCalcFinish]],WORKDAY.INTL(Tasks[[#This Row],[_LeafCalcFinish]],Tasks[[#This Row],[_AlapShift]],WorkWeek,Holidays)))</f>
        <v/>
      </c>
      <c r="FI48" s="91" t="str">
        <f aca="false">IF(NOT(Tasks[[#This Row],[_IsLeaf]]=1),"",IF(Tasks[[#This Row],[_AlapShift]]=0,Tasks[[#This Row],[_LeafFcstStart]],WORKDAY.INTL(Tasks[[#This Row],[_LeafFcstStart]],Tasks[[#This Row],[_AlapShift]],WorkWeek,Holidays)))</f>
        <v/>
      </c>
      <c r="FJ48" s="91" t="str">
        <f aca="false">IF(NOT(Tasks[[#This Row],[_IsLeaf]]=1),"",IF(Tasks[[#This Row],[_AlapShift]]=0,Tasks[[#This Row],[_LeafFcstFinish]],WORKDAY.INTL(Tasks[[#This Row],[_LeafFcstFinish]],Tasks[[#This Row],[_AlapShift]],WorkWeek,Holidays)))</f>
        <v/>
      </c>
      <c r="FK48" s="91" t="str">
        <f aca="false">IF(Tasks[[#This Row],[Task Name]]="","",IF(Tasks[[#This Row],[_IsSummary]],MIN(INDEX(Tasks[_ShownCalcStart],Tasks[[#This Row],[_Row]]+1):INDEX(Tasks[_ShownCalcStart],Tasks[[#This Row],[_Row]]+Tasks[[#This Row],[_Descendants]])),Tasks[[#This Row],[_ShownCalcStart]]))</f>
        <v/>
      </c>
      <c r="FL48" s="91" t="str">
        <f aca="false">IF(Tasks[[#This Row],[Task Name]]="","",IF(Tasks[[#This Row],[_IsSummary]],MAX(INDEX(Tasks[_ShownCalcFinish],Tasks[[#This Row],[_Row]]+1):INDEX(Tasks[_ShownCalcFinish],Tasks[[#This Row],[_Row]]+Tasks[[#This Row],[_Descendants]])),Tasks[[#This Row],[_ShownCalcFinish]]))</f>
        <v/>
      </c>
      <c r="FM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8" s="43" t="n">
        <f aca="false">IF(AND(Tasks[[#This Row],[_IsLeaf]]=1,Tasks[[#This Row],[_LeafTotalWork]]&gt;0),NETWORKDAYS.INTL(ProjectStart,Tasks[[#This Row],[_ShownFcstStart]],WorkWeek,Holidays),0)</f>
        <v>0</v>
      </c>
      <c r="FZ48" s="43" t="n">
        <f aca="false">IF(AND(Tasks[[#This Row],[_IsLeaf]]=1,Tasks[[#This Row],[_LeafTotalWork]]&gt;0),MAX(Tasks[[#This Row],[_StartWorkday]],NETWORKDAYS.INTL(ProjectStart,Tasks[[#This Row],[_ShownFcstFinish]],WorkWeek,Holidays)),0)</f>
        <v>0</v>
      </c>
      <c r="GA48" s="43" t="n">
        <f aca="false">IF(AND(Tasks[[#This Row],[_IsLeaf]]=1,Tasks[[#This Row],[_LeafTotalWork]]&gt;0),Tasks[[#This Row],[_LeafWork]]/(Tasks[[#This Row],[_FinishWorkday]]-Tasks[[#This Row],[_StartWorkday]]+1),0)</f>
        <v>0</v>
      </c>
      <c r="GB48" s="43" t="n">
        <f aca="false">Tasks[[#This Row],[_WorkPerWorkday]]*(Tasks[[#This Row],[_StartWorkday]]-1)</f>
        <v>-0</v>
      </c>
      <c r="GC48" s="43" t="n">
        <f aca="false">IF(Tasks[[#This Row],[_IsLeaf]]=1,MAX(N(Tasks[[#This Row],[_Days]]),0.1),0)</f>
        <v>0</v>
      </c>
      <c r="GD48" s="43" t="n">
        <f aca="false">Tasks[[#This Row],[_WeightDur]]*Tasks[[#This Row],[_LeafProgress]]</f>
        <v>0</v>
      </c>
      <c r="GE48" s="43" t="n">
        <f aca="false">Tasks[[#This Row],[_WeightDur]]*Tasks[[#This Row],[_PlannedPct]]</f>
        <v>0</v>
      </c>
      <c r="GF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3" t="str">
        <f aca="false">IF(AND(Tasks[[#This Row],[_IsLeaf]]=1,N(Tasks[[#This Row],[_Days]])=0,Tasks[[#This Row],[_LeafProgress]]&lt;1),Tasks[[#This Row],[_ShownFcstFinish]]+Tasks[[#This Row],[_Row]]/100000,"")</f>
        <v/>
      </c>
      <c r="GH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8" s="43" t="str">
        <f aca="false">IF(Tasks[[#This Row],[Task Name]]="","",LEFT(Tasks[[#This Row],[WBS]],FIND(".",Tasks[[#This Row],[WBS]]&amp;".")-1))</f>
        <v/>
      </c>
      <c r="GJ48" s="43" t="str">
        <f aca="false">IF(AND(Tasks[[#This Row],[Task Name]]&lt;&gt;"",Tasks[[#This Row],[_Level]]=1),Tasks[[#This Row],[_Row]],"")</f>
        <v/>
      </c>
      <c r="GK48" s="43" t="str">
        <f aca="false">IF(AND(Tasks[[#This Row],[_IsLeaf]]=1,N(Tasks[[#This Row],[_Days]])=0),Tasks[[#This Row],[Planned Finish]]+Tasks[[#This Row],[_Row]]/100000,"")</f>
        <v/>
      </c>
      <c r="GL48" s="43" t="str">
        <f aca="false">IF(AND(Tasks[[#This Row],[_IsLeaf]]=1,Tasks[[#This Row],[_LeafProgress]]&lt;1,OR(N(Tasks[[#This Row],[Finish Var]])&gt;0,Tasks[[#This Row],[Status]]="Late Start")),MAX(0,Tasks[[#This Row],[Finish Var]])+1-Tasks[[#This Row],[_Row]]/1000000,"")</f>
        <v/>
      </c>
      <c r="GM48" s="43" t="str">
        <f aca="false">IF(AND(Tasks[[#This Row],[_IsLeaf]]=1,N(Tasks[[#This Row],[Actual Start]])=0,Tasks[[#This Row],[_ShownFcstStart]]&gt;=StatusDate,Tasks[[#This Row],[_ShownFcstStart]]&lt;=LookaheadEnd),Tasks[[#This Row],[_ShownFcstStart]]+Tasks[[#This Row],[_Row]]/100000,"")</f>
        <v/>
      </c>
      <c r="GN48" s="43" t="str">
        <f aca="false">IF(AND(Tasks[[#This Row],[_IsLeaf]]=1,Tasks[[#This Row],[_LeafProgress]]&lt;1,Tasks[[#This Row],[_ShownFcstFinish]]&gt;=StatusDate,Tasks[[#This Row],[_ShownFcstFinish]]&lt;=LookaheadEnd),Tasks[[#This Row],[_ShownFcstFinish]]+Tasks[[#This Row],[_Row]]/100000,"")</f>
        <v/>
      </c>
      <c r="GO48" s="43" t="str">
        <f aca="false">IF(Tasks[[#This Row],[_LeafCritical]],Tasks[[#This Row],[_ShownFcstStart]]+Tasks[[#This Row],[_Row]]/100000,"")</f>
        <v/>
      </c>
      <c r="GP48" s="43" t="n">
        <f aca="false">Tasks[[#This Row],[_LeafWork]]*Tasks[[#This Row],[_LeafProgress]]</f>
        <v>0</v>
      </c>
      <c r="GQ48" s="91" t="str">
        <f aca="false">IF(AND(Tasks[[#This Row],[_IsLeaf]]=1,Tasks[[#This Row],[_LeafProgress]]&gt;=1),IF(N(Tasks[[#This Row],[Actual Finish]])&gt;0,Tasks[[#This Row],[Actual Finish]],Tasks[[#This Row],[_ShownFcstFinish]]),"")</f>
        <v/>
      </c>
      <c r="GR48" s="43" t="n">
        <f aca="false">IF(Tasks[[#This Row],[_IsLeaf]]=1,N(Tasks[[#This Row],[Story Points]]),0)</f>
        <v>0</v>
      </c>
      <c r="GS48" s="43" t="str">
        <f aca="false">""</f>
        <v/>
      </c>
      <c r="GT48" s="90" t="b">
        <f aca="false">IF(Tasks[[#This Row],[Task Name]]="",FALSE(),AND(Tasks[[#This Row],[_IsLeaf]]=1,N(Tasks[[#This Row],[_Days]])=0))</f>
        <v>0</v>
      </c>
      <c r="GU48" s="91" t="n">
        <f aca="false">IF(Tasks[[#This Row],[Task Name]]="",0,IF(AND(Tasks[[#This Row],[_IsLeaf]]=1,NOT(Tasks[[#This Row],[_IsMilestone]]),N(Tasks[[#This Row],[Progress]])&gt;0),Tasks[[#This Row],[Start]],0))</f>
        <v>0</v>
      </c>
      <c r="GV48" s="91" t="n">
        <f aca="false">IF(Tasks[[#This Row],[_DoneFrom]]=0,0,IF(Tasks[[#This Row],[Progress]]&gt;=1,Tasks[[#This Row],[Finish]],MAX(Tasks[[#This Row],[_DoneFrom]],Tasks[[#This Row],[Start]]+ROUND((Tasks[[#This Row],[Finish]]-Tasks[[#This Row],[Start]]+1)*Tasks[[#This Row],[Progress]],0)-1)))</f>
        <v>0</v>
      </c>
      <c r="GW48" s="91" t="n">
        <f aca="false">IF(Tasks[[#This Row],[Task Name]]="",0,IF(OR(NOT(Tasks[[#This Row],[_IsLeaf]]=1),Tasks[[#This Row],[_IsMilestone]],N(Tasks[[#This Row],[Progress]])&gt;=1),0,IF(Tasks[[#This Row],[_DoneTo]]&gt;0,Tasks[[#This Row],[_DoneTo]]+1,Tasks[[#This Row],[Start]])))</f>
        <v>0</v>
      </c>
      <c r="GX48" s="91" t="n">
        <f aca="false">IF(Tasks[[#This Row],[_RemFrom]]=0,0,Tasks[[#This Row],[Finish]])</f>
        <v>0</v>
      </c>
      <c r="GY48" s="90" t="b">
        <f aca="false">IF(Tasks[[#This Row],[Task Name]]="",FALSE(),OR(NOT(BaselineSet),N(Tasks[[#This Row],[Baseline Start]])&gt;0))</f>
        <v>0</v>
      </c>
      <c r="GZ4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92" t="str">
        <f aca="false">IF(Tasks[[#This Row],[_IsLeaf]]=1,Tasks[[#This Row],[_Row]],"")</f>
        <v/>
      </c>
      <c r="HD48" s="92" t="str">
        <f aca="false">IFERROR(INDEX(Tasks[UID],SMALL(Tasks[_PickKey],Tasks[[#This Row],[_Row]]))&amp;" "&amp;INDEX(Tasks[Task Name],SMALL(Tasks[_PickKey],Tasks[[#This Row],[_Row]])),"")</f>
        <v/>
      </c>
      <c r="HE48" s="43" t="str">
        <f aca="false">IF(Tasks[[#This Row],[Task Name]]="","",IF(Tasks[[#This Row],[_IsSummary]],NETWORKDAYS.INTL(Tasks[[#This Row],[Start]],Tasks[[#This Row],[Finish]],WorkWeek,Holidays),N(Tasks[[#This Row],[_Days]])))</f>
        <v/>
      </c>
      <c r="HF48" s="43" t="n">
        <f aca="false">IF(Tasks[[#This Row],[Expected]]="",0,((Tasks[[#This Row],[Pessimistic]]-Tasks[[#This Row],[Optimistic]])/6)^2)</f>
        <v>0</v>
      </c>
      <c r="HG48" s="43" t="n">
        <f aca="false">IF(Tasks[[#This Row],[Expected]]="",0,Tasks[[#This Row],[Expected]]-N(Tasks[[#This Row],[_Days]]))</f>
        <v>0</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4"/>
      <c r="U49" s="23"/>
      <c r="V49" s="84"/>
      <c r="W49" s="23"/>
      <c r="X49" s="84"/>
      <c r="Y49" s="23"/>
      <c r="Z49" s="84"/>
      <c r="AA49" s="23"/>
      <c r="AB49" s="23"/>
      <c r="AC49" s="7"/>
      <c r="AD49" s="7"/>
      <c r="AE49" s="63" t="str">
        <f aca="false">IF(Tasks[[#This Row],[Task Name]]="","",IF(Tasks[[#This Row],[_IsSummary]],MIN(INDEX(Tasks[_ShownFcstStart],Tasks[[#This Row],[_Row]]+1):INDEX(Tasks[_ShownFcstStart],Tasks[[#This Row],[_Row]]+Tasks[[#This Row],[_Descendants]])),Tasks[[#This Row],[_ShownFcstStart]]))</f>
        <v/>
      </c>
      <c r="AF49" s="63"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9" s="7"/>
      <c r="AK49" s="22"/>
      <c r="AL49" s="23"/>
      <c r="AM49" s="7"/>
      <c r="AN49" s="47"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3" t="str">
        <f aca="false">IF(Tasks[[#This Row],[Task Name]]="","",IF(N(Tasks[[#This Row],[Baseline Start]])&gt;0,Tasks[[#This Row],[Baseline Start]],Tasks[[#This Row],[_CalcStart]]))</f>
        <v/>
      </c>
      <c r="AR49" s="63" t="str">
        <f aca="false">IF(Tasks[[#This Row],[Task Name]]="","",IF(N(Tasks[[#This Row],[Baseline Finish]])&gt;0,Tasks[[#This Row],[Baseline Finish]],Tasks[[#This Row],[_CalcFinish]]))</f>
        <v/>
      </c>
      <c r="AS49" s="47" t="str">
        <f aca="false">IF(Tasks[[#This Row],[Task Name]]="","",IF(Tasks[[#This Row],[Start]]&gt;=Tasks[[#This Row],[Planned Start]],NETWORKDAYS.INTL(Tasks[[#This Row],[Planned Start]],Tasks[[#This Row],[Start]],WorkWeek,Holidays)-1,1-NETWORKDAYS.INTL(Tasks[[#This Row],[Start]],Tasks[[#This Row],[Planned Start]],WorkWeek,Holidays)))</f>
        <v/>
      </c>
      <c r="AT49" s="63" t="str">
        <f aca="false">IF(Tasks[[#This Row],[Task Name]]="","",IF(Tasks[[#This Row],[_IsSummary]],MIN(INDEX(Tasks[_LeafLateStart],Tasks[[#This Row],[_Row]]+1):INDEX(Tasks[_LeafLateStart],Tasks[[#This Row],[_Row]]+Tasks[[#This Row],[_Descendants]])),Tasks[[#This Row],[_LeafLateStart]]))</f>
        <v/>
      </c>
      <c r="AU49" s="63" t="str">
        <f aca="false">IF(Tasks[[#This Row],[Task Name]]="","",IF(Tasks[[#This Row],[_IsSummary]],MAX(INDEX(Tasks[_LeafLateFinish],Tasks[[#This Row],[_Row]]+1):INDEX(Tasks[_LeafLateFinish],Tasks[[#This Row],[_Row]]+Tasks[[#This Row],[_Descendants]])),Tasks[[#This Row],[_LeafLateFinish]]))</f>
        <v/>
      </c>
      <c r="AV49" s="47"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5"/>
      <c r="BA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6"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7"/>
      <c r="BJ49" s="22"/>
      <c r="BK49" s="47" t="str">
        <f aca="false">IF(OR(Tasks[[#This Row],[Task Name]]="",Tasks[[#This Row],[Baseline Duration]]=""),"",Tasks[[#This Row],[_SpanDays]]-N(Tasks[[#This Row],[Baseline Duration]]))</f>
        <v/>
      </c>
      <c r="BL49" s="86" t="str">
        <f aca="false">IF(OR(Tasks[[#This Row],[Task Name]]="",Tasks[[#This Row],[Baseline Work]]=""),"",Tasks[[#This Row],[Work]]-N(Tasks[[#This Row],[Baseline Work]]))</f>
        <v/>
      </c>
      <c r="BM49" s="63" t="str">
        <f aca="false">IF(Tasks[[#This Row],[Task Name]]="","",IF(OR(TakeBaseline="Yes",N(Tasks[[#This Row],[Baseline Start]])=0),Tasks[[#This Row],[Start]],Tasks[[#This Row],[Baseline Start]]))</f>
        <v/>
      </c>
      <c r="BN49" s="63" t="str">
        <f aca="false">IF(Tasks[[#This Row],[Task Name]]="","",IF(OR(TakeBaseline="Yes",N(Tasks[[#This Row],[Baseline Finish]])=0),Tasks[[#This Row],[Finish]],Tasks[[#This Row],[Baseline Finish]]))</f>
        <v/>
      </c>
      <c r="BO49" s="21" t="str">
        <f aca="false">IF(Tasks[[#This Row],[Task Name]]="","",IF(OR(TakeBaseline="Yes",N(Tasks[[#This Row],[Baseline Duration]])=0),Tasks[[#This Row],[_SpanDays]],Tasks[[#This Row],[Baseline Duration]]))</f>
        <v/>
      </c>
      <c r="BP49" s="86" t="str">
        <f aca="false">IF(Tasks[[#This Row],[Task Name]]="","",IF(OR(TakeBaseline="Yes",N(Tasks[[#This Row],[Baseline Work]])=0),Tasks[[#This Row],[Work]],Tasks[[#This Row],[Baseline Work]]))</f>
        <v/>
      </c>
      <c r="BQ49" s="7"/>
      <c r="BR49" s="7"/>
      <c r="BS49" s="22"/>
      <c r="BT49" s="88"/>
      <c r="BU49" s="23"/>
      <c r="BV49" s="23"/>
      <c r="BW49" s="23"/>
      <c r="BX49" s="89" t="str">
        <f aca="false">IF(AND(Tasks[[#This Row],[_IsLeaf]]=1,ISNUMBER(Tasks[[#This Row],[Optimistic]]),ISNUMBER(Tasks[[#This Row],[Pessimistic]])),ROUND((Tasks[[#This Row],[Optimistic]]+4*N(Tasks[[#This Row],[_Days]])+Tasks[[#This Row],[Pessimistic]])/6,1),"")</f>
        <v/>
      </c>
      <c r="BY49" s="87"/>
      <c r="BZ49" s="87"/>
      <c r="CA49" s="22"/>
      <c r="CB49" s="43" t="str">
        <f aca="false">IF(Tasks[[#This Row],[Task Name]]="","",MAX(1,N(Tasks[[#This Row],[Level]])))</f>
        <v/>
      </c>
      <c r="CC49" s="43" t="n">
        <f aca="false">ROW()-ROW(Tasks[[#Headers],[ID]])</f>
        <v>44</v>
      </c>
      <c r="CD49" s="43" t="n">
        <f aca="false">IF(OR(Tasks[[#This Row],[Task Name]]="",Tasks[[#This Row],[_Level]]&lt;=1),0,IFERROR(LOOKUP(2,1/(Tasks[[#Headers],[_Level]]:Tasks[[#This Row],[_Level]]=Tasks[[#This Row],[_Level]]-1),ROW(Tasks[[#Headers],[_Level]]:Tasks[[#This Row],[_Level]])),0))</f>
        <v>0</v>
      </c>
      <c r="CE49" s="43" t="n">
        <f aca="false">IFERROR(N(INDEX(Tasks[_Level],Tasks[[#This Row],[_Row]]+1)),0)</f>
        <v>0</v>
      </c>
      <c r="CF49" s="90" t="b">
        <f aca="false">AND(Tasks[[#This Row],[Task Name]]&lt;&gt;"",Tasks[[#This Row],[_NextLevel]]&gt;Tasks[[#This Row],[_Level]])</f>
        <v>0</v>
      </c>
      <c r="CG49" s="43" t="n">
        <f aca="false">IF(Tasks[[#This Row],[_IsSummary]],COUNTIF(Tasks[WBS],Tasks[[#This Row],[WBS]]&amp;".*"),0)</f>
        <v>0</v>
      </c>
      <c r="CH49" s="43" t="n">
        <f aca="false">IF(AND(Tasks[[#This Row],[Task Name]]&lt;&gt;"",NOT(Tasks[[#This Row],[_IsSummary]])),1,0)</f>
        <v>0</v>
      </c>
      <c r="CI49" s="43" t="n">
        <f aca="false">IF(N(Tasks[[#This Row],[_Pred1UID]])=0,0,IFERROR(MATCH(Tasks[[#This Row],[_Pred1UID]],Tasks[UID],0),-1))</f>
        <v>0</v>
      </c>
      <c r="CJ49" s="43" t="n">
        <f aca="false">IF(N(Tasks[[#This Row],[_Pred2UID]])=0,0,IFERROR(MATCH(Tasks[[#This Row],[_Pred2UID]],Tasks[UID],0),-1))</f>
        <v>0</v>
      </c>
      <c r="CK49" s="43" t="n">
        <f aca="false">IF(N(Tasks[[#This Row],[_Pred3UID]])=0,0,IFERROR(MATCH(Tasks[[#This Row],[_Pred3UID]],Tasks[UID],0),-1))</f>
        <v>0</v>
      </c>
      <c r="CL49" s="43" t="n">
        <f aca="false">IF(N(Tasks[[#This Row],[_Pred4UID]])=0,0,IFERROR(MATCH(Tasks[[#This Row],[_Pred4UID]],Tasks[UID],0),-1))</f>
        <v>0</v>
      </c>
      <c r="CM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9" s="91" t="n">
        <f aca="false">IF(OR(Tasks[[#This Row],[_ConstraintCode]]=2,Tasks[[#This Row],[_ConstraintCode]]=3,Tasks[[#This Row],[_ConstraintCode]]=4,Tasks[[#This Row],[_ConstraintCode]]=6),Tasks[[#This Row],[_ConstraintStart]],0)</f>
        <v>0</v>
      </c>
      <c r="CP49" s="91" t="n">
        <f aca="false">IF(OR(Tasks[[#This Row],[_ConstraintCode]]=2,Tasks[[#This Row],[_ConstraintCode]]=3,Tasks[[#This Row],[_ConstraintCode]]=5,Tasks[[#This Row],[_ConstraintCode]]=7),Tasks[[#This Row],[_ConstraintStart]],2958465)</f>
        <v>2958465</v>
      </c>
      <c r="CQ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91" t="str">
        <f aca="false">IF(NOT(Tasks[[#This Row],[_IsLeaf]]=1),"",IF(N(Tasks[[#This Row],[_Days]])&lt;=0,Tasks[[#This Row],[_LeafCalcStart]],WORKDAY.INTL(Tasks[[#This Row],[_LeafCalcStart]],Tasks[[#This Row],[_Days]]-1,WorkWeek,Holidays)))</f>
        <v/>
      </c>
      <c r="CS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3" t="str">
        <f aca="false">IF(Tasks[[#This Row],[_Predecessors]]="","",TRIM(MID(SUBSTITUTE(SUBSTITUTE(SUBSTITUTE(UPPER(Tasks[[#This Row],[_Predecessors]]),";",",")," ",""),",",REPT(" ",99)),1,99)))</f>
        <v/>
      </c>
      <c r="CV49" s="43" t="str">
        <f aca="false">IF(Tasks[[#This Row],[_Pred1Text]]="","",IFERROR(VALUE(LEFT(Tasks[[#This Row],[_Pred1Text]],MIN(FIND("F",Tasks[[#This Row],[_Pred1Text]]&amp;"F"),FIND("S",Tasks[[#This Row],[_Pred1Text]]&amp;"S"),FIND("+",Tasks[[#This Row],[_Pred1Text]]&amp;"+"),FIND("-",Tasks[[#This Row],[_Pred1Text]]&amp;"-"))-1)),""))</f>
        <v/>
      </c>
      <c r="CW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3" t="str">
        <f aca="false">IF(Tasks[[#This Row],[_Pred1Text]]="","",TRIM(MID(SUBSTITUTE(SUBSTITUTE(SUBSTITUTE(UPPER(Tasks[[#This Row],[_Predecessors]]),";",",")," ",""),",",REPT(" ",99)),100,99)))</f>
        <v/>
      </c>
      <c r="CZ49" s="43" t="str">
        <f aca="false">IF(Tasks[[#This Row],[_Pred2Text]]="","",IFERROR(VALUE(LEFT(Tasks[[#This Row],[_Pred2Text]],MIN(FIND("F",Tasks[[#This Row],[_Pred2Text]]&amp;"F"),FIND("S",Tasks[[#This Row],[_Pred2Text]]&amp;"S"),FIND("+",Tasks[[#This Row],[_Pred2Text]]&amp;"+"),FIND("-",Tasks[[#This Row],[_Pred2Text]]&amp;"-"))-1)),""))</f>
        <v/>
      </c>
      <c r="DA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3" t="str">
        <f aca="false">IF(Tasks[[#This Row],[_Pred2Text]]="","",TRIM(MID(SUBSTITUTE(SUBSTITUTE(SUBSTITUTE(UPPER(Tasks[[#This Row],[_Predecessors]]),";",",")," ",""),",",REPT(" ",99)),199,99)))</f>
        <v/>
      </c>
      <c r="DD49" s="43" t="str">
        <f aca="false">IF(Tasks[[#This Row],[_Pred3Text]]="","",IFERROR(VALUE(LEFT(Tasks[[#This Row],[_Pred3Text]],MIN(FIND("F",Tasks[[#This Row],[_Pred3Text]]&amp;"F"),FIND("S",Tasks[[#This Row],[_Pred3Text]]&amp;"S"),FIND("+",Tasks[[#This Row],[_Pred3Text]]&amp;"+"),FIND("-",Tasks[[#This Row],[_Pred3Text]]&amp;"-"))-1)),""))</f>
        <v/>
      </c>
      <c r="DE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3" t="str">
        <f aca="false">IF(Tasks[[#This Row],[_Pred3Text]]="","",TRIM(MID(SUBSTITUTE(SUBSTITUTE(SUBSTITUTE(UPPER(Tasks[[#This Row],[_Predecessors]]),";",",")," ",""),",",REPT(" ",99)),298,99)))</f>
        <v/>
      </c>
      <c r="DH49" s="43" t="str">
        <f aca="false">IF(Tasks[[#This Row],[_Pred4Text]]="","",IFERROR(VALUE(LEFT(Tasks[[#This Row],[_Pred4Text]],MIN(FIND("F",Tasks[[#This Row],[_Pred4Text]]&amp;"F"),FIND("S",Tasks[[#This Row],[_Pred4Text]]&amp;"S"),FIND("+",Tasks[[#This Row],[_Pred4Text]]&amp;"+"),FIND("-",Tasks[[#This Row],[_Pred4Text]]&amp;"-"))-1)),""))</f>
        <v/>
      </c>
      <c r="DI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3" t="str">
        <f aca="false">IF(OR(Tasks[[#This Row],[Task Name]]="",Tasks[[#This Row],[_Resources]]=""),"",TRIM(MID(SUBSTITUTE(Tasks[[#This Row],[_Resources]],",",REPT(" ",99)),1,99)))</f>
        <v/>
      </c>
      <c r="DL49" s="43" t="str">
        <f aca="false">IF(Tasks[[#This Row],[_Res1Text]]="","",TRIM(MID(SUBSTITUTE(Tasks[[#This Row],[_Resources]],",",REPT(" ",99)),100,99)))</f>
        <v/>
      </c>
      <c r="DM49" s="43" t="str">
        <f aca="false">IF(Tasks[[#This Row],[_Res2Text]]="","",TRIM(MID(SUBSTITUTE(Tasks[[#This Row],[_Resources]],",",REPT(" ",99)),199,99)))</f>
        <v/>
      </c>
      <c r="DN49" s="43" t="str">
        <f aca="false">IF(Tasks[[#This Row],[_Res3Text]]="","",TRIM(MID(SUBSTITUTE(Tasks[[#This Row],[_Resources]],",",REPT(" ",99)),298,99)))</f>
        <v/>
      </c>
      <c r="DO49" s="43" t="n">
        <f aca="false">IF(Tasks[[#This Row],[_Res1Text]]="",0,IFERROR(MATCH(TRIM(LEFT(Tasks[[#This Row],[_Res1Text]],FIND("[",Tasks[[#This Row],[_Res1Text]]&amp;"[")-1)),res_Name,0),IFERROR(MATCH(TRIM(LEFT(Tasks[[#This Row],[_Res1Text]],FIND("[",Tasks[[#This Row],[_Res1Text]]&amp;"[")-1)),res_Initials,0),0)))</f>
        <v>0</v>
      </c>
      <c r="DP49" s="43" t="n">
        <f aca="false">IF(Tasks[[#This Row],[_Res2Text]]="",0,IFERROR(MATCH(TRIM(LEFT(Tasks[[#This Row],[_Res2Text]],FIND("[",Tasks[[#This Row],[_Res2Text]]&amp;"[")-1)),res_Name,0),IFERROR(MATCH(TRIM(LEFT(Tasks[[#This Row],[_Res2Text]],FIND("[",Tasks[[#This Row],[_Res2Text]]&amp;"[")-1)),res_Initials,0),0)))</f>
        <v>0</v>
      </c>
      <c r="DQ49" s="43" t="n">
        <f aca="false">IF(Tasks[[#This Row],[_Res3Text]]="",0,IFERROR(MATCH(TRIM(LEFT(Tasks[[#This Row],[_Res3Text]],FIND("[",Tasks[[#This Row],[_Res3Text]]&amp;"[")-1)),res_Name,0),IFERROR(MATCH(TRIM(LEFT(Tasks[[#This Row],[_Res3Text]],FIND("[",Tasks[[#This Row],[_Res3Text]]&amp;"[")-1)),res_Initials,0),0)))</f>
        <v>0</v>
      </c>
      <c r="DR49" s="43" t="n">
        <f aca="false">IF(Tasks[[#This Row],[_Res4Text]]="",0,IFERROR(MATCH(TRIM(LEFT(Tasks[[#This Row],[_Res4Text]],FIND("[",Tasks[[#This Row],[_Res4Text]]&amp;"[")-1)),res_Name,0),IFERROR(MATCH(TRIM(LEFT(Tasks[[#This Row],[_Res4Text]],FIND("[",Tasks[[#This Row],[_Res4Text]]&amp;"[")-1)),res_Initials,0),0)))</f>
        <v>0</v>
      </c>
      <c r="DS49" s="43" t="str">
        <f aca="false">IF(Tasks[[#This Row],[_Res1Text]]="","",IF(Tasks[[#This Row],[_Res1Row]]&gt;0,INDEX(res_Name,Tasks[[#This Row],[_Res1Row]]),TRIM(LEFT(Tasks[[#This Row],[_Res1Text]],FIND("[",Tasks[[#This Row],[_Res1Text]]&amp;"[")-1))))</f>
        <v/>
      </c>
      <c r="DT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3" t="n">
        <f aca="false">IF(NOT(Tasks[[#This Row],[_IsLeaf]]=1),0,(Tasks[[#This Row],[_Resource1]]&lt;&gt;"")+(Tasks[[#This Row],[_Res2]]&lt;&gt;"")+(Tasks[[#This Row],[_Res3]]&lt;&gt;"")+(Tasks[[#This Row],[_Res4]]&lt;&gt;""))</f>
        <v>0</v>
      </c>
      <c r="DV49" s="43" t="str">
        <f aca="false">IF(Tasks[[#This Row],[_Res2Text]]="","",IF(Tasks[[#This Row],[_Res2Row]]&gt;0,INDEX(res_Name,Tasks[[#This Row],[_Res2Row]]),TRIM(LEFT(Tasks[[#This Row],[_Res2Text]],FIND("[",Tasks[[#This Row],[_Res2Text]]&amp;"[")-1))))</f>
        <v/>
      </c>
      <c r="DW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3" t="n">
        <f aca="false">IF(OR(NOT(Tasks[[#This Row],[_IsLeaf]]=1),Tasks[[#This Row],[_Res2Row]]=0),0,N(Tasks[[#This Row],[_Days]])*HoursPerDay*IF(Tasks[[#This Row],[_Res2Units]]="",DefaultUnits,Tasks[[#This Row],[_Res2Units]]))</f>
        <v>0</v>
      </c>
      <c r="DY49" s="43" t="n">
        <f aca="false">IF(AND(AND(Tasks[[#This Row],[_IsLeaf]]=1,Tasks[[#This Row],[_LeafTotalWork]]&gt;0),Tasks[[#This Row],[_Res2Work]]&gt;0),Tasks[[#This Row],[_Res2Work]]/(Tasks[[#This Row],[_FinishWorkday]]-Tasks[[#This Row],[_StartWorkday]]+1),0)</f>
        <v>0</v>
      </c>
      <c r="DZ49" s="43" t="n">
        <f aca="false">Tasks[[#This Row],[_Res2WorkPerWD]]*MAX(0,Tasks[[#This Row],[_StartWorkday]]-1)</f>
        <v>0</v>
      </c>
      <c r="EA49" s="43" t="n">
        <f aca="false">Tasks[[#This Row],[_Res2Work]]*Tasks[[#This Row],[_LeafProgress]]</f>
        <v>0</v>
      </c>
      <c r="EB49" s="43" t="str">
        <f aca="false">IF(Tasks[[#This Row],[_Res3Text]]="","",IF(Tasks[[#This Row],[_Res3Row]]&gt;0,INDEX(res_Name,Tasks[[#This Row],[_Res3Row]]),TRIM(LEFT(Tasks[[#This Row],[_Res3Text]],FIND("[",Tasks[[#This Row],[_Res3Text]]&amp;"[")-1))))</f>
        <v/>
      </c>
      <c r="EC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3" t="n">
        <f aca="false">IF(OR(NOT(Tasks[[#This Row],[_IsLeaf]]=1),Tasks[[#This Row],[_Res3Row]]=0),0,N(Tasks[[#This Row],[_Days]])*HoursPerDay*IF(Tasks[[#This Row],[_Res3Units]]="",DefaultUnits,Tasks[[#This Row],[_Res3Units]]))</f>
        <v>0</v>
      </c>
      <c r="EE49" s="43" t="n">
        <f aca="false">IF(AND(AND(Tasks[[#This Row],[_IsLeaf]]=1,Tasks[[#This Row],[_LeafTotalWork]]&gt;0),Tasks[[#This Row],[_Res3Work]]&gt;0),Tasks[[#This Row],[_Res3Work]]/(Tasks[[#This Row],[_FinishWorkday]]-Tasks[[#This Row],[_StartWorkday]]+1),0)</f>
        <v>0</v>
      </c>
      <c r="EF49" s="43" t="n">
        <f aca="false">Tasks[[#This Row],[_Res3WorkPerWD]]*MAX(0,Tasks[[#This Row],[_StartWorkday]]-1)</f>
        <v>0</v>
      </c>
      <c r="EG49" s="43" t="n">
        <f aca="false">Tasks[[#This Row],[_Res3Work]]*Tasks[[#This Row],[_LeafProgress]]</f>
        <v>0</v>
      </c>
      <c r="EH49" s="43" t="str">
        <f aca="false">IF(Tasks[[#This Row],[_Res4Text]]="","",IF(Tasks[[#This Row],[_Res4Row]]&gt;0,INDEX(res_Name,Tasks[[#This Row],[_Res4Row]]),TRIM(LEFT(Tasks[[#This Row],[_Res4Text]],FIND("[",Tasks[[#This Row],[_Res4Text]]&amp;"[")-1))))</f>
        <v/>
      </c>
      <c r="EI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3" t="n">
        <f aca="false">IF(OR(NOT(Tasks[[#This Row],[_IsLeaf]]=1),Tasks[[#This Row],[_Res4Row]]=0),0,N(Tasks[[#This Row],[_Days]])*HoursPerDay*IF(Tasks[[#This Row],[_Res4Units]]="",DefaultUnits,Tasks[[#This Row],[_Res4Units]]))</f>
        <v>0</v>
      </c>
      <c r="EK49" s="43" t="n">
        <f aca="false">IF(AND(AND(Tasks[[#This Row],[_IsLeaf]]=1,Tasks[[#This Row],[_LeafTotalWork]]&gt;0),Tasks[[#This Row],[_Res4Work]]&gt;0),Tasks[[#This Row],[_Res4Work]]/(Tasks[[#This Row],[_FinishWorkday]]-Tasks[[#This Row],[_StartWorkday]]+1),0)</f>
        <v>0</v>
      </c>
      <c r="EL49" s="43" t="n">
        <f aca="false">Tasks[[#This Row],[_Res4WorkPerWD]]*MAX(0,Tasks[[#This Row],[_StartWorkday]]-1)</f>
        <v>0</v>
      </c>
      <c r="EM49" s="43" t="n">
        <f aca="false">Tasks[[#This Row],[_Res4Work]]*Tasks[[#This Row],[_LeafProgress]]</f>
        <v>0</v>
      </c>
      <c r="EN49" s="43" t="n">
        <f aca="false">IF(ISNUMBER(Tasks[[#This Row],[% Complete]]),Tasks[[#This Row],[% Complete]],IF(Tasks[[#This Row],[Stage]]="",0,IFERROR(INDEX(stg_Pct,MATCH(Tasks[[#This Row],[Stage]],stg_Name,0)),0)))</f>
        <v>0</v>
      </c>
      <c r="EO49" s="43" t="n">
        <f aca="false">IF(NOT(Tasks[[#This Row],[_IsLeaf]]=1),0,IF(N(Tasks[[#This Row],[Actual Finish]])&gt;0,1,MIN(1,Tasks[[#This Row],[_Pct]])))</f>
        <v>0</v>
      </c>
      <c r="EP49" s="43" t="n">
        <f aca="false">IF(OR(NOT(Tasks[[#This Row],[_IsLeaf]]=1),Tasks[[#This Row],[_Res1Row]]=0),0,N(Tasks[[#This Row],[_Days]])*HoursPerDay*IF(Tasks[[#This Row],[_Units1]]="",DefaultUnits,Tasks[[#This Row],[_Units1]]))</f>
        <v>0</v>
      </c>
      <c r="EQ49" s="43" t="n">
        <f aca="false">Tasks[[#This Row],[_LeafWork]]+Tasks[[#This Row],[_Res2Work]]+Tasks[[#This Row],[_Res3Work]]+Tasks[[#This Row],[_Res4Work]]</f>
        <v>0</v>
      </c>
      <c r="ER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3" t="n">
        <f aca="false">IF(NOT(Tasks[[#This Row],[_IsLeaf]]=1),0,MAX(_xlfn.MAXIFS(Tasks[_Row],Tasks[_Pred1UID],Tasks[[#This Row],[UID]]),_xlfn.MAXIFS(Tasks[_Row],Tasks[_Pred2UID],Tasks[[#This Row],[UID]]),_xlfn.MAXIFS(Tasks[_Row],Tasks[_Pred3UID],Tasks[[#This Row],[UID]]),_xlfn.MAXIFS(Tasks[_Row],Tasks[_Pred4UID],Tasks[[#This Row],[UID]])))</f>
        <v>0</v>
      </c>
      <c r="FA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91" t="str">
        <f aca="false">IF(NOT(Tasks[[#This Row],[_IsLeaf]]=1),"",IF(N(Tasks[[#This Row],[_Days]])&lt;=0,Tasks[[#This Row],[_LeafLateFinish]],WORKDAY.INTL(Tasks[[#This Row],[_LeafLateFinish]],-(Tasks[[#This Row],[_Days]]-1),WorkWeek,Holidays)))</f>
        <v/>
      </c>
      <c r="FD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9" s="90" t="b">
        <f aca="false">AND(Tasks[[#This Row],[_IsLeaf]]=1,Tasks[[#This Row],[_LeafProgress]]&lt;1,N(Tasks[[#This Row],[_LeafTotalSlack]])&lt;=CriticalSlackDays)</f>
        <v>0</v>
      </c>
      <c r="FF49" s="43" t="n">
        <f aca="false">IF(AND(Tasks[[#This Row],[_IsLeaf]]=1,Tasks[[#This Row],[_ConstraintCode]]=1,Tasks[[#This Row],[Mode]]&lt;&gt;"Manual",N(Tasks[[#This Row],[Actual Start]])=0),MAX(0,N(Tasks[[#This Row],[Free Slack]])),0)</f>
        <v>0</v>
      </c>
      <c r="FG49" s="91" t="str">
        <f aca="false">IF(NOT(Tasks[[#This Row],[_IsLeaf]]=1),"",IF(Tasks[[#This Row],[_AlapShift]]=0,Tasks[[#This Row],[_LeafCalcStart]],WORKDAY.INTL(Tasks[[#This Row],[_LeafCalcStart]],Tasks[[#This Row],[_AlapShift]],WorkWeek,Holidays)))</f>
        <v/>
      </c>
      <c r="FH49" s="91" t="str">
        <f aca="false">IF(NOT(Tasks[[#This Row],[_IsLeaf]]=1),"",IF(Tasks[[#This Row],[_AlapShift]]=0,Tasks[[#This Row],[_LeafCalcFinish]],WORKDAY.INTL(Tasks[[#This Row],[_LeafCalcFinish]],Tasks[[#This Row],[_AlapShift]],WorkWeek,Holidays)))</f>
        <v/>
      </c>
      <c r="FI49" s="91" t="str">
        <f aca="false">IF(NOT(Tasks[[#This Row],[_IsLeaf]]=1),"",IF(Tasks[[#This Row],[_AlapShift]]=0,Tasks[[#This Row],[_LeafFcstStart]],WORKDAY.INTL(Tasks[[#This Row],[_LeafFcstStart]],Tasks[[#This Row],[_AlapShift]],WorkWeek,Holidays)))</f>
        <v/>
      </c>
      <c r="FJ49" s="91" t="str">
        <f aca="false">IF(NOT(Tasks[[#This Row],[_IsLeaf]]=1),"",IF(Tasks[[#This Row],[_AlapShift]]=0,Tasks[[#This Row],[_LeafFcstFinish]],WORKDAY.INTL(Tasks[[#This Row],[_LeafFcstFinish]],Tasks[[#This Row],[_AlapShift]],WorkWeek,Holidays)))</f>
        <v/>
      </c>
      <c r="FK49" s="91" t="str">
        <f aca="false">IF(Tasks[[#This Row],[Task Name]]="","",IF(Tasks[[#This Row],[_IsSummary]],MIN(INDEX(Tasks[_ShownCalcStart],Tasks[[#This Row],[_Row]]+1):INDEX(Tasks[_ShownCalcStart],Tasks[[#This Row],[_Row]]+Tasks[[#This Row],[_Descendants]])),Tasks[[#This Row],[_ShownCalcStart]]))</f>
        <v/>
      </c>
      <c r="FL49" s="91" t="str">
        <f aca="false">IF(Tasks[[#This Row],[Task Name]]="","",IF(Tasks[[#This Row],[_IsSummary]],MAX(INDEX(Tasks[_ShownCalcFinish],Tasks[[#This Row],[_Row]]+1):INDEX(Tasks[_ShownCalcFinish],Tasks[[#This Row],[_Row]]+Tasks[[#This Row],[_Descendants]])),Tasks[[#This Row],[_ShownCalcFinish]]))</f>
        <v/>
      </c>
      <c r="FM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9" s="43" t="n">
        <f aca="false">IF(AND(Tasks[[#This Row],[_IsLeaf]]=1,Tasks[[#This Row],[_LeafTotalWork]]&gt;0),NETWORKDAYS.INTL(ProjectStart,Tasks[[#This Row],[_ShownFcstStart]],WorkWeek,Holidays),0)</f>
        <v>0</v>
      </c>
      <c r="FZ49" s="43" t="n">
        <f aca="false">IF(AND(Tasks[[#This Row],[_IsLeaf]]=1,Tasks[[#This Row],[_LeafTotalWork]]&gt;0),MAX(Tasks[[#This Row],[_StartWorkday]],NETWORKDAYS.INTL(ProjectStart,Tasks[[#This Row],[_ShownFcstFinish]],WorkWeek,Holidays)),0)</f>
        <v>0</v>
      </c>
      <c r="GA49" s="43" t="n">
        <f aca="false">IF(AND(Tasks[[#This Row],[_IsLeaf]]=1,Tasks[[#This Row],[_LeafTotalWork]]&gt;0),Tasks[[#This Row],[_LeafWork]]/(Tasks[[#This Row],[_FinishWorkday]]-Tasks[[#This Row],[_StartWorkday]]+1),0)</f>
        <v>0</v>
      </c>
      <c r="GB49" s="43" t="n">
        <f aca="false">Tasks[[#This Row],[_WorkPerWorkday]]*(Tasks[[#This Row],[_StartWorkday]]-1)</f>
        <v>-0</v>
      </c>
      <c r="GC49" s="43" t="n">
        <f aca="false">IF(Tasks[[#This Row],[_IsLeaf]]=1,MAX(N(Tasks[[#This Row],[_Days]]),0.1),0)</f>
        <v>0</v>
      </c>
      <c r="GD49" s="43" t="n">
        <f aca="false">Tasks[[#This Row],[_WeightDur]]*Tasks[[#This Row],[_LeafProgress]]</f>
        <v>0</v>
      </c>
      <c r="GE49" s="43" t="n">
        <f aca="false">Tasks[[#This Row],[_WeightDur]]*Tasks[[#This Row],[_PlannedPct]]</f>
        <v>0</v>
      </c>
      <c r="GF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3" t="str">
        <f aca="false">IF(AND(Tasks[[#This Row],[_IsLeaf]]=1,N(Tasks[[#This Row],[_Days]])=0,Tasks[[#This Row],[_LeafProgress]]&lt;1),Tasks[[#This Row],[_ShownFcstFinish]]+Tasks[[#This Row],[_Row]]/100000,"")</f>
        <v/>
      </c>
      <c r="GH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9" s="43" t="str">
        <f aca="false">IF(Tasks[[#This Row],[Task Name]]="","",LEFT(Tasks[[#This Row],[WBS]],FIND(".",Tasks[[#This Row],[WBS]]&amp;".")-1))</f>
        <v/>
      </c>
      <c r="GJ49" s="43" t="str">
        <f aca="false">IF(AND(Tasks[[#This Row],[Task Name]]&lt;&gt;"",Tasks[[#This Row],[_Level]]=1),Tasks[[#This Row],[_Row]],"")</f>
        <v/>
      </c>
      <c r="GK49" s="43" t="str">
        <f aca="false">IF(AND(Tasks[[#This Row],[_IsLeaf]]=1,N(Tasks[[#This Row],[_Days]])=0),Tasks[[#This Row],[Planned Finish]]+Tasks[[#This Row],[_Row]]/100000,"")</f>
        <v/>
      </c>
      <c r="GL49" s="43" t="str">
        <f aca="false">IF(AND(Tasks[[#This Row],[_IsLeaf]]=1,Tasks[[#This Row],[_LeafProgress]]&lt;1,OR(N(Tasks[[#This Row],[Finish Var]])&gt;0,Tasks[[#This Row],[Status]]="Late Start")),MAX(0,Tasks[[#This Row],[Finish Var]])+1-Tasks[[#This Row],[_Row]]/1000000,"")</f>
        <v/>
      </c>
      <c r="GM49" s="43" t="str">
        <f aca="false">IF(AND(Tasks[[#This Row],[_IsLeaf]]=1,N(Tasks[[#This Row],[Actual Start]])=0,Tasks[[#This Row],[_ShownFcstStart]]&gt;=StatusDate,Tasks[[#This Row],[_ShownFcstStart]]&lt;=LookaheadEnd),Tasks[[#This Row],[_ShownFcstStart]]+Tasks[[#This Row],[_Row]]/100000,"")</f>
        <v/>
      </c>
      <c r="GN49" s="43" t="str">
        <f aca="false">IF(AND(Tasks[[#This Row],[_IsLeaf]]=1,Tasks[[#This Row],[_LeafProgress]]&lt;1,Tasks[[#This Row],[_ShownFcstFinish]]&gt;=StatusDate,Tasks[[#This Row],[_ShownFcstFinish]]&lt;=LookaheadEnd),Tasks[[#This Row],[_ShownFcstFinish]]+Tasks[[#This Row],[_Row]]/100000,"")</f>
        <v/>
      </c>
      <c r="GO49" s="43" t="str">
        <f aca="false">IF(Tasks[[#This Row],[_LeafCritical]],Tasks[[#This Row],[_ShownFcstStart]]+Tasks[[#This Row],[_Row]]/100000,"")</f>
        <v/>
      </c>
      <c r="GP49" s="43" t="n">
        <f aca="false">Tasks[[#This Row],[_LeafWork]]*Tasks[[#This Row],[_LeafProgress]]</f>
        <v>0</v>
      </c>
      <c r="GQ49" s="91" t="str">
        <f aca="false">IF(AND(Tasks[[#This Row],[_IsLeaf]]=1,Tasks[[#This Row],[_LeafProgress]]&gt;=1),IF(N(Tasks[[#This Row],[Actual Finish]])&gt;0,Tasks[[#This Row],[Actual Finish]],Tasks[[#This Row],[_ShownFcstFinish]]),"")</f>
        <v/>
      </c>
      <c r="GR49" s="43" t="n">
        <f aca="false">IF(Tasks[[#This Row],[_IsLeaf]]=1,N(Tasks[[#This Row],[Story Points]]),0)</f>
        <v>0</v>
      </c>
      <c r="GS49" s="43" t="str">
        <f aca="false">""</f>
        <v/>
      </c>
      <c r="GT49" s="90" t="b">
        <f aca="false">IF(Tasks[[#This Row],[Task Name]]="",FALSE(),AND(Tasks[[#This Row],[_IsLeaf]]=1,N(Tasks[[#This Row],[_Days]])=0))</f>
        <v>0</v>
      </c>
      <c r="GU49" s="91" t="n">
        <f aca="false">IF(Tasks[[#This Row],[Task Name]]="",0,IF(AND(Tasks[[#This Row],[_IsLeaf]]=1,NOT(Tasks[[#This Row],[_IsMilestone]]),N(Tasks[[#This Row],[Progress]])&gt;0),Tasks[[#This Row],[Start]],0))</f>
        <v>0</v>
      </c>
      <c r="GV49" s="91" t="n">
        <f aca="false">IF(Tasks[[#This Row],[_DoneFrom]]=0,0,IF(Tasks[[#This Row],[Progress]]&gt;=1,Tasks[[#This Row],[Finish]],MAX(Tasks[[#This Row],[_DoneFrom]],Tasks[[#This Row],[Start]]+ROUND((Tasks[[#This Row],[Finish]]-Tasks[[#This Row],[Start]]+1)*Tasks[[#This Row],[Progress]],0)-1)))</f>
        <v>0</v>
      </c>
      <c r="GW49" s="91" t="n">
        <f aca="false">IF(Tasks[[#This Row],[Task Name]]="",0,IF(OR(NOT(Tasks[[#This Row],[_IsLeaf]]=1),Tasks[[#This Row],[_IsMilestone]],N(Tasks[[#This Row],[Progress]])&gt;=1),0,IF(Tasks[[#This Row],[_DoneTo]]&gt;0,Tasks[[#This Row],[_DoneTo]]+1,Tasks[[#This Row],[Start]])))</f>
        <v>0</v>
      </c>
      <c r="GX49" s="91" t="n">
        <f aca="false">IF(Tasks[[#This Row],[_RemFrom]]=0,0,Tasks[[#This Row],[Finish]])</f>
        <v>0</v>
      </c>
      <c r="GY49" s="90" t="b">
        <f aca="false">IF(Tasks[[#This Row],[Task Name]]="",FALSE(),OR(NOT(BaselineSet),N(Tasks[[#This Row],[Baseline Start]])&gt;0))</f>
        <v>0</v>
      </c>
      <c r="GZ4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92" t="str">
        <f aca="false">IF(Tasks[[#This Row],[_IsLeaf]]=1,Tasks[[#This Row],[_Row]],"")</f>
        <v/>
      </c>
      <c r="HD49" s="92" t="str">
        <f aca="false">IFERROR(INDEX(Tasks[UID],SMALL(Tasks[_PickKey],Tasks[[#This Row],[_Row]]))&amp;" "&amp;INDEX(Tasks[Task Name],SMALL(Tasks[_PickKey],Tasks[[#This Row],[_Row]])),"")</f>
        <v/>
      </c>
      <c r="HE49" s="43" t="str">
        <f aca="false">IF(Tasks[[#This Row],[Task Name]]="","",IF(Tasks[[#This Row],[_IsSummary]],NETWORKDAYS.INTL(Tasks[[#This Row],[Start]],Tasks[[#This Row],[Finish]],WorkWeek,Holidays),N(Tasks[[#This Row],[_Days]])))</f>
        <v/>
      </c>
      <c r="HF49" s="43" t="n">
        <f aca="false">IF(Tasks[[#This Row],[Expected]]="",0,((Tasks[[#This Row],[Pessimistic]]-Tasks[[#This Row],[Optimistic]])/6)^2)</f>
        <v>0</v>
      </c>
      <c r="HG49" s="43" t="n">
        <f aca="false">IF(Tasks[[#This Row],[Expected]]="",0,Tasks[[#This Row],[Expected]]-N(Tasks[[#This Row],[_Days]]))</f>
        <v>0</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4"/>
      <c r="U50" s="23"/>
      <c r="V50" s="84"/>
      <c r="W50" s="23"/>
      <c r="X50" s="84"/>
      <c r="Y50" s="23"/>
      <c r="Z50" s="84"/>
      <c r="AA50" s="23"/>
      <c r="AB50" s="23"/>
      <c r="AC50" s="7"/>
      <c r="AD50" s="7"/>
      <c r="AE50" s="63" t="str">
        <f aca="false">IF(Tasks[[#This Row],[Task Name]]="","",IF(Tasks[[#This Row],[_IsSummary]],MIN(INDEX(Tasks[_ShownFcstStart],Tasks[[#This Row],[_Row]]+1):INDEX(Tasks[_ShownFcstStart],Tasks[[#This Row],[_Row]]+Tasks[[#This Row],[_Descendants]])),Tasks[[#This Row],[_ShownFcstStart]]))</f>
        <v/>
      </c>
      <c r="AF50" s="63"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0" s="7"/>
      <c r="AK50" s="22"/>
      <c r="AL50" s="23"/>
      <c r="AM50" s="7"/>
      <c r="AN50" s="47"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3" t="str">
        <f aca="false">IF(Tasks[[#This Row],[Task Name]]="","",IF(N(Tasks[[#This Row],[Baseline Start]])&gt;0,Tasks[[#This Row],[Baseline Start]],Tasks[[#This Row],[_CalcStart]]))</f>
        <v/>
      </c>
      <c r="AR50" s="63" t="str">
        <f aca="false">IF(Tasks[[#This Row],[Task Name]]="","",IF(N(Tasks[[#This Row],[Baseline Finish]])&gt;0,Tasks[[#This Row],[Baseline Finish]],Tasks[[#This Row],[_CalcFinish]]))</f>
        <v/>
      </c>
      <c r="AS50" s="47" t="str">
        <f aca="false">IF(Tasks[[#This Row],[Task Name]]="","",IF(Tasks[[#This Row],[Start]]&gt;=Tasks[[#This Row],[Planned Start]],NETWORKDAYS.INTL(Tasks[[#This Row],[Planned Start]],Tasks[[#This Row],[Start]],WorkWeek,Holidays)-1,1-NETWORKDAYS.INTL(Tasks[[#This Row],[Start]],Tasks[[#This Row],[Planned Start]],WorkWeek,Holidays)))</f>
        <v/>
      </c>
      <c r="AT50" s="63" t="str">
        <f aca="false">IF(Tasks[[#This Row],[Task Name]]="","",IF(Tasks[[#This Row],[_IsSummary]],MIN(INDEX(Tasks[_LeafLateStart],Tasks[[#This Row],[_Row]]+1):INDEX(Tasks[_LeafLateStart],Tasks[[#This Row],[_Row]]+Tasks[[#This Row],[_Descendants]])),Tasks[[#This Row],[_LeafLateStart]]))</f>
        <v/>
      </c>
      <c r="AU50" s="63" t="str">
        <f aca="false">IF(Tasks[[#This Row],[Task Name]]="","",IF(Tasks[[#This Row],[_IsSummary]],MAX(INDEX(Tasks[_LeafLateFinish],Tasks[[#This Row],[_Row]]+1):INDEX(Tasks[_LeafLateFinish],Tasks[[#This Row],[_Row]]+Tasks[[#This Row],[_Descendants]])),Tasks[[#This Row],[_LeafLateFinish]]))</f>
        <v/>
      </c>
      <c r="AV50" s="47"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5"/>
      <c r="BA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6"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7"/>
      <c r="BJ50" s="22"/>
      <c r="BK50" s="47" t="str">
        <f aca="false">IF(OR(Tasks[[#This Row],[Task Name]]="",Tasks[[#This Row],[Baseline Duration]]=""),"",Tasks[[#This Row],[_SpanDays]]-N(Tasks[[#This Row],[Baseline Duration]]))</f>
        <v/>
      </c>
      <c r="BL50" s="86" t="str">
        <f aca="false">IF(OR(Tasks[[#This Row],[Task Name]]="",Tasks[[#This Row],[Baseline Work]]=""),"",Tasks[[#This Row],[Work]]-N(Tasks[[#This Row],[Baseline Work]]))</f>
        <v/>
      </c>
      <c r="BM50" s="63" t="str">
        <f aca="false">IF(Tasks[[#This Row],[Task Name]]="","",IF(OR(TakeBaseline="Yes",N(Tasks[[#This Row],[Baseline Start]])=0),Tasks[[#This Row],[Start]],Tasks[[#This Row],[Baseline Start]]))</f>
        <v/>
      </c>
      <c r="BN50" s="63" t="str">
        <f aca="false">IF(Tasks[[#This Row],[Task Name]]="","",IF(OR(TakeBaseline="Yes",N(Tasks[[#This Row],[Baseline Finish]])=0),Tasks[[#This Row],[Finish]],Tasks[[#This Row],[Baseline Finish]]))</f>
        <v/>
      </c>
      <c r="BO50" s="21" t="str">
        <f aca="false">IF(Tasks[[#This Row],[Task Name]]="","",IF(OR(TakeBaseline="Yes",N(Tasks[[#This Row],[Baseline Duration]])=0),Tasks[[#This Row],[_SpanDays]],Tasks[[#This Row],[Baseline Duration]]))</f>
        <v/>
      </c>
      <c r="BP50" s="86" t="str">
        <f aca="false">IF(Tasks[[#This Row],[Task Name]]="","",IF(OR(TakeBaseline="Yes",N(Tasks[[#This Row],[Baseline Work]])=0),Tasks[[#This Row],[Work]],Tasks[[#This Row],[Baseline Work]]))</f>
        <v/>
      </c>
      <c r="BQ50" s="7"/>
      <c r="BR50" s="7"/>
      <c r="BS50" s="22"/>
      <c r="BT50" s="88"/>
      <c r="BU50" s="23"/>
      <c r="BV50" s="23"/>
      <c r="BW50" s="23"/>
      <c r="BX50" s="89" t="str">
        <f aca="false">IF(AND(Tasks[[#This Row],[_IsLeaf]]=1,ISNUMBER(Tasks[[#This Row],[Optimistic]]),ISNUMBER(Tasks[[#This Row],[Pessimistic]])),ROUND((Tasks[[#This Row],[Optimistic]]+4*N(Tasks[[#This Row],[_Days]])+Tasks[[#This Row],[Pessimistic]])/6,1),"")</f>
        <v/>
      </c>
      <c r="BY50" s="87"/>
      <c r="BZ50" s="87"/>
      <c r="CA50" s="22"/>
      <c r="CB50" s="43" t="str">
        <f aca="false">IF(Tasks[[#This Row],[Task Name]]="","",MAX(1,N(Tasks[[#This Row],[Level]])))</f>
        <v/>
      </c>
      <c r="CC50" s="43" t="n">
        <f aca="false">ROW()-ROW(Tasks[[#Headers],[ID]])</f>
        <v>45</v>
      </c>
      <c r="CD50" s="43" t="n">
        <f aca="false">IF(OR(Tasks[[#This Row],[Task Name]]="",Tasks[[#This Row],[_Level]]&lt;=1),0,IFERROR(LOOKUP(2,1/(Tasks[[#Headers],[_Level]]:Tasks[[#This Row],[_Level]]=Tasks[[#This Row],[_Level]]-1),ROW(Tasks[[#Headers],[_Level]]:Tasks[[#This Row],[_Level]])),0))</f>
        <v>0</v>
      </c>
      <c r="CE50" s="43" t="n">
        <f aca="false">IFERROR(N(INDEX(Tasks[_Level],Tasks[[#This Row],[_Row]]+1)),0)</f>
        <v>0</v>
      </c>
      <c r="CF50" s="90" t="b">
        <f aca="false">AND(Tasks[[#This Row],[Task Name]]&lt;&gt;"",Tasks[[#This Row],[_NextLevel]]&gt;Tasks[[#This Row],[_Level]])</f>
        <v>0</v>
      </c>
      <c r="CG50" s="43" t="n">
        <f aca="false">IF(Tasks[[#This Row],[_IsSummary]],COUNTIF(Tasks[WBS],Tasks[[#This Row],[WBS]]&amp;".*"),0)</f>
        <v>0</v>
      </c>
      <c r="CH50" s="43" t="n">
        <f aca="false">IF(AND(Tasks[[#This Row],[Task Name]]&lt;&gt;"",NOT(Tasks[[#This Row],[_IsSummary]])),1,0)</f>
        <v>0</v>
      </c>
      <c r="CI50" s="43" t="n">
        <f aca="false">IF(N(Tasks[[#This Row],[_Pred1UID]])=0,0,IFERROR(MATCH(Tasks[[#This Row],[_Pred1UID]],Tasks[UID],0),-1))</f>
        <v>0</v>
      </c>
      <c r="CJ50" s="43" t="n">
        <f aca="false">IF(N(Tasks[[#This Row],[_Pred2UID]])=0,0,IFERROR(MATCH(Tasks[[#This Row],[_Pred2UID]],Tasks[UID],0),-1))</f>
        <v>0</v>
      </c>
      <c r="CK50" s="43" t="n">
        <f aca="false">IF(N(Tasks[[#This Row],[_Pred3UID]])=0,0,IFERROR(MATCH(Tasks[[#This Row],[_Pred3UID]],Tasks[UID],0),-1))</f>
        <v>0</v>
      </c>
      <c r="CL50" s="43" t="n">
        <f aca="false">IF(N(Tasks[[#This Row],[_Pred4UID]])=0,0,IFERROR(MATCH(Tasks[[#This Row],[_Pred4UID]],Tasks[UID],0),-1))</f>
        <v>0</v>
      </c>
      <c r="CM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0" s="91" t="n">
        <f aca="false">IF(OR(Tasks[[#This Row],[_ConstraintCode]]=2,Tasks[[#This Row],[_ConstraintCode]]=3,Tasks[[#This Row],[_ConstraintCode]]=4,Tasks[[#This Row],[_ConstraintCode]]=6),Tasks[[#This Row],[_ConstraintStart]],0)</f>
        <v>0</v>
      </c>
      <c r="CP50" s="91" t="n">
        <f aca="false">IF(OR(Tasks[[#This Row],[_ConstraintCode]]=2,Tasks[[#This Row],[_ConstraintCode]]=3,Tasks[[#This Row],[_ConstraintCode]]=5,Tasks[[#This Row],[_ConstraintCode]]=7),Tasks[[#This Row],[_ConstraintStart]],2958465)</f>
        <v>2958465</v>
      </c>
      <c r="CQ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91" t="str">
        <f aca="false">IF(NOT(Tasks[[#This Row],[_IsLeaf]]=1),"",IF(N(Tasks[[#This Row],[_Days]])&lt;=0,Tasks[[#This Row],[_LeafCalcStart]],WORKDAY.INTL(Tasks[[#This Row],[_LeafCalcStart]],Tasks[[#This Row],[_Days]]-1,WorkWeek,Holidays)))</f>
        <v/>
      </c>
      <c r="CS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3" t="str">
        <f aca="false">IF(Tasks[[#This Row],[_Predecessors]]="","",TRIM(MID(SUBSTITUTE(SUBSTITUTE(SUBSTITUTE(UPPER(Tasks[[#This Row],[_Predecessors]]),";",",")," ",""),",",REPT(" ",99)),1,99)))</f>
        <v/>
      </c>
      <c r="CV50" s="43" t="str">
        <f aca="false">IF(Tasks[[#This Row],[_Pred1Text]]="","",IFERROR(VALUE(LEFT(Tasks[[#This Row],[_Pred1Text]],MIN(FIND("F",Tasks[[#This Row],[_Pred1Text]]&amp;"F"),FIND("S",Tasks[[#This Row],[_Pred1Text]]&amp;"S"),FIND("+",Tasks[[#This Row],[_Pred1Text]]&amp;"+"),FIND("-",Tasks[[#This Row],[_Pred1Text]]&amp;"-"))-1)),""))</f>
        <v/>
      </c>
      <c r="CW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3" t="str">
        <f aca="false">IF(Tasks[[#This Row],[_Pred1Text]]="","",TRIM(MID(SUBSTITUTE(SUBSTITUTE(SUBSTITUTE(UPPER(Tasks[[#This Row],[_Predecessors]]),";",",")," ",""),",",REPT(" ",99)),100,99)))</f>
        <v/>
      </c>
      <c r="CZ50" s="43" t="str">
        <f aca="false">IF(Tasks[[#This Row],[_Pred2Text]]="","",IFERROR(VALUE(LEFT(Tasks[[#This Row],[_Pred2Text]],MIN(FIND("F",Tasks[[#This Row],[_Pred2Text]]&amp;"F"),FIND("S",Tasks[[#This Row],[_Pred2Text]]&amp;"S"),FIND("+",Tasks[[#This Row],[_Pred2Text]]&amp;"+"),FIND("-",Tasks[[#This Row],[_Pred2Text]]&amp;"-"))-1)),""))</f>
        <v/>
      </c>
      <c r="DA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3" t="str">
        <f aca="false">IF(Tasks[[#This Row],[_Pred2Text]]="","",TRIM(MID(SUBSTITUTE(SUBSTITUTE(SUBSTITUTE(UPPER(Tasks[[#This Row],[_Predecessors]]),";",",")," ",""),",",REPT(" ",99)),199,99)))</f>
        <v/>
      </c>
      <c r="DD50" s="43" t="str">
        <f aca="false">IF(Tasks[[#This Row],[_Pred3Text]]="","",IFERROR(VALUE(LEFT(Tasks[[#This Row],[_Pred3Text]],MIN(FIND("F",Tasks[[#This Row],[_Pred3Text]]&amp;"F"),FIND("S",Tasks[[#This Row],[_Pred3Text]]&amp;"S"),FIND("+",Tasks[[#This Row],[_Pred3Text]]&amp;"+"),FIND("-",Tasks[[#This Row],[_Pred3Text]]&amp;"-"))-1)),""))</f>
        <v/>
      </c>
      <c r="DE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3" t="str">
        <f aca="false">IF(Tasks[[#This Row],[_Pred3Text]]="","",TRIM(MID(SUBSTITUTE(SUBSTITUTE(SUBSTITUTE(UPPER(Tasks[[#This Row],[_Predecessors]]),";",",")," ",""),",",REPT(" ",99)),298,99)))</f>
        <v/>
      </c>
      <c r="DH50" s="43" t="str">
        <f aca="false">IF(Tasks[[#This Row],[_Pred4Text]]="","",IFERROR(VALUE(LEFT(Tasks[[#This Row],[_Pred4Text]],MIN(FIND("F",Tasks[[#This Row],[_Pred4Text]]&amp;"F"),FIND("S",Tasks[[#This Row],[_Pred4Text]]&amp;"S"),FIND("+",Tasks[[#This Row],[_Pred4Text]]&amp;"+"),FIND("-",Tasks[[#This Row],[_Pred4Text]]&amp;"-"))-1)),""))</f>
        <v/>
      </c>
      <c r="DI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3" t="str">
        <f aca="false">IF(OR(Tasks[[#This Row],[Task Name]]="",Tasks[[#This Row],[_Resources]]=""),"",TRIM(MID(SUBSTITUTE(Tasks[[#This Row],[_Resources]],",",REPT(" ",99)),1,99)))</f>
        <v/>
      </c>
      <c r="DL50" s="43" t="str">
        <f aca="false">IF(Tasks[[#This Row],[_Res1Text]]="","",TRIM(MID(SUBSTITUTE(Tasks[[#This Row],[_Resources]],",",REPT(" ",99)),100,99)))</f>
        <v/>
      </c>
      <c r="DM50" s="43" t="str">
        <f aca="false">IF(Tasks[[#This Row],[_Res2Text]]="","",TRIM(MID(SUBSTITUTE(Tasks[[#This Row],[_Resources]],",",REPT(" ",99)),199,99)))</f>
        <v/>
      </c>
      <c r="DN50" s="43" t="str">
        <f aca="false">IF(Tasks[[#This Row],[_Res3Text]]="","",TRIM(MID(SUBSTITUTE(Tasks[[#This Row],[_Resources]],",",REPT(" ",99)),298,99)))</f>
        <v/>
      </c>
      <c r="DO50" s="43" t="n">
        <f aca="false">IF(Tasks[[#This Row],[_Res1Text]]="",0,IFERROR(MATCH(TRIM(LEFT(Tasks[[#This Row],[_Res1Text]],FIND("[",Tasks[[#This Row],[_Res1Text]]&amp;"[")-1)),res_Name,0),IFERROR(MATCH(TRIM(LEFT(Tasks[[#This Row],[_Res1Text]],FIND("[",Tasks[[#This Row],[_Res1Text]]&amp;"[")-1)),res_Initials,0),0)))</f>
        <v>0</v>
      </c>
      <c r="DP50" s="43" t="n">
        <f aca="false">IF(Tasks[[#This Row],[_Res2Text]]="",0,IFERROR(MATCH(TRIM(LEFT(Tasks[[#This Row],[_Res2Text]],FIND("[",Tasks[[#This Row],[_Res2Text]]&amp;"[")-1)),res_Name,0),IFERROR(MATCH(TRIM(LEFT(Tasks[[#This Row],[_Res2Text]],FIND("[",Tasks[[#This Row],[_Res2Text]]&amp;"[")-1)),res_Initials,0),0)))</f>
        <v>0</v>
      </c>
      <c r="DQ50" s="43" t="n">
        <f aca="false">IF(Tasks[[#This Row],[_Res3Text]]="",0,IFERROR(MATCH(TRIM(LEFT(Tasks[[#This Row],[_Res3Text]],FIND("[",Tasks[[#This Row],[_Res3Text]]&amp;"[")-1)),res_Name,0),IFERROR(MATCH(TRIM(LEFT(Tasks[[#This Row],[_Res3Text]],FIND("[",Tasks[[#This Row],[_Res3Text]]&amp;"[")-1)),res_Initials,0),0)))</f>
        <v>0</v>
      </c>
      <c r="DR50" s="43" t="n">
        <f aca="false">IF(Tasks[[#This Row],[_Res4Text]]="",0,IFERROR(MATCH(TRIM(LEFT(Tasks[[#This Row],[_Res4Text]],FIND("[",Tasks[[#This Row],[_Res4Text]]&amp;"[")-1)),res_Name,0),IFERROR(MATCH(TRIM(LEFT(Tasks[[#This Row],[_Res4Text]],FIND("[",Tasks[[#This Row],[_Res4Text]]&amp;"[")-1)),res_Initials,0),0)))</f>
        <v>0</v>
      </c>
      <c r="DS50" s="43" t="str">
        <f aca="false">IF(Tasks[[#This Row],[_Res1Text]]="","",IF(Tasks[[#This Row],[_Res1Row]]&gt;0,INDEX(res_Name,Tasks[[#This Row],[_Res1Row]]),TRIM(LEFT(Tasks[[#This Row],[_Res1Text]],FIND("[",Tasks[[#This Row],[_Res1Text]]&amp;"[")-1))))</f>
        <v/>
      </c>
      <c r="DT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3" t="n">
        <f aca="false">IF(NOT(Tasks[[#This Row],[_IsLeaf]]=1),0,(Tasks[[#This Row],[_Resource1]]&lt;&gt;"")+(Tasks[[#This Row],[_Res2]]&lt;&gt;"")+(Tasks[[#This Row],[_Res3]]&lt;&gt;"")+(Tasks[[#This Row],[_Res4]]&lt;&gt;""))</f>
        <v>0</v>
      </c>
      <c r="DV50" s="43" t="str">
        <f aca="false">IF(Tasks[[#This Row],[_Res2Text]]="","",IF(Tasks[[#This Row],[_Res2Row]]&gt;0,INDEX(res_Name,Tasks[[#This Row],[_Res2Row]]),TRIM(LEFT(Tasks[[#This Row],[_Res2Text]],FIND("[",Tasks[[#This Row],[_Res2Text]]&amp;"[")-1))))</f>
        <v/>
      </c>
      <c r="DW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3" t="n">
        <f aca="false">IF(OR(NOT(Tasks[[#This Row],[_IsLeaf]]=1),Tasks[[#This Row],[_Res2Row]]=0),0,N(Tasks[[#This Row],[_Days]])*HoursPerDay*IF(Tasks[[#This Row],[_Res2Units]]="",DefaultUnits,Tasks[[#This Row],[_Res2Units]]))</f>
        <v>0</v>
      </c>
      <c r="DY50" s="43" t="n">
        <f aca="false">IF(AND(AND(Tasks[[#This Row],[_IsLeaf]]=1,Tasks[[#This Row],[_LeafTotalWork]]&gt;0),Tasks[[#This Row],[_Res2Work]]&gt;0),Tasks[[#This Row],[_Res2Work]]/(Tasks[[#This Row],[_FinishWorkday]]-Tasks[[#This Row],[_StartWorkday]]+1),0)</f>
        <v>0</v>
      </c>
      <c r="DZ50" s="43" t="n">
        <f aca="false">Tasks[[#This Row],[_Res2WorkPerWD]]*MAX(0,Tasks[[#This Row],[_StartWorkday]]-1)</f>
        <v>0</v>
      </c>
      <c r="EA50" s="43" t="n">
        <f aca="false">Tasks[[#This Row],[_Res2Work]]*Tasks[[#This Row],[_LeafProgress]]</f>
        <v>0</v>
      </c>
      <c r="EB50" s="43" t="str">
        <f aca="false">IF(Tasks[[#This Row],[_Res3Text]]="","",IF(Tasks[[#This Row],[_Res3Row]]&gt;0,INDEX(res_Name,Tasks[[#This Row],[_Res3Row]]),TRIM(LEFT(Tasks[[#This Row],[_Res3Text]],FIND("[",Tasks[[#This Row],[_Res3Text]]&amp;"[")-1))))</f>
        <v/>
      </c>
      <c r="EC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3" t="n">
        <f aca="false">IF(OR(NOT(Tasks[[#This Row],[_IsLeaf]]=1),Tasks[[#This Row],[_Res3Row]]=0),0,N(Tasks[[#This Row],[_Days]])*HoursPerDay*IF(Tasks[[#This Row],[_Res3Units]]="",DefaultUnits,Tasks[[#This Row],[_Res3Units]]))</f>
        <v>0</v>
      </c>
      <c r="EE50" s="43" t="n">
        <f aca="false">IF(AND(AND(Tasks[[#This Row],[_IsLeaf]]=1,Tasks[[#This Row],[_LeafTotalWork]]&gt;0),Tasks[[#This Row],[_Res3Work]]&gt;0),Tasks[[#This Row],[_Res3Work]]/(Tasks[[#This Row],[_FinishWorkday]]-Tasks[[#This Row],[_StartWorkday]]+1),0)</f>
        <v>0</v>
      </c>
      <c r="EF50" s="43" t="n">
        <f aca="false">Tasks[[#This Row],[_Res3WorkPerWD]]*MAX(0,Tasks[[#This Row],[_StartWorkday]]-1)</f>
        <v>0</v>
      </c>
      <c r="EG50" s="43" t="n">
        <f aca="false">Tasks[[#This Row],[_Res3Work]]*Tasks[[#This Row],[_LeafProgress]]</f>
        <v>0</v>
      </c>
      <c r="EH50" s="43" t="str">
        <f aca="false">IF(Tasks[[#This Row],[_Res4Text]]="","",IF(Tasks[[#This Row],[_Res4Row]]&gt;0,INDEX(res_Name,Tasks[[#This Row],[_Res4Row]]),TRIM(LEFT(Tasks[[#This Row],[_Res4Text]],FIND("[",Tasks[[#This Row],[_Res4Text]]&amp;"[")-1))))</f>
        <v/>
      </c>
      <c r="EI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3" t="n">
        <f aca="false">IF(OR(NOT(Tasks[[#This Row],[_IsLeaf]]=1),Tasks[[#This Row],[_Res4Row]]=0),0,N(Tasks[[#This Row],[_Days]])*HoursPerDay*IF(Tasks[[#This Row],[_Res4Units]]="",DefaultUnits,Tasks[[#This Row],[_Res4Units]]))</f>
        <v>0</v>
      </c>
      <c r="EK50" s="43" t="n">
        <f aca="false">IF(AND(AND(Tasks[[#This Row],[_IsLeaf]]=1,Tasks[[#This Row],[_LeafTotalWork]]&gt;0),Tasks[[#This Row],[_Res4Work]]&gt;0),Tasks[[#This Row],[_Res4Work]]/(Tasks[[#This Row],[_FinishWorkday]]-Tasks[[#This Row],[_StartWorkday]]+1),0)</f>
        <v>0</v>
      </c>
      <c r="EL50" s="43" t="n">
        <f aca="false">Tasks[[#This Row],[_Res4WorkPerWD]]*MAX(0,Tasks[[#This Row],[_StartWorkday]]-1)</f>
        <v>0</v>
      </c>
      <c r="EM50" s="43" t="n">
        <f aca="false">Tasks[[#This Row],[_Res4Work]]*Tasks[[#This Row],[_LeafProgress]]</f>
        <v>0</v>
      </c>
      <c r="EN50" s="43" t="n">
        <f aca="false">IF(ISNUMBER(Tasks[[#This Row],[% Complete]]),Tasks[[#This Row],[% Complete]],IF(Tasks[[#This Row],[Stage]]="",0,IFERROR(INDEX(stg_Pct,MATCH(Tasks[[#This Row],[Stage]],stg_Name,0)),0)))</f>
        <v>0</v>
      </c>
      <c r="EO50" s="43" t="n">
        <f aca="false">IF(NOT(Tasks[[#This Row],[_IsLeaf]]=1),0,IF(N(Tasks[[#This Row],[Actual Finish]])&gt;0,1,MIN(1,Tasks[[#This Row],[_Pct]])))</f>
        <v>0</v>
      </c>
      <c r="EP50" s="43" t="n">
        <f aca="false">IF(OR(NOT(Tasks[[#This Row],[_IsLeaf]]=1),Tasks[[#This Row],[_Res1Row]]=0),0,N(Tasks[[#This Row],[_Days]])*HoursPerDay*IF(Tasks[[#This Row],[_Units1]]="",DefaultUnits,Tasks[[#This Row],[_Units1]]))</f>
        <v>0</v>
      </c>
      <c r="EQ50" s="43" t="n">
        <f aca="false">Tasks[[#This Row],[_LeafWork]]+Tasks[[#This Row],[_Res2Work]]+Tasks[[#This Row],[_Res3Work]]+Tasks[[#This Row],[_Res4Work]]</f>
        <v>0</v>
      </c>
      <c r="ER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3" t="n">
        <f aca="false">IF(NOT(Tasks[[#This Row],[_IsLeaf]]=1),0,MAX(_xlfn.MAXIFS(Tasks[_Row],Tasks[_Pred1UID],Tasks[[#This Row],[UID]]),_xlfn.MAXIFS(Tasks[_Row],Tasks[_Pred2UID],Tasks[[#This Row],[UID]]),_xlfn.MAXIFS(Tasks[_Row],Tasks[_Pred3UID],Tasks[[#This Row],[UID]]),_xlfn.MAXIFS(Tasks[_Row],Tasks[_Pred4UID],Tasks[[#This Row],[UID]])))</f>
        <v>0</v>
      </c>
      <c r="FA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91" t="str">
        <f aca="false">IF(NOT(Tasks[[#This Row],[_IsLeaf]]=1),"",IF(N(Tasks[[#This Row],[_Days]])&lt;=0,Tasks[[#This Row],[_LeafLateFinish]],WORKDAY.INTL(Tasks[[#This Row],[_LeafLateFinish]],-(Tasks[[#This Row],[_Days]]-1),WorkWeek,Holidays)))</f>
        <v/>
      </c>
      <c r="FD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0" s="90" t="b">
        <f aca="false">AND(Tasks[[#This Row],[_IsLeaf]]=1,Tasks[[#This Row],[_LeafProgress]]&lt;1,N(Tasks[[#This Row],[_LeafTotalSlack]])&lt;=CriticalSlackDays)</f>
        <v>0</v>
      </c>
      <c r="FF50" s="43" t="n">
        <f aca="false">IF(AND(Tasks[[#This Row],[_IsLeaf]]=1,Tasks[[#This Row],[_ConstraintCode]]=1,Tasks[[#This Row],[Mode]]&lt;&gt;"Manual",N(Tasks[[#This Row],[Actual Start]])=0),MAX(0,N(Tasks[[#This Row],[Free Slack]])),0)</f>
        <v>0</v>
      </c>
      <c r="FG50" s="91" t="str">
        <f aca="false">IF(NOT(Tasks[[#This Row],[_IsLeaf]]=1),"",IF(Tasks[[#This Row],[_AlapShift]]=0,Tasks[[#This Row],[_LeafCalcStart]],WORKDAY.INTL(Tasks[[#This Row],[_LeafCalcStart]],Tasks[[#This Row],[_AlapShift]],WorkWeek,Holidays)))</f>
        <v/>
      </c>
      <c r="FH50" s="91" t="str">
        <f aca="false">IF(NOT(Tasks[[#This Row],[_IsLeaf]]=1),"",IF(Tasks[[#This Row],[_AlapShift]]=0,Tasks[[#This Row],[_LeafCalcFinish]],WORKDAY.INTL(Tasks[[#This Row],[_LeafCalcFinish]],Tasks[[#This Row],[_AlapShift]],WorkWeek,Holidays)))</f>
        <v/>
      </c>
      <c r="FI50" s="91" t="str">
        <f aca="false">IF(NOT(Tasks[[#This Row],[_IsLeaf]]=1),"",IF(Tasks[[#This Row],[_AlapShift]]=0,Tasks[[#This Row],[_LeafFcstStart]],WORKDAY.INTL(Tasks[[#This Row],[_LeafFcstStart]],Tasks[[#This Row],[_AlapShift]],WorkWeek,Holidays)))</f>
        <v/>
      </c>
      <c r="FJ50" s="91" t="str">
        <f aca="false">IF(NOT(Tasks[[#This Row],[_IsLeaf]]=1),"",IF(Tasks[[#This Row],[_AlapShift]]=0,Tasks[[#This Row],[_LeafFcstFinish]],WORKDAY.INTL(Tasks[[#This Row],[_LeafFcstFinish]],Tasks[[#This Row],[_AlapShift]],WorkWeek,Holidays)))</f>
        <v/>
      </c>
      <c r="FK50" s="91" t="str">
        <f aca="false">IF(Tasks[[#This Row],[Task Name]]="","",IF(Tasks[[#This Row],[_IsSummary]],MIN(INDEX(Tasks[_ShownCalcStart],Tasks[[#This Row],[_Row]]+1):INDEX(Tasks[_ShownCalcStart],Tasks[[#This Row],[_Row]]+Tasks[[#This Row],[_Descendants]])),Tasks[[#This Row],[_ShownCalcStart]]))</f>
        <v/>
      </c>
      <c r="FL50" s="91" t="str">
        <f aca="false">IF(Tasks[[#This Row],[Task Name]]="","",IF(Tasks[[#This Row],[_IsSummary]],MAX(INDEX(Tasks[_ShownCalcFinish],Tasks[[#This Row],[_Row]]+1):INDEX(Tasks[_ShownCalcFinish],Tasks[[#This Row],[_Row]]+Tasks[[#This Row],[_Descendants]])),Tasks[[#This Row],[_ShownCalcFinish]]))</f>
        <v/>
      </c>
      <c r="FM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0" s="43" t="n">
        <f aca="false">IF(AND(Tasks[[#This Row],[_IsLeaf]]=1,Tasks[[#This Row],[_LeafTotalWork]]&gt;0),NETWORKDAYS.INTL(ProjectStart,Tasks[[#This Row],[_ShownFcstStart]],WorkWeek,Holidays),0)</f>
        <v>0</v>
      </c>
      <c r="FZ50" s="43" t="n">
        <f aca="false">IF(AND(Tasks[[#This Row],[_IsLeaf]]=1,Tasks[[#This Row],[_LeafTotalWork]]&gt;0),MAX(Tasks[[#This Row],[_StartWorkday]],NETWORKDAYS.INTL(ProjectStart,Tasks[[#This Row],[_ShownFcstFinish]],WorkWeek,Holidays)),0)</f>
        <v>0</v>
      </c>
      <c r="GA50" s="43" t="n">
        <f aca="false">IF(AND(Tasks[[#This Row],[_IsLeaf]]=1,Tasks[[#This Row],[_LeafTotalWork]]&gt;0),Tasks[[#This Row],[_LeafWork]]/(Tasks[[#This Row],[_FinishWorkday]]-Tasks[[#This Row],[_StartWorkday]]+1),0)</f>
        <v>0</v>
      </c>
      <c r="GB50" s="43" t="n">
        <f aca="false">Tasks[[#This Row],[_WorkPerWorkday]]*(Tasks[[#This Row],[_StartWorkday]]-1)</f>
        <v>-0</v>
      </c>
      <c r="GC50" s="43" t="n">
        <f aca="false">IF(Tasks[[#This Row],[_IsLeaf]]=1,MAX(N(Tasks[[#This Row],[_Days]]),0.1),0)</f>
        <v>0</v>
      </c>
      <c r="GD50" s="43" t="n">
        <f aca="false">Tasks[[#This Row],[_WeightDur]]*Tasks[[#This Row],[_LeafProgress]]</f>
        <v>0</v>
      </c>
      <c r="GE50" s="43" t="n">
        <f aca="false">Tasks[[#This Row],[_WeightDur]]*Tasks[[#This Row],[_PlannedPct]]</f>
        <v>0</v>
      </c>
      <c r="GF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3" t="str">
        <f aca="false">IF(AND(Tasks[[#This Row],[_IsLeaf]]=1,N(Tasks[[#This Row],[_Days]])=0,Tasks[[#This Row],[_LeafProgress]]&lt;1),Tasks[[#This Row],[_ShownFcstFinish]]+Tasks[[#This Row],[_Row]]/100000,"")</f>
        <v/>
      </c>
      <c r="GH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0" s="43" t="str">
        <f aca="false">IF(Tasks[[#This Row],[Task Name]]="","",LEFT(Tasks[[#This Row],[WBS]],FIND(".",Tasks[[#This Row],[WBS]]&amp;".")-1))</f>
        <v/>
      </c>
      <c r="GJ50" s="43" t="str">
        <f aca="false">IF(AND(Tasks[[#This Row],[Task Name]]&lt;&gt;"",Tasks[[#This Row],[_Level]]=1),Tasks[[#This Row],[_Row]],"")</f>
        <v/>
      </c>
      <c r="GK50" s="43" t="str">
        <f aca="false">IF(AND(Tasks[[#This Row],[_IsLeaf]]=1,N(Tasks[[#This Row],[_Days]])=0),Tasks[[#This Row],[Planned Finish]]+Tasks[[#This Row],[_Row]]/100000,"")</f>
        <v/>
      </c>
      <c r="GL50" s="43" t="str">
        <f aca="false">IF(AND(Tasks[[#This Row],[_IsLeaf]]=1,Tasks[[#This Row],[_LeafProgress]]&lt;1,OR(N(Tasks[[#This Row],[Finish Var]])&gt;0,Tasks[[#This Row],[Status]]="Late Start")),MAX(0,Tasks[[#This Row],[Finish Var]])+1-Tasks[[#This Row],[_Row]]/1000000,"")</f>
        <v/>
      </c>
      <c r="GM50" s="43" t="str">
        <f aca="false">IF(AND(Tasks[[#This Row],[_IsLeaf]]=1,N(Tasks[[#This Row],[Actual Start]])=0,Tasks[[#This Row],[_ShownFcstStart]]&gt;=StatusDate,Tasks[[#This Row],[_ShownFcstStart]]&lt;=LookaheadEnd),Tasks[[#This Row],[_ShownFcstStart]]+Tasks[[#This Row],[_Row]]/100000,"")</f>
        <v/>
      </c>
      <c r="GN50" s="43" t="str">
        <f aca="false">IF(AND(Tasks[[#This Row],[_IsLeaf]]=1,Tasks[[#This Row],[_LeafProgress]]&lt;1,Tasks[[#This Row],[_ShownFcstFinish]]&gt;=StatusDate,Tasks[[#This Row],[_ShownFcstFinish]]&lt;=LookaheadEnd),Tasks[[#This Row],[_ShownFcstFinish]]+Tasks[[#This Row],[_Row]]/100000,"")</f>
        <v/>
      </c>
      <c r="GO50" s="43" t="str">
        <f aca="false">IF(Tasks[[#This Row],[_LeafCritical]],Tasks[[#This Row],[_ShownFcstStart]]+Tasks[[#This Row],[_Row]]/100000,"")</f>
        <v/>
      </c>
      <c r="GP50" s="43" t="n">
        <f aca="false">Tasks[[#This Row],[_LeafWork]]*Tasks[[#This Row],[_LeafProgress]]</f>
        <v>0</v>
      </c>
      <c r="GQ50" s="91" t="str">
        <f aca="false">IF(AND(Tasks[[#This Row],[_IsLeaf]]=1,Tasks[[#This Row],[_LeafProgress]]&gt;=1),IF(N(Tasks[[#This Row],[Actual Finish]])&gt;0,Tasks[[#This Row],[Actual Finish]],Tasks[[#This Row],[_ShownFcstFinish]]),"")</f>
        <v/>
      </c>
      <c r="GR50" s="43" t="n">
        <f aca="false">IF(Tasks[[#This Row],[_IsLeaf]]=1,N(Tasks[[#This Row],[Story Points]]),0)</f>
        <v>0</v>
      </c>
      <c r="GS50" s="43" t="str">
        <f aca="false">""</f>
        <v/>
      </c>
      <c r="GT50" s="90" t="b">
        <f aca="false">IF(Tasks[[#This Row],[Task Name]]="",FALSE(),AND(Tasks[[#This Row],[_IsLeaf]]=1,N(Tasks[[#This Row],[_Days]])=0))</f>
        <v>0</v>
      </c>
      <c r="GU50" s="91" t="n">
        <f aca="false">IF(Tasks[[#This Row],[Task Name]]="",0,IF(AND(Tasks[[#This Row],[_IsLeaf]]=1,NOT(Tasks[[#This Row],[_IsMilestone]]),N(Tasks[[#This Row],[Progress]])&gt;0),Tasks[[#This Row],[Start]],0))</f>
        <v>0</v>
      </c>
      <c r="GV50" s="91" t="n">
        <f aca="false">IF(Tasks[[#This Row],[_DoneFrom]]=0,0,IF(Tasks[[#This Row],[Progress]]&gt;=1,Tasks[[#This Row],[Finish]],MAX(Tasks[[#This Row],[_DoneFrom]],Tasks[[#This Row],[Start]]+ROUND((Tasks[[#This Row],[Finish]]-Tasks[[#This Row],[Start]]+1)*Tasks[[#This Row],[Progress]],0)-1)))</f>
        <v>0</v>
      </c>
      <c r="GW50" s="91" t="n">
        <f aca="false">IF(Tasks[[#This Row],[Task Name]]="",0,IF(OR(NOT(Tasks[[#This Row],[_IsLeaf]]=1),Tasks[[#This Row],[_IsMilestone]],N(Tasks[[#This Row],[Progress]])&gt;=1),0,IF(Tasks[[#This Row],[_DoneTo]]&gt;0,Tasks[[#This Row],[_DoneTo]]+1,Tasks[[#This Row],[Start]])))</f>
        <v>0</v>
      </c>
      <c r="GX50" s="91" t="n">
        <f aca="false">IF(Tasks[[#This Row],[_RemFrom]]=0,0,Tasks[[#This Row],[Finish]])</f>
        <v>0</v>
      </c>
      <c r="GY50" s="90" t="b">
        <f aca="false">IF(Tasks[[#This Row],[Task Name]]="",FALSE(),OR(NOT(BaselineSet),N(Tasks[[#This Row],[Baseline Start]])&gt;0))</f>
        <v>0</v>
      </c>
      <c r="GZ5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92" t="str">
        <f aca="false">IF(Tasks[[#This Row],[_IsLeaf]]=1,Tasks[[#This Row],[_Row]],"")</f>
        <v/>
      </c>
      <c r="HD50" s="92" t="str">
        <f aca="false">IFERROR(INDEX(Tasks[UID],SMALL(Tasks[_PickKey],Tasks[[#This Row],[_Row]]))&amp;" "&amp;INDEX(Tasks[Task Name],SMALL(Tasks[_PickKey],Tasks[[#This Row],[_Row]])),"")</f>
        <v/>
      </c>
      <c r="HE50" s="43" t="str">
        <f aca="false">IF(Tasks[[#This Row],[Task Name]]="","",IF(Tasks[[#This Row],[_IsSummary]],NETWORKDAYS.INTL(Tasks[[#This Row],[Start]],Tasks[[#This Row],[Finish]],WorkWeek,Holidays),N(Tasks[[#This Row],[_Days]])))</f>
        <v/>
      </c>
      <c r="HF50" s="43" t="n">
        <f aca="false">IF(Tasks[[#This Row],[Expected]]="",0,((Tasks[[#This Row],[Pessimistic]]-Tasks[[#This Row],[Optimistic]])/6)^2)</f>
        <v>0</v>
      </c>
      <c r="HG50" s="43" t="n">
        <f aca="false">IF(Tasks[[#This Row],[Expected]]="",0,Tasks[[#This Row],[Expected]]-N(Tasks[[#This Row],[_Days]]))</f>
        <v>0</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4"/>
      <c r="U51" s="23"/>
      <c r="V51" s="84"/>
      <c r="W51" s="23"/>
      <c r="X51" s="84"/>
      <c r="Y51" s="23"/>
      <c r="Z51" s="84"/>
      <c r="AA51" s="23"/>
      <c r="AB51" s="23"/>
      <c r="AC51" s="7"/>
      <c r="AD51" s="7"/>
      <c r="AE51" s="63" t="str">
        <f aca="false">IF(Tasks[[#This Row],[Task Name]]="","",IF(Tasks[[#This Row],[_IsSummary]],MIN(INDEX(Tasks[_ShownFcstStart],Tasks[[#This Row],[_Row]]+1):INDEX(Tasks[_ShownFcstStart],Tasks[[#This Row],[_Row]]+Tasks[[#This Row],[_Descendants]])),Tasks[[#This Row],[_ShownFcstStart]]))</f>
        <v/>
      </c>
      <c r="AF51" s="63"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1" s="7"/>
      <c r="AK51" s="22"/>
      <c r="AL51" s="23"/>
      <c r="AM51" s="7"/>
      <c r="AN51" s="47"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3" t="str">
        <f aca="false">IF(Tasks[[#This Row],[Task Name]]="","",IF(N(Tasks[[#This Row],[Baseline Start]])&gt;0,Tasks[[#This Row],[Baseline Start]],Tasks[[#This Row],[_CalcStart]]))</f>
        <v/>
      </c>
      <c r="AR51" s="63" t="str">
        <f aca="false">IF(Tasks[[#This Row],[Task Name]]="","",IF(N(Tasks[[#This Row],[Baseline Finish]])&gt;0,Tasks[[#This Row],[Baseline Finish]],Tasks[[#This Row],[_CalcFinish]]))</f>
        <v/>
      </c>
      <c r="AS51" s="47" t="str">
        <f aca="false">IF(Tasks[[#This Row],[Task Name]]="","",IF(Tasks[[#This Row],[Start]]&gt;=Tasks[[#This Row],[Planned Start]],NETWORKDAYS.INTL(Tasks[[#This Row],[Planned Start]],Tasks[[#This Row],[Start]],WorkWeek,Holidays)-1,1-NETWORKDAYS.INTL(Tasks[[#This Row],[Start]],Tasks[[#This Row],[Planned Start]],WorkWeek,Holidays)))</f>
        <v/>
      </c>
      <c r="AT51" s="63" t="str">
        <f aca="false">IF(Tasks[[#This Row],[Task Name]]="","",IF(Tasks[[#This Row],[_IsSummary]],MIN(INDEX(Tasks[_LeafLateStart],Tasks[[#This Row],[_Row]]+1):INDEX(Tasks[_LeafLateStart],Tasks[[#This Row],[_Row]]+Tasks[[#This Row],[_Descendants]])),Tasks[[#This Row],[_LeafLateStart]]))</f>
        <v/>
      </c>
      <c r="AU51" s="63" t="str">
        <f aca="false">IF(Tasks[[#This Row],[Task Name]]="","",IF(Tasks[[#This Row],[_IsSummary]],MAX(INDEX(Tasks[_LeafLateFinish],Tasks[[#This Row],[_Row]]+1):INDEX(Tasks[_LeafLateFinish],Tasks[[#This Row],[_Row]]+Tasks[[#This Row],[_Descendants]])),Tasks[[#This Row],[_LeafLateFinish]]))</f>
        <v/>
      </c>
      <c r="AV51" s="47"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5"/>
      <c r="BA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6"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7"/>
      <c r="BJ51" s="22"/>
      <c r="BK51" s="47" t="str">
        <f aca="false">IF(OR(Tasks[[#This Row],[Task Name]]="",Tasks[[#This Row],[Baseline Duration]]=""),"",Tasks[[#This Row],[_SpanDays]]-N(Tasks[[#This Row],[Baseline Duration]]))</f>
        <v/>
      </c>
      <c r="BL51" s="86" t="str">
        <f aca="false">IF(OR(Tasks[[#This Row],[Task Name]]="",Tasks[[#This Row],[Baseline Work]]=""),"",Tasks[[#This Row],[Work]]-N(Tasks[[#This Row],[Baseline Work]]))</f>
        <v/>
      </c>
      <c r="BM51" s="63" t="str">
        <f aca="false">IF(Tasks[[#This Row],[Task Name]]="","",IF(OR(TakeBaseline="Yes",N(Tasks[[#This Row],[Baseline Start]])=0),Tasks[[#This Row],[Start]],Tasks[[#This Row],[Baseline Start]]))</f>
        <v/>
      </c>
      <c r="BN51" s="63" t="str">
        <f aca="false">IF(Tasks[[#This Row],[Task Name]]="","",IF(OR(TakeBaseline="Yes",N(Tasks[[#This Row],[Baseline Finish]])=0),Tasks[[#This Row],[Finish]],Tasks[[#This Row],[Baseline Finish]]))</f>
        <v/>
      </c>
      <c r="BO51" s="21" t="str">
        <f aca="false">IF(Tasks[[#This Row],[Task Name]]="","",IF(OR(TakeBaseline="Yes",N(Tasks[[#This Row],[Baseline Duration]])=0),Tasks[[#This Row],[_SpanDays]],Tasks[[#This Row],[Baseline Duration]]))</f>
        <v/>
      </c>
      <c r="BP51" s="86" t="str">
        <f aca="false">IF(Tasks[[#This Row],[Task Name]]="","",IF(OR(TakeBaseline="Yes",N(Tasks[[#This Row],[Baseline Work]])=0),Tasks[[#This Row],[Work]],Tasks[[#This Row],[Baseline Work]]))</f>
        <v/>
      </c>
      <c r="BQ51" s="7"/>
      <c r="BR51" s="7"/>
      <c r="BS51" s="22"/>
      <c r="BT51" s="88"/>
      <c r="BU51" s="23"/>
      <c r="BV51" s="23"/>
      <c r="BW51" s="23"/>
      <c r="BX51" s="89" t="str">
        <f aca="false">IF(AND(Tasks[[#This Row],[_IsLeaf]]=1,ISNUMBER(Tasks[[#This Row],[Optimistic]]),ISNUMBER(Tasks[[#This Row],[Pessimistic]])),ROUND((Tasks[[#This Row],[Optimistic]]+4*N(Tasks[[#This Row],[_Days]])+Tasks[[#This Row],[Pessimistic]])/6,1),"")</f>
        <v/>
      </c>
      <c r="BY51" s="87"/>
      <c r="BZ51" s="87"/>
      <c r="CA51" s="22"/>
      <c r="CB51" s="43" t="str">
        <f aca="false">IF(Tasks[[#This Row],[Task Name]]="","",MAX(1,N(Tasks[[#This Row],[Level]])))</f>
        <v/>
      </c>
      <c r="CC51" s="43" t="n">
        <f aca="false">ROW()-ROW(Tasks[[#Headers],[ID]])</f>
        <v>46</v>
      </c>
      <c r="CD51" s="43" t="n">
        <f aca="false">IF(OR(Tasks[[#This Row],[Task Name]]="",Tasks[[#This Row],[_Level]]&lt;=1),0,IFERROR(LOOKUP(2,1/(Tasks[[#Headers],[_Level]]:Tasks[[#This Row],[_Level]]=Tasks[[#This Row],[_Level]]-1),ROW(Tasks[[#Headers],[_Level]]:Tasks[[#This Row],[_Level]])),0))</f>
        <v>0</v>
      </c>
      <c r="CE51" s="43" t="n">
        <f aca="false">IFERROR(N(INDEX(Tasks[_Level],Tasks[[#This Row],[_Row]]+1)),0)</f>
        <v>0</v>
      </c>
      <c r="CF51" s="90" t="b">
        <f aca="false">AND(Tasks[[#This Row],[Task Name]]&lt;&gt;"",Tasks[[#This Row],[_NextLevel]]&gt;Tasks[[#This Row],[_Level]])</f>
        <v>0</v>
      </c>
      <c r="CG51" s="43" t="n">
        <f aca="false">IF(Tasks[[#This Row],[_IsSummary]],COUNTIF(Tasks[WBS],Tasks[[#This Row],[WBS]]&amp;".*"),0)</f>
        <v>0</v>
      </c>
      <c r="CH51" s="43" t="n">
        <f aca="false">IF(AND(Tasks[[#This Row],[Task Name]]&lt;&gt;"",NOT(Tasks[[#This Row],[_IsSummary]])),1,0)</f>
        <v>0</v>
      </c>
      <c r="CI51" s="43" t="n">
        <f aca="false">IF(N(Tasks[[#This Row],[_Pred1UID]])=0,0,IFERROR(MATCH(Tasks[[#This Row],[_Pred1UID]],Tasks[UID],0),-1))</f>
        <v>0</v>
      </c>
      <c r="CJ51" s="43" t="n">
        <f aca="false">IF(N(Tasks[[#This Row],[_Pred2UID]])=0,0,IFERROR(MATCH(Tasks[[#This Row],[_Pred2UID]],Tasks[UID],0),-1))</f>
        <v>0</v>
      </c>
      <c r="CK51" s="43" t="n">
        <f aca="false">IF(N(Tasks[[#This Row],[_Pred3UID]])=0,0,IFERROR(MATCH(Tasks[[#This Row],[_Pred3UID]],Tasks[UID],0),-1))</f>
        <v>0</v>
      </c>
      <c r="CL51" s="43" t="n">
        <f aca="false">IF(N(Tasks[[#This Row],[_Pred4UID]])=0,0,IFERROR(MATCH(Tasks[[#This Row],[_Pred4UID]],Tasks[UID],0),-1))</f>
        <v>0</v>
      </c>
      <c r="CM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1" s="91" t="n">
        <f aca="false">IF(OR(Tasks[[#This Row],[_ConstraintCode]]=2,Tasks[[#This Row],[_ConstraintCode]]=3,Tasks[[#This Row],[_ConstraintCode]]=4,Tasks[[#This Row],[_ConstraintCode]]=6),Tasks[[#This Row],[_ConstraintStart]],0)</f>
        <v>0</v>
      </c>
      <c r="CP51" s="91" t="n">
        <f aca="false">IF(OR(Tasks[[#This Row],[_ConstraintCode]]=2,Tasks[[#This Row],[_ConstraintCode]]=3,Tasks[[#This Row],[_ConstraintCode]]=5,Tasks[[#This Row],[_ConstraintCode]]=7),Tasks[[#This Row],[_ConstraintStart]],2958465)</f>
        <v>2958465</v>
      </c>
      <c r="CQ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91" t="str">
        <f aca="false">IF(NOT(Tasks[[#This Row],[_IsLeaf]]=1),"",IF(N(Tasks[[#This Row],[_Days]])&lt;=0,Tasks[[#This Row],[_LeafCalcStart]],WORKDAY.INTL(Tasks[[#This Row],[_LeafCalcStart]],Tasks[[#This Row],[_Days]]-1,WorkWeek,Holidays)))</f>
        <v/>
      </c>
      <c r="CS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3" t="str">
        <f aca="false">IF(Tasks[[#This Row],[_Predecessors]]="","",TRIM(MID(SUBSTITUTE(SUBSTITUTE(SUBSTITUTE(UPPER(Tasks[[#This Row],[_Predecessors]]),";",",")," ",""),",",REPT(" ",99)),1,99)))</f>
        <v/>
      </c>
      <c r="CV51" s="43" t="str">
        <f aca="false">IF(Tasks[[#This Row],[_Pred1Text]]="","",IFERROR(VALUE(LEFT(Tasks[[#This Row],[_Pred1Text]],MIN(FIND("F",Tasks[[#This Row],[_Pred1Text]]&amp;"F"),FIND("S",Tasks[[#This Row],[_Pred1Text]]&amp;"S"),FIND("+",Tasks[[#This Row],[_Pred1Text]]&amp;"+"),FIND("-",Tasks[[#This Row],[_Pred1Text]]&amp;"-"))-1)),""))</f>
        <v/>
      </c>
      <c r="CW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3" t="str">
        <f aca="false">IF(Tasks[[#This Row],[_Pred1Text]]="","",TRIM(MID(SUBSTITUTE(SUBSTITUTE(SUBSTITUTE(UPPER(Tasks[[#This Row],[_Predecessors]]),";",",")," ",""),",",REPT(" ",99)),100,99)))</f>
        <v/>
      </c>
      <c r="CZ51" s="43" t="str">
        <f aca="false">IF(Tasks[[#This Row],[_Pred2Text]]="","",IFERROR(VALUE(LEFT(Tasks[[#This Row],[_Pred2Text]],MIN(FIND("F",Tasks[[#This Row],[_Pred2Text]]&amp;"F"),FIND("S",Tasks[[#This Row],[_Pred2Text]]&amp;"S"),FIND("+",Tasks[[#This Row],[_Pred2Text]]&amp;"+"),FIND("-",Tasks[[#This Row],[_Pred2Text]]&amp;"-"))-1)),""))</f>
        <v/>
      </c>
      <c r="DA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3" t="str">
        <f aca="false">IF(Tasks[[#This Row],[_Pred2Text]]="","",TRIM(MID(SUBSTITUTE(SUBSTITUTE(SUBSTITUTE(UPPER(Tasks[[#This Row],[_Predecessors]]),";",",")," ",""),",",REPT(" ",99)),199,99)))</f>
        <v/>
      </c>
      <c r="DD51" s="43" t="str">
        <f aca="false">IF(Tasks[[#This Row],[_Pred3Text]]="","",IFERROR(VALUE(LEFT(Tasks[[#This Row],[_Pred3Text]],MIN(FIND("F",Tasks[[#This Row],[_Pred3Text]]&amp;"F"),FIND("S",Tasks[[#This Row],[_Pred3Text]]&amp;"S"),FIND("+",Tasks[[#This Row],[_Pred3Text]]&amp;"+"),FIND("-",Tasks[[#This Row],[_Pred3Text]]&amp;"-"))-1)),""))</f>
        <v/>
      </c>
      <c r="DE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3" t="str">
        <f aca="false">IF(Tasks[[#This Row],[_Pred3Text]]="","",TRIM(MID(SUBSTITUTE(SUBSTITUTE(SUBSTITUTE(UPPER(Tasks[[#This Row],[_Predecessors]]),";",",")," ",""),",",REPT(" ",99)),298,99)))</f>
        <v/>
      </c>
      <c r="DH51" s="43" t="str">
        <f aca="false">IF(Tasks[[#This Row],[_Pred4Text]]="","",IFERROR(VALUE(LEFT(Tasks[[#This Row],[_Pred4Text]],MIN(FIND("F",Tasks[[#This Row],[_Pred4Text]]&amp;"F"),FIND("S",Tasks[[#This Row],[_Pred4Text]]&amp;"S"),FIND("+",Tasks[[#This Row],[_Pred4Text]]&amp;"+"),FIND("-",Tasks[[#This Row],[_Pred4Text]]&amp;"-"))-1)),""))</f>
        <v/>
      </c>
      <c r="DI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3" t="str">
        <f aca="false">IF(OR(Tasks[[#This Row],[Task Name]]="",Tasks[[#This Row],[_Resources]]=""),"",TRIM(MID(SUBSTITUTE(Tasks[[#This Row],[_Resources]],",",REPT(" ",99)),1,99)))</f>
        <v/>
      </c>
      <c r="DL51" s="43" t="str">
        <f aca="false">IF(Tasks[[#This Row],[_Res1Text]]="","",TRIM(MID(SUBSTITUTE(Tasks[[#This Row],[_Resources]],",",REPT(" ",99)),100,99)))</f>
        <v/>
      </c>
      <c r="DM51" s="43" t="str">
        <f aca="false">IF(Tasks[[#This Row],[_Res2Text]]="","",TRIM(MID(SUBSTITUTE(Tasks[[#This Row],[_Resources]],",",REPT(" ",99)),199,99)))</f>
        <v/>
      </c>
      <c r="DN51" s="43" t="str">
        <f aca="false">IF(Tasks[[#This Row],[_Res3Text]]="","",TRIM(MID(SUBSTITUTE(Tasks[[#This Row],[_Resources]],",",REPT(" ",99)),298,99)))</f>
        <v/>
      </c>
      <c r="DO51" s="43" t="n">
        <f aca="false">IF(Tasks[[#This Row],[_Res1Text]]="",0,IFERROR(MATCH(TRIM(LEFT(Tasks[[#This Row],[_Res1Text]],FIND("[",Tasks[[#This Row],[_Res1Text]]&amp;"[")-1)),res_Name,0),IFERROR(MATCH(TRIM(LEFT(Tasks[[#This Row],[_Res1Text]],FIND("[",Tasks[[#This Row],[_Res1Text]]&amp;"[")-1)),res_Initials,0),0)))</f>
        <v>0</v>
      </c>
      <c r="DP51" s="43" t="n">
        <f aca="false">IF(Tasks[[#This Row],[_Res2Text]]="",0,IFERROR(MATCH(TRIM(LEFT(Tasks[[#This Row],[_Res2Text]],FIND("[",Tasks[[#This Row],[_Res2Text]]&amp;"[")-1)),res_Name,0),IFERROR(MATCH(TRIM(LEFT(Tasks[[#This Row],[_Res2Text]],FIND("[",Tasks[[#This Row],[_Res2Text]]&amp;"[")-1)),res_Initials,0),0)))</f>
        <v>0</v>
      </c>
      <c r="DQ51" s="43" t="n">
        <f aca="false">IF(Tasks[[#This Row],[_Res3Text]]="",0,IFERROR(MATCH(TRIM(LEFT(Tasks[[#This Row],[_Res3Text]],FIND("[",Tasks[[#This Row],[_Res3Text]]&amp;"[")-1)),res_Name,0),IFERROR(MATCH(TRIM(LEFT(Tasks[[#This Row],[_Res3Text]],FIND("[",Tasks[[#This Row],[_Res3Text]]&amp;"[")-1)),res_Initials,0),0)))</f>
        <v>0</v>
      </c>
      <c r="DR51" s="43" t="n">
        <f aca="false">IF(Tasks[[#This Row],[_Res4Text]]="",0,IFERROR(MATCH(TRIM(LEFT(Tasks[[#This Row],[_Res4Text]],FIND("[",Tasks[[#This Row],[_Res4Text]]&amp;"[")-1)),res_Name,0),IFERROR(MATCH(TRIM(LEFT(Tasks[[#This Row],[_Res4Text]],FIND("[",Tasks[[#This Row],[_Res4Text]]&amp;"[")-1)),res_Initials,0),0)))</f>
        <v>0</v>
      </c>
      <c r="DS51" s="43" t="str">
        <f aca="false">IF(Tasks[[#This Row],[_Res1Text]]="","",IF(Tasks[[#This Row],[_Res1Row]]&gt;0,INDEX(res_Name,Tasks[[#This Row],[_Res1Row]]),TRIM(LEFT(Tasks[[#This Row],[_Res1Text]],FIND("[",Tasks[[#This Row],[_Res1Text]]&amp;"[")-1))))</f>
        <v/>
      </c>
      <c r="DT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3" t="n">
        <f aca="false">IF(NOT(Tasks[[#This Row],[_IsLeaf]]=1),0,(Tasks[[#This Row],[_Resource1]]&lt;&gt;"")+(Tasks[[#This Row],[_Res2]]&lt;&gt;"")+(Tasks[[#This Row],[_Res3]]&lt;&gt;"")+(Tasks[[#This Row],[_Res4]]&lt;&gt;""))</f>
        <v>0</v>
      </c>
      <c r="DV51" s="43" t="str">
        <f aca="false">IF(Tasks[[#This Row],[_Res2Text]]="","",IF(Tasks[[#This Row],[_Res2Row]]&gt;0,INDEX(res_Name,Tasks[[#This Row],[_Res2Row]]),TRIM(LEFT(Tasks[[#This Row],[_Res2Text]],FIND("[",Tasks[[#This Row],[_Res2Text]]&amp;"[")-1))))</f>
        <v/>
      </c>
      <c r="DW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3" t="n">
        <f aca="false">IF(OR(NOT(Tasks[[#This Row],[_IsLeaf]]=1),Tasks[[#This Row],[_Res2Row]]=0),0,N(Tasks[[#This Row],[_Days]])*HoursPerDay*IF(Tasks[[#This Row],[_Res2Units]]="",DefaultUnits,Tasks[[#This Row],[_Res2Units]]))</f>
        <v>0</v>
      </c>
      <c r="DY51" s="43" t="n">
        <f aca="false">IF(AND(AND(Tasks[[#This Row],[_IsLeaf]]=1,Tasks[[#This Row],[_LeafTotalWork]]&gt;0),Tasks[[#This Row],[_Res2Work]]&gt;0),Tasks[[#This Row],[_Res2Work]]/(Tasks[[#This Row],[_FinishWorkday]]-Tasks[[#This Row],[_StartWorkday]]+1),0)</f>
        <v>0</v>
      </c>
      <c r="DZ51" s="43" t="n">
        <f aca="false">Tasks[[#This Row],[_Res2WorkPerWD]]*MAX(0,Tasks[[#This Row],[_StartWorkday]]-1)</f>
        <v>0</v>
      </c>
      <c r="EA51" s="43" t="n">
        <f aca="false">Tasks[[#This Row],[_Res2Work]]*Tasks[[#This Row],[_LeafProgress]]</f>
        <v>0</v>
      </c>
      <c r="EB51" s="43" t="str">
        <f aca="false">IF(Tasks[[#This Row],[_Res3Text]]="","",IF(Tasks[[#This Row],[_Res3Row]]&gt;0,INDEX(res_Name,Tasks[[#This Row],[_Res3Row]]),TRIM(LEFT(Tasks[[#This Row],[_Res3Text]],FIND("[",Tasks[[#This Row],[_Res3Text]]&amp;"[")-1))))</f>
        <v/>
      </c>
      <c r="EC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3" t="n">
        <f aca="false">IF(OR(NOT(Tasks[[#This Row],[_IsLeaf]]=1),Tasks[[#This Row],[_Res3Row]]=0),0,N(Tasks[[#This Row],[_Days]])*HoursPerDay*IF(Tasks[[#This Row],[_Res3Units]]="",DefaultUnits,Tasks[[#This Row],[_Res3Units]]))</f>
        <v>0</v>
      </c>
      <c r="EE51" s="43" t="n">
        <f aca="false">IF(AND(AND(Tasks[[#This Row],[_IsLeaf]]=1,Tasks[[#This Row],[_LeafTotalWork]]&gt;0),Tasks[[#This Row],[_Res3Work]]&gt;0),Tasks[[#This Row],[_Res3Work]]/(Tasks[[#This Row],[_FinishWorkday]]-Tasks[[#This Row],[_StartWorkday]]+1),0)</f>
        <v>0</v>
      </c>
      <c r="EF51" s="43" t="n">
        <f aca="false">Tasks[[#This Row],[_Res3WorkPerWD]]*MAX(0,Tasks[[#This Row],[_StartWorkday]]-1)</f>
        <v>0</v>
      </c>
      <c r="EG51" s="43" t="n">
        <f aca="false">Tasks[[#This Row],[_Res3Work]]*Tasks[[#This Row],[_LeafProgress]]</f>
        <v>0</v>
      </c>
      <c r="EH51" s="43" t="str">
        <f aca="false">IF(Tasks[[#This Row],[_Res4Text]]="","",IF(Tasks[[#This Row],[_Res4Row]]&gt;0,INDEX(res_Name,Tasks[[#This Row],[_Res4Row]]),TRIM(LEFT(Tasks[[#This Row],[_Res4Text]],FIND("[",Tasks[[#This Row],[_Res4Text]]&amp;"[")-1))))</f>
        <v/>
      </c>
      <c r="EI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3" t="n">
        <f aca="false">IF(OR(NOT(Tasks[[#This Row],[_IsLeaf]]=1),Tasks[[#This Row],[_Res4Row]]=0),0,N(Tasks[[#This Row],[_Days]])*HoursPerDay*IF(Tasks[[#This Row],[_Res4Units]]="",DefaultUnits,Tasks[[#This Row],[_Res4Units]]))</f>
        <v>0</v>
      </c>
      <c r="EK51" s="43" t="n">
        <f aca="false">IF(AND(AND(Tasks[[#This Row],[_IsLeaf]]=1,Tasks[[#This Row],[_LeafTotalWork]]&gt;0),Tasks[[#This Row],[_Res4Work]]&gt;0),Tasks[[#This Row],[_Res4Work]]/(Tasks[[#This Row],[_FinishWorkday]]-Tasks[[#This Row],[_StartWorkday]]+1),0)</f>
        <v>0</v>
      </c>
      <c r="EL51" s="43" t="n">
        <f aca="false">Tasks[[#This Row],[_Res4WorkPerWD]]*MAX(0,Tasks[[#This Row],[_StartWorkday]]-1)</f>
        <v>0</v>
      </c>
      <c r="EM51" s="43" t="n">
        <f aca="false">Tasks[[#This Row],[_Res4Work]]*Tasks[[#This Row],[_LeafProgress]]</f>
        <v>0</v>
      </c>
      <c r="EN51" s="43" t="n">
        <f aca="false">IF(ISNUMBER(Tasks[[#This Row],[% Complete]]),Tasks[[#This Row],[% Complete]],IF(Tasks[[#This Row],[Stage]]="",0,IFERROR(INDEX(stg_Pct,MATCH(Tasks[[#This Row],[Stage]],stg_Name,0)),0)))</f>
        <v>0</v>
      </c>
      <c r="EO51" s="43" t="n">
        <f aca="false">IF(NOT(Tasks[[#This Row],[_IsLeaf]]=1),0,IF(N(Tasks[[#This Row],[Actual Finish]])&gt;0,1,MIN(1,Tasks[[#This Row],[_Pct]])))</f>
        <v>0</v>
      </c>
      <c r="EP51" s="43" t="n">
        <f aca="false">IF(OR(NOT(Tasks[[#This Row],[_IsLeaf]]=1),Tasks[[#This Row],[_Res1Row]]=0),0,N(Tasks[[#This Row],[_Days]])*HoursPerDay*IF(Tasks[[#This Row],[_Units1]]="",DefaultUnits,Tasks[[#This Row],[_Units1]]))</f>
        <v>0</v>
      </c>
      <c r="EQ51" s="43" t="n">
        <f aca="false">Tasks[[#This Row],[_LeafWork]]+Tasks[[#This Row],[_Res2Work]]+Tasks[[#This Row],[_Res3Work]]+Tasks[[#This Row],[_Res4Work]]</f>
        <v>0</v>
      </c>
      <c r="ER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3" t="n">
        <f aca="false">IF(NOT(Tasks[[#This Row],[_IsLeaf]]=1),0,MAX(_xlfn.MAXIFS(Tasks[_Row],Tasks[_Pred1UID],Tasks[[#This Row],[UID]]),_xlfn.MAXIFS(Tasks[_Row],Tasks[_Pred2UID],Tasks[[#This Row],[UID]]),_xlfn.MAXIFS(Tasks[_Row],Tasks[_Pred3UID],Tasks[[#This Row],[UID]]),_xlfn.MAXIFS(Tasks[_Row],Tasks[_Pred4UID],Tasks[[#This Row],[UID]])))</f>
        <v>0</v>
      </c>
      <c r="FA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91" t="str">
        <f aca="false">IF(NOT(Tasks[[#This Row],[_IsLeaf]]=1),"",IF(N(Tasks[[#This Row],[_Days]])&lt;=0,Tasks[[#This Row],[_LeafLateFinish]],WORKDAY.INTL(Tasks[[#This Row],[_LeafLateFinish]],-(Tasks[[#This Row],[_Days]]-1),WorkWeek,Holidays)))</f>
        <v/>
      </c>
      <c r="FD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1" s="90" t="b">
        <f aca="false">AND(Tasks[[#This Row],[_IsLeaf]]=1,Tasks[[#This Row],[_LeafProgress]]&lt;1,N(Tasks[[#This Row],[_LeafTotalSlack]])&lt;=CriticalSlackDays)</f>
        <v>0</v>
      </c>
      <c r="FF51" s="43" t="n">
        <f aca="false">IF(AND(Tasks[[#This Row],[_IsLeaf]]=1,Tasks[[#This Row],[_ConstraintCode]]=1,Tasks[[#This Row],[Mode]]&lt;&gt;"Manual",N(Tasks[[#This Row],[Actual Start]])=0),MAX(0,N(Tasks[[#This Row],[Free Slack]])),0)</f>
        <v>0</v>
      </c>
      <c r="FG51" s="91" t="str">
        <f aca="false">IF(NOT(Tasks[[#This Row],[_IsLeaf]]=1),"",IF(Tasks[[#This Row],[_AlapShift]]=0,Tasks[[#This Row],[_LeafCalcStart]],WORKDAY.INTL(Tasks[[#This Row],[_LeafCalcStart]],Tasks[[#This Row],[_AlapShift]],WorkWeek,Holidays)))</f>
        <v/>
      </c>
      <c r="FH51" s="91" t="str">
        <f aca="false">IF(NOT(Tasks[[#This Row],[_IsLeaf]]=1),"",IF(Tasks[[#This Row],[_AlapShift]]=0,Tasks[[#This Row],[_LeafCalcFinish]],WORKDAY.INTL(Tasks[[#This Row],[_LeafCalcFinish]],Tasks[[#This Row],[_AlapShift]],WorkWeek,Holidays)))</f>
        <v/>
      </c>
      <c r="FI51" s="91" t="str">
        <f aca="false">IF(NOT(Tasks[[#This Row],[_IsLeaf]]=1),"",IF(Tasks[[#This Row],[_AlapShift]]=0,Tasks[[#This Row],[_LeafFcstStart]],WORKDAY.INTL(Tasks[[#This Row],[_LeafFcstStart]],Tasks[[#This Row],[_AlapShift]],WorkWeek,Holidays)))</f>
        <v/>
      </c>
      <c r="FJ51" s="91" t="str">
        <f aca="false">IF(NOT(Tasks[[#This Row],[_IsLeaf]]=1),"",IF(Tasks[[#This Row],[_AlapShift]]=0,Tasks[[#This Row],[_LeafFcstFinish]],WORKDAY.INTL(Tasks[[#This Row],[_LeafFcstFinish]],Tasks[[#This Row],[_AlapShift]],WorkWeek,Holidays)))</f>
        <v/>
      </c>
      <c r="FK51" s="91" t="str">
        <f aca="false">IF(Tasks[[#This Row],[Task Name]]="","",IF(Tasks[[#This Row],[_IsSummary]],MIN(INDEX(Tasks[_ShownCalcStart],Tasks[[#This Row],[_Row]]+1):INDEX(Tasks[_ShownCalcStart],Tasks[[#This Row],[_Row]]+Tasks[[#This Row],[_Descendants]])),Tasks[[#This Row],[_ShownCalcStart]]))</f>
        <v/>
      </c>
      <c r="FL51" s="91" t="str">
        <f aca="false">IF(Tasks[[#This Row],[Task Name]]="","",IF(Tasks[[#This Row],[_IsSummary]],MAX(INDEX(Tasks[_ShownCalcFinish],Tasks[[#This Row],[_Row]]+1):INDEX(Tasks[_ShownCalcFinish],Tasks[[#This Row],[_Row]]+Tasks[[#This Row],[_Descendants]])),Tasks[[#This Row],[_ShownCalcFinish]]))</f>
        <v/>
      </c>
      <c r="FM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1" s="43" t="n">
        <f aca="false">IF(AND(Tasks[[#This Row],[_IsLeaf]]=1,Tasks[[#This Row],[_LeafTotalWork]]&gt;0),NETWORKDAYS.INTL(ProjectStart,Tasks[[#This Row],[_ShownFcstStart]],WorkWeek,Holidays),0)</f>
        <v>0</v>
      </c>
      <c r="FZ51" s="43" t="n">
        <f aca="false">IF(AND(Tasks[[#This Row],[_IsLeaf]]=1,Tasks[[#This Row],[_LeafTotalWork]]&gt;0),MAX(Tasks[[#This Row],[_StartWorkday]],NETWORKDAYS.INTL(ProjectStart,Tasks[[#This Row],[_ShownFcstFinish]],WorkWeek,Holidays)),0)</f>
        <v>0</v>
      </c>
      <c r="GA51" s="43" t="n">
        <f aca="false">IF(AND(Tasks[[#This Row],[_IsLeaf]]=1,Tasks[[#This Row],[_LeafTotalWork]]&gt;0),Tasks[[#This Row],[_LeafWork]]/(Tasks[[#This Row],[_FinishWorkday]]-Tasks[[#This Row],[_StartWorkday]]+1),0)</f>
        <v>0</v>
      </c>
      <c r="GB51" s="43" t="n">
        <f aca="false">Tasks[[#This Row],[_WorkPerWorkday]]*(Tasks[[#This Row],[_StartWorkday]]-1)</f>
        <v>-0</v>
      </c>
      <c r="GC51" s="43" t="n">
        <f aca="false">IF(Tasks[[#This Row],[_IsLeaf]]=1,MAX(N(Tasks[[#This Row],[_Days]]),0.1),0)</f>
        <v>0</v>
      </c>
      <c r="GD51" s="43" t="n">
        <f aca="false">Tasks[[#This Row],[_WeightDur]]*Tasks[[#This Row],[_LeafProgress]]</f>
        <v>0</v>
      </c>
      <c r="GE51" s="43" t="n">
        <f aca="false">Tasks[[#This Row],[_WeightDur]]*Tasks[[#This Row],[_PlannedPct]]</f>
        <v>0</v>
      </c>
      <c r="GF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3" t="str">
        <f aca="false">IF(AND(Tasks[[#This Row],[_IsLeaf]]=1,N(Tasks[[#This Row],[_Days]])=0,Tasks[[#This Row],[_LeafProgress]]&lt;1),Tasks[[#This Row],[_ShownFcstFinish]]+Tasks[[#This Row],[_Row]]/100000,"")</f>
        <v/>
      </c>
      <c r="GH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1" s="43" t="str">
        <f aca="false">IF(Tasks[[#This Row],[Task Name]]="","",LEFT(Tasks[[#This Row],[WBS]],FIND(".",Tasks[[#This Row],[WBS]]&amp;".")-1))</f>
        <v/>
      </c>
      <c r="GJ51" s="43" t="str">
        <f aca="false">IF(AND(Tasks[[#This Row],[Task Name]]&lt;&gt;"",Tasks[[#This Row],[_Level]]=1),Tasks[[#This Row],[_Row]],"")</f>
        <v/>
      </c>
      <c r="GK51" s="43" t="str">
        <f aca="false">IF(AND(Tasks[[#This Row],[_IsLeaf]]=1,N(Tasks[[#This Row],[_Days]])=0),Tasks[[#This Row],[Planned Finish]]+Tasks[[#This Row],[_Row]]/100000,"")</f>
        <v/>
      </c>
      <c r="GL51" s="43" t="str">
        <f aca="false">IF(AND(Tasks[[#This Row],[_IsLeaf]]=1,Tasks[[#This Row],[_LeafProgress]]&lt;1,OR(N(Tasks[[#This Row],[Finish Var]])&gt;0,Tasks[[#This Row],[Status]]="Late Start")),MAX(0,Tasks[[#This Row],[Finish Var]])+1-Tasks[[#This Row],[_Row]]/1000000,"")</f>
        <v/>
      </c>
      <c r="GM51" s="43" t="str">
        <f aca="false">IF(AND(Tasks[[#This Row],[_IsLeaf]]=1,N(Tasks[[#This Row],[Actual Start]])=0,Tasks[[#This Row],[_ShownFcstStart]]&gt;=StatusDate,Tasks[[#This Row],[_ShownFcstStart]]&lt;=LookaheadEnd),Tasks[[#This Row],[_ShownFcstStart]]+Tasks[[#This Row],[_Row]]/100000,"")</f>
        <v/>
      </c>
      <c r="GN51" s="43" t="str">
        <f aca="false">IF(AND(Tasks[[#This Row],[_IsLeaf]]=1,Tasks[[#This Row],[_LeafProgress]]&lt;1,Tasks[[#This Row],[_ShownFcstFinish]]&gt;=StatusDate,Tasks[[#This Row],[_ShownFcstFinish]]&lt;=LookaheadEnd),Tasks[[#This Row],[_ShownFcstFinish]]+Tasks[[#This Row],[_Row]]/100000,"")</f>
        <v/>
      </c>
      <c r="GO51" s="43" t="str">
        <f aca="false">IF(Tasks[[#This Row],[_LeafCritical]],Tasks[[#This Row],[_ShownFcstStart]]+Tasks[[#This Row],[_Row]]/100000,"")</f>
        <v/>
      </c>
      <c r="GP51" s="43" t="n">
        <f aca="false">Tasks[[#This Row],[_LeafWork]]*Tasks[[#This Row],[_LeafProgress]]</f>
        <v>0</v>
      </c>
      <c r="GQ51" s="91" t="str">
        <f aca="false">IF(AND(Tasks[[#This Row],[_IsLeaf]]=1,Tasks[[#This Row],[_LeafProgress]]&gt;=1),IF(N(Tasks[[#This Row],[Actual Finish]])&gt;0,Tasks[[#This Row],[Actual Finish]],Tasks[[#This Row],[_ShownFcstFinish]]),"")</f>
        <v/>
      </c>
      <c r="GR51" s="43" t="n">
        <f aca="false">IF(Tasks[[#This Row],[_IsLeaf]]=1,N(Tasks[[#This Row],[Story Points]]),0)</f>
        <v>0</v>
      </c>
      <c r="GS51" s="43" t="str">
        <f aca="false">""</f>
        <v/>
      </c>
      <c r="GT51" s="90" t="b">
        <f aca="false">IF(Tasks[[#This Row],[Task Name]]="",FALSE(),AND(Tasks[[#This Row],[_IsLeaf]]=1,N(Tasks[[#This Row],[_Days]])=0))</f>
        <v>0</v>
      </c>
      <c r="GU51" s="91" t="n">
        <f aca="false">IF(Tasks[[#This Row],[Task Name]]="",0,IF(AND(Tasks[[#This Row],[_IsLeaf]]=1,NOT(Tasks[[#This Row],[_IsMilestone]]),N(Tasks[[#This Row],[Progress]])&gt;0),Tasks[[#This Row],[Start]],0))</f>
        <v>0</v>
      </c>
      <c r="GV51" s="91" t="n">
        <f aca="false">IF(Tasks[[#This Row],[_DoneFrom]]=0,0,IF(Tasks[[#This Row],[Progress]]&gt;=1,Tasks[[#This Row],[Finish]],MAX(Tasks[[#This Row],[_DoneFrom]],Tasks[[#This Row],[Start]]+ROUND((Tasks[[#This Row],[Finish]]-Tasks[[#This Row],[Start]]+1)*Tasks[[#This Row],[Progress]],0)-1)))</f>
        <v>0</v>
      </c>
      <c r="GW51" s="91" t="n">
        <f aca="false">IF(Tasks[[#This Row],[Task Name]]="",0,IF(OR(NOT(Tasks[[#This Row],[_IsLeaf]]=1),Tasks[[#This Row],[_IsMilestone]],N(Tasks[[#This Row],[Progress]])&gt;=1),0,IF(Tasks[[#This Row],[_DoneTo]]&gt;0,Tasks[[#This Row],[_DoneTo]]+1,Tasks[[#This Row],[Start]])))</f>
        <v>0</v>
      </c>
      <c r="GX51" s="91" t="n">
        <f aca="false">IF(Tasks[[#This Row],[_RemFrom]]=0,0,Tasks[[#This Row],[Finish]])</f>
        <v>0</v>
      </c>
      <c r="GY51" s="90" t="b">
        <f aca="false">IF(Tasks[[#This Row],[Task Name]]="",FALSE(),OR(NOT(BaselineSet),N(Tasks[[#This Row],[Baseline Start]])&gt;0))</f>
        <v>0</v>
      </c>
      <c r="GZ5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92" t="str">
        <f aca="false">IF(Tasks[[#This Row],[_IsLeaf]]=1,Tasks[[#This Row],[_Row]],"")</f>
        <v/>
      </c>
      <c r="HD51" s="92" t="str">
        <f aca="false">IFERROR(INDEX(Tasks[UID],SMALL(Tasks[_PickKey],Tasks[[#This Row],[_Row]]))&amp;" "&amp;INDEX(Tasks[Task Name],SMALL(Tasks[_PickKey],Tasks[[#This Row],[_Row]])),"")</f>
        <v/>
      </c>
      <c r="HE51" s="43" t="str">
        <f aca="false">IF(Tasks[[#This Row],[Task Name]]="","",IF(Tasks[[#This Row],[_IsSummary]],NETWORKDAYS.INTL(Tasks[[#This Row],[Start]],Tasks[[#This Row],[Finish]],WorkWeek,Holidays),N(Tasks[[#This Row],[_Days]])))</f>
        <v/>
      </c>
      <c r="HF51" s="43" t="n">
        <f aca="false">IF(Tasks[[#This Row],[Expected]]="",0,((Tasks[[#This Row],[Pessimistic]]-Tasks[[#This Row],[Optimistic]])/6)^2)</f>
        <v>0</v>
      </c>
      <c r="HG51" s="43" t="n">
        <f aca="false">IF(Tasks[[#This Row],[Expected]]="",0,Tasks[[#This Row],[Expected]]-N(Tasks[[#This Row],[_Days]]))</f>
        <v>0</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4"/>
      <c r="U52" s="23"/>
      <c r="V52" s="84"/>
      <c r="W52" s="23"/>
      <c r="X52" s="84"/>
      <c r="Y52" s="23"/>
      <c r="Z52" s="84"/>
      <c r="AA52" s="23"/>
      <c r="AB52" s="23"/>
      <c r="AC52" s="7"/>
      <c r="AD52" s="7"/>
      <c r="AE52" s="63" t="str">
        <f aca="false">IF(Tasks[[#This Row],[Task Name]]="","",IF(Tasks[[#This Row],[_IsSummary]],MIN(INDEX(Tasks[_ShownFcstStart],Tasks[[#This Row],[_Row]]+1):INDEX(Tasks[_ShownFcstStart],Tasks[[#This Row],[_Row]]+Tasks[[#This Row],[_Descendants]])),Tasks[[#This Row],[_ShownFcstStart]]))</f>
        <v/>
      </c>
      <c r="AF52" s="63"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2" s="7"/>
      <c r="AK52" s="22"/>
      <c r="AL52" s="23"/>
      <c r="AM52" s="7"/>
      <c r="AN52" s="47"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3" t="str">
        <f aca="false">IF(Tasks[[#This Row],[Task Name]]="","",IF(N(Tasks[[#This Row],[Baseline Start]])&gt;0,Tasks[[#This Row],[Baseline Start]],Tasks[[#This Row],[_CalcStart]]))</f>
        <v/>
      </c>
      <c r="AR52" s="63" t="str">
        <f aca="false">IF(Tasks[[#This Row],[Task Name]]="","",IF(N(Tasks[[#This Row],[Baseline Finish]])&gt;0,Tasks[[#This Row],[Baseline Finish]],Tasks[[#This Row],[_CalcFinish]]))</f>
        <v/>
      </c>
      <c r="AS52" s="47" t="str">
        <f aca="false">IF(Tasks[[#This Row],[Task Name]]="","",IF(Tasks[[#This Row],[Start]]&gt;=Tasks[[#This Row],[Planned Start]],NETWORKDAYS.INTL(Tasks[[#This Row],[Planned Start]],Tasks[[#This Row],[Start]],WorkWeek,Holidays)-1,1-NETWORKDAYS.INTL(Tasks[[#This Row],[Start]],Tasks[[#This Row],[Planned Start]],WorkWeek,Holidays)))</f>
        <v/>
      </c>
      <c r="AT52" s="63" t="str">
        <f aca="false">IF(Tasks[[#This Row],[Task Name]]="","",IF(Tasks[[#This Row],[_IsSummary]],MIN(INDEX(Tasks[_LeafLateStart],Tasks[[#This Row],[_Row]]+1):INDEX(Tasks[_LeafLateStart],Tasks[[#This Row],[_Row]]+Tasks[[#This Row],[_Descendants]])),Tasks[[#This Row],[_LeafLateStart]]))</f>
        <v/>
      </c>
      <c r="AU52" s="63" t="str">
        <f aca="false">IF(Tasks[[#This Row],[Task Name]]="","",IF(Tasks[[#This Row],[_IsSummary]],MAX(INDEX(Tasks[_LeafLateFinish],Tasks[[#This Row],[_Row]]+1):INDEX(Tasks[_LeafLateFinish],Tasks[[#This Row],[_Row]]+Tasks[[#This Row],[_Descendants]])),Tasks[[#This Row],[_LeafLateFinish]]))</f>
        <v/>
      </c>
      <c r="AV52" s="47"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5"/>
      <c r="BA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6"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7"/>
      <c r="BJ52" s="22"/>
      <c r="BK52" s="47" t="str">
        <f aca="false">IF(OR(Tasks[[#This Row],[Task Name]]="",Tasks[[#This Row],[Baseline Duration]]=""),"",Tasks[[#This Row],[_SpanDays]]-N(Tasks[[#This Row],[Baseline Duration]]))</f>
        <v/>
      </c>
      <c r="BL52" s="86" t="str">
        <f aca="false">IF(OR(Tasks[[#This Row],[Task Name]]="",Tasks[[#This Row],[Baseline Work]]=""),"",Tasks[[#This Row],[Work]]-N(Tasks[[#This Row],[Baseline Work]]))</f>
        <v/>
      </c>
      <c r="BM52" s="63" t="str">
        <f aca="false">IF(Tasks[[#This Row],[Task Name]]="","",IF(OR(TakeBaseline="Yes",N(Tasks[[#This Row],[Baseline Start]])=0),Tasks[[#This Row],[Start]],Tasks[[#This Row],[Baseline Start]]))</f>
        <v/>
      </c>
      <c r="BN52" s="63" t="str">
        <f aca="false">IF(Tasks[[#This Row],[Task Name]]="","",IF(OR(TakeBaseline="Yes",N(Tasks[[#This Row],[Baseline Finish]])=0),Tasks[[#This Row],[Finish]],Tasks[[#This Row],[Baseline Finish]]))</f>
        <v/>
      </c>
      <c r="BO52" s="21" t="str">
        <f aca="false">IF(Tasks[[#This Row],[Task Name]]="","",IF(OR(TakeBaseline="Yes",N(Tasks[[#This Row],[Baseline Duration]])=0),Tasks[[#This Row],[_SpanDays]],Tasks[[#This Row],[Baseline Duration]]))</f>
        <v/>
      </c>
      <c r="BP52" s="86" t="str">
        <f aca="false">IF(Tasks[[#This Row],[Task Name]]="","",IF(OR(TakeBaseline="Yes",N(Tasks[[#This Row],[Baseline Work]])=0),Tasks[[#This Row],[Work]],Tasks[[#This Row],[Baseline Work]]))</f>
        <v/>
      </c>
      <c r="BQ52" s="7"/>
      <c r="BR52" s="7"/>
      <c r="BS52" s="22"/>
      <c r="BT52" s="88"/>
      <c r="BU52" s="23"/>
      <c r="BV52" s="23"/>
      <c r="BW52" s="23"/>
      <c r="BX52" s="89" t="str">
        <f aca="false">IF(AND(Tasks[[#This Row],[_IsLeaf]]=1,ISNUMBER(Tasks[[#This Row],[Optimistic]]),ISNUMBER(Tasks[[#This Row],[Pessimistic]])),ROUND((Tasks[[#This Row],[Optimistic]]+4*N(Tasks[[#This Row],[_Days]])+Tasks[[#This Row],[Pessimistic]])/6,1),"")</f>
        <v/>
      </c>
      <c r="BY52" s="87"/>
      <c r="BZ52" s="87"/>
      <c r="CA52" s="22"/>
      <c r="CB52" s="43" t="str">
        <f aca="false">IF(Tasks[[#This Row],[Task Name]]="","",MAX(1,N(Tasks[[#This Row],[Level]])))</f>
        <v/>
      </c>
      <c r="CC52" s="43" t="n">
        <f aca="false">ROW()-ROW(Tasks[[#Headers],[ID]])</f>
        <v>47</v>
      </c>
      <c r="CD52" s="43" t="n">
        <f aca="false">IF(OR(Tasks[[#This Row],[Task Name]]="",Tasks[[#This Row],[_Level]]&lt;=1),0,IFERROR(LOOKUP(2,1/(Tasks[[#Headers],[_Level]]:Tasks[[#This Row],[_Level]]=Tasks[[#This Row],[_Level]]-1),ROW(Tasks[[#Headers],[_Level]]:Tasks[[#This Row],[_Level]])),0))</f>
        <v>0</v>
      </c>
      <c r="CE52" s="43" t="n">
        <f aca="false">IFERROR(N(INDEX(Tasks[_Level],Tasks[[#This Row],[_Row]]+1)),0)</f>
        <v>0</v>
      </c>
      <c r="CF52" s="90" t="b">
        <f aca="false">AND(Tasks[[#This Row],[Task Name]]&lt;&gt;"",Tasks[[#This Row],[_NextLevel]]&gt;Tasks[[#This Row],[_Level]])</f>
        <v>0</v>
      </c>
      <c r="CG52" s="43" t="n">
        <f aca="false">IF(Tasks[[#This Row],[_IsSummary]],COUNTIF(Tasks[WBS],Tasks[[#This Row],[WBS]]&amp;".*"),0)</f>
        <v>0</v>
      </c>
      <c r="CH52" s="43" t="n">
        <f aca="false">IF(AND(Tasks[[#This Row],[Task Name]]&lt;&gt;"",NOT(Tasks[[#This Row],[_IsSummary]])),1,0)</f>
        <v>0</v>
      </c>
      <c r="CI52" s="43" t="n">
        <f aca="false">IF(N(Tasks[[#This Row],[_Pred1UID]])=0,0,IFERROR(MATCH(Tasks[[#This Row],[_Pred1UID]],Tasks[UID],0),-1))</f>
        <v>0</v>
      </c>
      <c r="CJ52" s="43" t="n">
        <f aca="false">IF(N(Tasks[[#This Row],[_Pred2UID]])=0,0,IFERROR(MATCH(Tasks[[#This Row],[_Pred2UID]],Tasks[UID],0),-1))</f>
        <v>0</v>
      </c>
      <c r="CK52" s="43" t="n">
        <f aca="false">IF(N(Tasks[[#This Row],[_Pred3UID]])=0,0,IFERROR(MATCH(Tasks[[#This Row],[_Pred3UID]],Tasks[UID],0),-1))</f>
        <v>0</v>
      </c>
      <c r="CL52" s="43" t="n">
        <f aca="false">IF(N(Tasks[[#This Row],[_Pred4UID]])=0,0,IFERROR(MATCH(Tasks[[#This Row],[_Pred4UID]],Tasks[UID],0),-1))</f>
        <v>0</v>
      </c>
      <c r="CM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2" s="91" t="n">
        <f aca="false">IF(OR(Tasks[[#This Row],[_ConstraintCode]]=2,Tasks[[#This Row],[_ConstraintCode]]=3,Tasks[[#This Row],[_ConstraintCode]]=4,Tasks[[#This Row],[_ConstraintCode]]=6),Tasks[[#This Row],[_ConstraintStart]],0)</f>
        <v>0</v>
      </c>
      <c r="CP52" s="91" t="n">
        <f aca="false">IF(OR(Tasks[[#This Row],[_ConstraintCode]]=2,Tasks[[#This Row],[_ConstraintCode]]=3,Tasks[[#This Row],[_ConstraintCode]]=5,Tasks[[#This Row],[_ConstraintCode]]=7),Tasks[[#This Row],[_ConstraintStart]],2958465)</f>
        <v>2958465</v>
      </c>
      <c r="CQ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91" t="str">
        <f aca="false">IF(NOT(Tasks[[#This Row],[_IsLeaf]]=1),"",IF(N(Tasks[[#This Row],[_Days]])&lt;=0,Tasks[[#This Row],[_LeafCalcStart]],WORKDAY.INTL(Tasks[[#This Row],[_LeafCalcStart]],Tasks[[#This Row],[_Days]]-1,WorkWeek,Holidays)))</f>
        <v/>
      </c>
      <c r="CS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3" t="str">
        <f aca="false">IF(Tasks[[#This Row],[_Predecessors]]="","",TRIM(MID(SUBSTITUTE(SUBSTITUTE(SUBSTITUTE(UPPER(Tasks[[#This Row],[_Predecessors]]),";",",")," ",""),",",REPT(" ",99)),1,99)))</f>
        <v/>
      </c>
      <c r="CV52" s="43" t="str">
        <f aca="false">IF(Tasks[[#This Row],[_Pred1Text]]="","",IFERROR(VALUE(LEFT(Tasks[[#This Row],[_Pred1Text]],MIN(FIND("F",Tasks[[#This Row],[_Pred1Text]]&amp;"F"),FIND("S",Tasks[[#This Row],[_Pred1Text]]&amp;"S"),FIND("+",Tasks[[#This Row],[_Pred1Text]]&amp;"+"),FIND("-",Tasks[[#This Row],[_Pred1Text]]&amp;"-"))-1)),""))</f>
        <v/>
      </c>
      <c r="CW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3" t="str">
        <f aca="false">IF(Tasks[[#This Row],[_Pred1Text]]="","",TRIM(MID(SUBSTITUTE(SUBSTITUTE(SUBSTITUTE(UPPER(Tasks[[#This Row],[_Predecessors]]),";",",")," ",""),",",REPT(" ",99)),100,99)))</f>
        <v/>
      </c>
      <c r="CZ52" s="43" t="str">
        <f aca="false">IF(Tasks[[#This Row],[_Pred2Text]]="","",IFERROR(VALUE(LEFT(Tasks[[#This Row],[_Pred2Text]],MIN(FIND("F",Tasks[[#This Row],[_Pred2Text]]&amp;"F"),FIND("S",Tasks[[#This Row],[_Pred2Text]]&amp;"S"),FIND("+",Tasks[[#This Row],[_Pred2Text]]&amp;"+"),FIND("-",Tasks[[#This Row],[_Pred2Text]]&amp;"-"))-1)),""))</f>
        <v/>
      </c>
      <c r="DA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3" t="str">
        <f aca="false">IF(Tasks[[#This Row],[_Pred2Text]]="","",TRIM(MID(SUBSTITUTE(SUBSTITUTE(SUBSTITUTE(UPPER(Tasks[[#This Row],[_Predecessors]]),";",",")," ",""),",",REPT(" ",99)),199,99)))</f>
        <v/>
      </c>
      <c r="DD52" s="43" t="str">
        <f aca="false">IF(Tasks[[#This Row],[_Pred3Text]]="","",IFERROR(VALUE(LEFT(Tasks[[#This Row],[_Pred3Text]],MIN(FIND("F",Tasks[[#This Row],[_Pred3Text]]&amp;"F"),FIND("S",Tasks[[#This Row],[_Pred3Text]]&amp;"S"),FIND("+",Tasks[[#This Row],[_Pred3Text]]&amp;"+"),FIND("-",Tasks[[#This Row],[_Pred3Text]]&amp;"-"))-1)),""))</f>
        <v/>
      </c>
      <c r="DE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3" t="str">
        <f aca="false">IF(Tasks[[#This Row],[_Pred3Text]]="","",TRIM(MID(SUBSTITUTE(SUBSTITUTE(SUBSTITUTE(UPPER(Tasks[[#This Row],[_Predecessors]]),";",",")," ",""),",",REPT(" ",99)),298,99)))</f>
        <v/>
      </c>
      <c r="DH52" s="43" t="str">
        <f aca="false">IF(Tasks[[#This Row],[_Pred4Text]]="","",IFERROR(VALUE(LEFT(Tasks[[#This Row],[_Pred4Text]],MIN(FIND("F",Tasks[[#This Row],[_Pred4Text]]&amp;"F"),FIND("S",Tasks[[#This Row],[_Pred4Text]]&amp;"S"),FIND("+",Tasks[[#This Row],[_Pred4Text]]&amp;"+"),FIND("-",Tasks[[#This Row],[_Pred4Text]]&amp;"-"))-1)),""))</f>
        <v/>
      </c>
      <c r="DI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3" t="str">
        <f aca="false">IF(OR(Tasks[[#This Row],[Task Name]]="",Tasks[[#This Row],[_Resources]]=""),"",TRIM(MID(SUBSTITUTE(Tasks[[#This Row],[_Resources]],",",REPT(" ",99)),1,99)))</f>
        <v/>
      </c>
      <c r="DL52" s="43" t="str">
        <f aca="false">IF(Tasks[[#This Row],[_Res1Text]]="","",TRIM(MID(SUBSTITUTE(Tasks[[#This Row],[_Resources]],",",REPT(" ",99)),100,99)))</f>
        <v/>
      </c>
      <c r="DM52" s="43" t="str">
        <f aca="false">IF(Tasks[[#This Row],[_Res2Text]]="","",TRIM(MID(SUBSTITUTE(Tasks[[#This Row],[_Resources]],",",REPT(" ",99)),199,99)))</f>
        <v/>
      </c>
      <c r="DN52" s="43" t="str">
        <f aca="false">IF(Tasks[[#This Row],[_Res3Text]]="","",TRIM(MID(SUBSTITUTE(Tasks[[#This Row],[_Resources]],",",REPT(" ",99)),298,99)))</f>
        <v/>
      </c>
      <c r="DO52" s="43" t="n">
        <f aca="false">IF(Tasks[[#This Row],[_Res1Text]]="",0,IFERROR(MATCH(TRIM(LEFT(Tasks[[#This Row],[_Res1Text]],FIND("[",Tasks[[#This Row],[_Res1Text]]&amp;"[")-1)),res_Name,0),IFERROR(MATCH(TRIM(LEFT(Tasks[[#This Row],[_Res1Text]],FIND("[",Tasks[[#This Row],[_Res1Text]]&amp;"[")-1)),res_Initials,0),0)))</f>
        <v>0</v>
      </c>
      <c r="DP52" s="43" t="n">
        <f aca="false">IF(Tasks[[#This Row],[_Res2Text]]="",0,IFERROR(MATCH(TRIM(LEFT(Tasks[[#This Row],[_Res2Text]],FIND("[",Tasks[[#This Row],[_Res2Text]]&amp;"[")-1)),res_Name,0),IFERROR(MATCH(TRIM(LEFT(Tasks[[#This Row],[_Res2Text]],FIND("[",Tasks[[#This Row],[_Res2Text]]&amp;"[")-1)),res_Initials,0),0)))</f>
        <v>0</v>
      </c>
      <c r="DQ52" s="43" t="n">
        <f aca="false">IF(Tasks[[#This Row],[_Res3Text]]="",0,IFERROR(MATCH(TRIM(LEFT(Tasks[[#This Row],[_Res3Text]],FIND("[",Tasks[[#This Row],[_Res3Text]]&amp;"[")-1)),res_Name,0),IFERROR(MATCH(TRIM(LEFT(Tasks[[#This Row],[_Res3Text]],FIND("[",Tasks[[#This Row],[_Res3Text]]&amp;"[")-1)),res_Initials,0),0)))</f>
        <v>0</v>
      </c>
      <c r="DR52" s="43" t="n">
        <f aca="false">IF(Tasks[[#This Row],[_Res4Text]]="",0,IFERROR(MATCH(TRIM(LEFT(Tasks[[#This Row],[_Res4Text]],FIND("[",Tasks[[#This Row],[_Res4Text]]&amp;"[")-1)),res_Name,0),IFERROR(MATCH(TRIM(LEFT(Tasks[[#This Row],[_Res4Text]],FIND("[",Tasks[[#This Row],[_Res4Text]]&amp;"[")-1)),res_Initials,0),0)))</f>
        <v>0</v>
      </c>
      <c r="DS52" s="43" t="str">
        <f aca="false">IF(Tasks[[#This Row],[_Res1Text]]="","",IF(Tasks[[#This Row],[_Res1Row]]&gt;0,INDEX(res_Name,Tasks[[#This Row],[_Res1Row]]),TRIM(LEFT(Tasks[[#This Row],[_Res1Text]],FIND("[",Tasks[[#This Row],[_Res1Text]]&amp;"[")-1))))</f>
        <v/>
      </c>
      <c r="DT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3" t="n">
        <f aca="false">IF(NOT(Tasks[[#This Row],[_IsLeaf]]=1),0,(Tasks[[#This Row],[_Resource1]]&lt;&gt;"")+(Tasks[[#This Row],[_Res2]]&lt;&gt;"")+(Tasks[[#This Row],[_Res3]]&lt;&gt;"")+(Tasks[[#This Row],[_Res4]]&lt;&gt;""))</f>
        <v>0</v>
      </c>
      <c r="DV52" s="43" t="str">
        <f aca="false">IF(Tasks[[#This Row],[_Res2Text]]="","",IF(Tasks[[#This Row],[_Res2Row]]&gt;0,INDEX(res_Name,Tasks[[#This Row],[_Res2Row]]),TRIM(LEFT(Tasks[[#This Row],[_Res2Text]],FIND("[",Tasks[[#This Row],[_Res2Text]]&amp;"[")-1))))</f>
        <v/>
      </c>
      <c r="DW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3" t="n">
        <f aca="false">IF(OR(NOT(Tasks[[#This Row],[_IsLeaf]]=1),Tasks[[#This Row],[_Res2Row]]=0),0,N(Tasks[[#This Row],[_Days]])*HoursPerDay*IF(Tasks[[#This Row],[_Res2Units]]="",DefaultUnits,Tasks[[#This Row],[_Res2Units]]))</f>
        <v>0</v>
      </c>
      <c r="DY52" s="43" t="n">
        <f aca="false">IF(AND(AND(Tasks[[#This Row],[_IsLeaf]]=1,Tasks[[#This Row],[_LeafTotalWork]]&gt;0),Tasks[[#This Row],[_Res2Work]]&gt;0),Tasks[[#This Row],[_Res2Work]]/(Tasks[[#This Row],[_FinishWorkday]]-Tasks[[#This Row],[_StartWorkday]]+1),0)</f>
        <v>0</v>
      </c>
      <c r="DZ52" s="43" t="n">
        <f aca="false">Tasks[[#This Row],[_Res2WorkPerWD]]*MAX(0,Tasks[[#This Row],[_StartWorkday]]-1)</f>
        <v>0</v>
      </c>
      <c r="EA52" s="43" t="n">
        <f aca="false">Tasks[[#This Row],[_Res2Work]]*Tasks[[#This Row],[_LeafProgress]]</f>
        <v>0</v>
      </c>
      <c r="EB52" s="43" t="str">
        <f aca="false">IF(Tasks[[#This Row],[_Res3Text]]="","",IF(Tasks[[#This Row],[_Res3Row]]&gt;0,INDEX(res_Name,Tasks[[#This Row],[_Res3Row]]),TRIM(LEFT(Tasks[[#This Row],[_Res3Text]],FIND("[",Tasks[[#This Row],[_Res3Text]]&amp;"[")-1))))</f>
        <v/>
      </c>
      <c r="EC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3" t="n">
        <f aca="false">IF(OR(NOT(Tasks[[#This Row],[_IsLeaf]]=1),Tasks[[#This Row],[_Res3Row]]=0),0,N(Tasks[[#This Row],[_Days]])*HoursPerDay*IF(Tasks[[#This Row],[_Res3Units]]="",DefaultUnits,Tasks[[#This Row],[_Res3Units]]))</f>
        <v>0</v>
      </c>
      <c r="EE52" s="43" t="n">
        <f aca="false">IF(AND(AND(Tasks[[#This Row],[_IsLeaf]]=1,Tasks[[#This Row],[_LeafTotalWork]]&gt;0),Tasks[[#This Row],[_Res3Work]]&gt;0),Tasks[[#This Row],[_Res3Work]]/(Tasks[[#This Row],[_FinishWorkday]]-Tasks[[#This Row],[_StartWorkday]]+1),0)</f>
        <v>0</v>
      </c>
      <c r="EF52" s="43" t="n">
        <f aca="false">Tasks[[#This Row],[_Res3WorkPerWD]]*MAX(0,Tasks[[#This Row],[_StartWorkday]]-1)</f>
        <v>0</v>
      </c>
      <c r="EG52" s="43" t="n">
        <f aca="false">Tasks[[#This Row],[_Res3Work]]*Tasks[[#This Row],[_LeafProgress]]</f>
        <v>0</v>
      </c>
      <c r="EH52" s="43" t="str">
        <f aca="false">IF(Tasks[[#This Row],[_Res4Text]]="","",IF(Tasks[[#This Row],[_Res4Row]]&gt;0,INDEX(res_Name,Tasks[[#This Row],[_Res4Row]]),TRIM(LEFT(Tasks[[#This Row],[_Res4Text]],FIND("[",Tasks[[#This Row],[_Res4Text]]&amp;"[")-1))))</f>
        <v/>
      </c>
      <c r="EI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3" t="n">
        <f aca="false">IF(OR(NOT(Tasks[[#This Row],[_IsLeaf]]=1),Tasks[[#This Row],[_Res4Row]]=0),0,N(Tasks[[#This Row],[_Days]])*HoursPerDay*IF(Tasks[[#This Row],[_Res4Units]]="",DefaultUnits,Tasks[[#This Row],[_Res4Units]]))</f>
        <v>0</v>
      </c>
      <c r="EK52" s="43" t="n">
        <f aca="false">IF(AND(AND(Tasks[[#This Row],[_IsLeaf]]=1,Tasks[[#This Row],[_LeafTotalWork]]&gt;0),Tasks[[#This Row],[_Res4Work]]&gt;0),Tasks[[#This Row],[_Res4Work]]/(Tasks[[#This Row],[_FinishWorkday]]-Tasks[[#This Row],[_StartWorkday]]+1),0)</f>
        <v>0</v>
      </c>
      <c r="EL52" s="43" t="n">
        <f aca="false">Tasks[[#This Row],[_Res4WorkPerWD]]*MAX(0,Tasks[[#This Row],[_StartWorkday]]-1)</f>
        <v>0</v>
      </c>
      <c r="EM52" s="43" t="n">
        <f aca="false">Tasks[[#This Row],[_Res4Work]]*Tasks[[#This Row],[_LeafProgress]]</f>
        <v>0</v>
      </c>
      <c r="EN52" s="43" t="n">
        <f aca="false">IF(ISNUMBER(Tasks[[#This Row],[% Complete]]),Tasks[[#This Row],[% Complete]],IF(Tasks[[#This Row],[Stage]]="",0,IFERROR(INDEX(stg_Pct,MATCH(Tasks[[#This Row],[Stage]],stg_Name,0)),0)))</f>
        <v>0</v>
      </c>
      <c r="EO52" s="43" t="n">
        <f aca="false">IF(NOT(Tasks[[#This Row],[_IsLeaf]]=1),0,IF(N(Tasks[[#This Row],[Actual Finish]])&gt;0,1,MIN(1,Tasks[[#This Row],[_Pct]])))</f>
        <v>0</v>
      </c>
      <c r="EP52" s="43" t="n">
        <f aca="false">IF(OR(NOT(Tasks[[#This Row],[_IsLeaf]]=1),Tasks[[#This Row],[_Res1Row]]=0),0,N(Tasks[[#This Row],[_Days]])*HoursPerDay*IF(Tasks[[#This Row],[_Units1]]="",DefaultUnits,Tasks[[#This Row],[_Units1]]))</f>
        <v>0</v>
      </c>
      <c r="EQ52" s="43" t="n">
        <f aca="false">Tasks[[#This Row],[_LeafWork]]+Tasks[[#This Row],[_Res2Work]]+Tasks[[#This Row],[_Res3Work]]+Tasks[[#This Row],[_Res4Work]]</f>
        <v>0</v>
      </c>
      <c r="ER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3" t="n">
        <f aca="false">IF(NOT(Tasks[[#This Row],[_IsLeaf]]=1),0,MAX(_xlfn.MAXIFS(Tasks[_Row],Tasks[_Pred1UID],Tasks[[#This Row],[UID]]),_xlfn.MAXIFS(Tasks[_Row],Tasks[_Pred2UID],Tasks[[#This Row],[UID]]),_xlfn.MAXIFS(Tasks[_Row],Tasks[_Pred3UID],Tasks[[#This Row],[UID]]),_xlfn.MAXIFS(Tasks[_Row],Tasks[_Pred4UID],Tasks[[#This Row],[UID]])))</f>
        <v>0</v>
      </c>
      <c r="FA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91" t="str">
        <f aca="false">IF(NOT(Tasks[[#This Row],[_IsLeaf]]=1),"",IF(N(Tasks[[#This Row],[_Days]])&lt;=0,Tasks[[#This Row],[_LeafLateFinish]],WORKDAY.INTL(Tasks[[#This Row],[_LeafLateFinish]],-(Tasks[[#This Row],[_Days]]-1),WorkWeek,Holidays)))</f>
        <v/>
      </c>
      <c r="FD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2" s="90" t="b">
        <f aca="false">AND(Tasks[[#This Row],[_IsLeaf]]=1,Tasks[[#This Row],[_LeafProgress]]&lt;1,N(Tasks[[#This Row],[_LeafTotalSlack]])&lt;=CriticalSlackDays)</f>
        <v>0</v>
      </c>
      <c r="FF52" s="43" t="n">
        <f aca="false">IF(AND(Tasks[[#This Row],[_IsLeaf]]=1,Tasks[[#This Row],[_ConstraintCode]]=1,Tasks[[#This Row],[Mode]]&lt;&gt;"Manual",N(Tasks[[#This Row],[Actual Start]])=0),MAX(0,N(Tasks[[#This Row],[Free Slack]])),0)</f>
        <v>0</v>
      </c>
      <c r="FG52" s="91" t="str">
        <f aca="false">IF(NOT(Tasks[[#This Row],[_IsLeaf]]=1),"",IF(Tasks[[#This Row],[_AlapShift]]=0,Tasks[[#This Row],[_LeafCalcStart]],WORKDAY.INTL(Tasks[[#This Row],[_LeafCalcStart]],Tasks[[#This Row],[_AlapShift]],WorkWeek,Holidays)))</f>
        <v/>
      </c>
      <c r="FH52" s="91" t="str">
        <f aca="false">IF(NOT(Tasks[[#This Row],[_IsLeaf]]=1),"",IF(Tasks[[#This Row],[_AlapShift]]=0,Tasks[[#This Row],[_LeafCalcFinish]],WORKDAY.INTL(Tasks[[#This Row],[_LeafCalcFinish]],Tasks[[#This Row],[_AlapShift]],WorkWeek,Holidays)))</f>
        <v/>
      </c>
      <c r="FI52" s="91" t="str">
        <f aca="false">IF(NOT(Tasks[[#This Row],[_IsLeaf]]=1),"",IF(Tasks[[#This Row],[_AlapShift]]=0,Tasks[[#This Row],[_LeafFcstStart]],WORKDAY.INTL(Tasks[[#This Row],[_LeafFcstStart]],Tasks[[#This Row],[_AlapShift]],WorkWeek,Holidays)))</f>
        <v/>
      </c>
      <c r="FJ52" s="91" t="str">
        <f aca="false">IF(NOT(Tasks[[#This Row],[_IsLeaf]]=1),"",IF(Tasks[[#This Row],[_AlapShift]]=0,Tasks[[#This Row],[_LeafFcstFinish]],WORKDAY.INTL(Tasks[[#This Row],[_LeafFcstFinish]],Tasks[[#This Row],[_AlapShift]],WorkWeek,Holidays)))</f>
        <v/>
      </c>
      <c r="FK52" s="91" t="str">
        <f aca="false">IF(Tasks[[#This Row],[Task Name]]="","",IF(Tasks[[#This Row],[_IsSummary]],MIN(INDEX(Tasks[_ShownCalcStart],Tasks[[#This Row],[_Row]]+1):INDEX(Tasks[_ShownCalcStart],Tasks[[#This Row],[_Row]]+Tasks[[#This Row],[_Descendants]])),Tasks[[#This Row],[_ShownCalcStart]]))</f>
        <v/>
      </c>
      <c r="FL52" s="91" t="str">
        <f aca="false">IF(Tasks[[#This Row],[Task Name]]="","",IF(Tasks[[#This Row],[_IsSummary]],MAX(INDEX(Tasks[_ShownCalcFinish],Tasks[[#This Row],[_Row]]+1):INDEX(Tasks[_ShownCalcFinish],Tasks[[#This Row],[_Row]]+Tasks[[#This Row],[_Descendants]])),Tasks[[#This Row],[_ShownCalcFinish]]))</f>
        <v/>
      </c>
      <c r="FM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2" s="43" t="n">
        <f aca="false">IF(AND(Tasks[[#This Row],[_IsLeaf]]=1,Tasks[[#This Row],[_LeafTotalWork]]&gt;0),NETWORKDAYS.INTL(ProjectStart,Tasks[[#This Row],[_ShownFcstStart]],WorkWeek,Holidays),0)</f>
        <v>0</v>
      </c>
      <c r="FZ52" s="43" t="n">
        <f aca="false">IF(AND(Tasks[[#This Row],[_IsLeaf]]=1,Tasks[[#This Row],[_LeafTotalWork]]&gt;0),MAX(Tasks[[#This Row],[_StartWorkday]],NETWORKDAYS.INTL(ProjectStart,Tasks[[#This Row],[_ShownFcstFinish]],WorkWeek,Holidays)),0)</f>
        <v>0</v>
      </c>
      <c r="GA52" s="43" t="n">
        <f aca="false">IF(AND(Tasks[[#This Row],[_IsLeaf]]=1,Tasks[[#This Row],[_LeafTotalWork]]&gt;0),Tasks[[#This Row],[_LeafWork]]/(Tasks[[#This Row],[_FinishWorkday]]-Tasks[[#This Row],[_StartWorkday]]+1),0)</f>
        <v>0</v>
      </c>
      <c r="GB52" s="43" t="n">
        <f aca="false">Tasks[[#This Row],[_WorkPerWorkday]]*(Tasks[[#This Row],[_StartWorkday]]-1)</f>
        <v>-0</v>
      </c>
      <c r="GC52" s="43" t="n">
        <f aca="false">IF(Tasks[[#This Row],[_IsLeaf]]=1,MAX(N(Tasks[[#This Row],[_Days]]),0.1),0)</f>
        <v>0</v>
      </c>
      <c r="GD52" s="43" t="n">
        <f aca="false">Tasks[[#This Row],[_WeightDur]]*Tasks[[#This Row],[_LeafProgress]]</f>
        <v>0</v>
      </c>
      <c r="GE52" s="43" t="n">
        <f aca="false">Tasks[[#This Row],[_WeightDur]]*Tasks[[#This Row],[_PlannedPct]]</f>
        <v>0</v>
      </c>
      <c r="GF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3" t="str">
        <f aca="false">IF(AND(Tasks[[#This Row],[_IsLeaf]]=1,N(Tasks[[#This Row],[_Days]])=0,Tasks[[#This Row],[_LeafProgress]]&lt;1),Tasks[[#This Row],[_ShownFcstFinish]]+Tasks[[#This Row],[_Row]]/100000,"")</f>
        <v/>
      </c>
      <c r="GH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2" s="43" t="str">
        <f aca="false">IF(Tasks[[#This Row],[Task Name]]="","",LEFT(Tasks[[#This Row],[WBS]],FIND(".",Tasks[[#This Row],[WBS]]&amp;".")-1))</f>
        <v/>
      </c>
      <c r="GJ52" s="43" t="str">
        <f aca="false">IF(AND(Tasks[[#This Row],[Task Name]]&lt;&gt;"",Tasks[[#This Row],[_Level]]=1),Tasks[[#This Row],[_Row]],"")</f>
        <v/>
      </c>
      <c r="GK52" s="43" t="str">
        <f aca="false">IF(AND(Tasks[[#This Row],[_IsLeaf]]=1,N(Tasks[[#This Row],[_Days]])=0),Tasks[[#This Row],[Planned Finish]]+Tasks[[#This Row],[_Row]]/100000,"")</f>
        <v/>
      </c>
      <c r="GL52" s="43" t="str">
        <f aca="false">IF(AND(Tasks[[#This Row],[_IsLeaf]]=1,Tasks[[#This Row],[_LeafProgress]]&lt;1,OR(N(Tasks[[#This Row],[Finish Var]])&gt;0,Tasks[[#This Row],[Status]]="Late Start")),MAX(0,Tasks[[#This Row],[Finish Var]])+1-Tasks[[#This Row],[_Row]]/1000000,"")</f>
        <v/>
      </c>
      <c r="GM52" s="43" t="str">
        <f aca="false">IF(AND(Tasks[[#This Row],[_IsLeaf]]=1,N(Tasks[[#This Row],[Actual Start]])=0,Tasks[[#This Row],[_ShownFcstStart]]&gt;=StatusDate,Tasks[[#This Row],[_ShownFcstStart]]&lt;=LookaheadEnd),Tasks[[#This Row],[_ShownFcstStart]]+Tasks[[#This Row],[_Row]]/100000,"")</f>
        <v/>
      </c>
      <c r="GN52" s="43" t="str">
        <f aca="false">IF(AND(Tasks[[#This Row],[_IsLeaf]]=1,Tasks[[#This Row],[_LeafProgress]]&lt;1,Tasks[[#This Row],[_ShownFcstFinish]]&gt;=StatusDate,Tasks[[#This Row],[_ShownFcstFinish]]&lt;=LookaheadEnd),Tasks[[#This Row],[_ShownFcstFinish]]+Tasks[[#This Row],[_Row]]/100000,"")</f>
        <v/>
      </c>
      <c r="GO52" s="43" t="str">
        <f aca="false">IF(Tasks[[#This Row],[_LeafCritical]],Tasks[[#This Row],[_ShownFcstStart]]+Tasks[[#This Row],[_Row]]/100000,"")</f>
        <v/>
      </c>
      <c r="GP52" s="43" t="n">
        <f aca="false">Tasks[[#This Row],[_LeafWork]]*Tasks[[#This Row],[_LeafProgress]]</f>
        <v>0</v>
      </c>
      <c r="GQ52" s="91" t="str">
        <f aca="false">IF(AND(Tasks[[#This Row],[_IsLeaf]]=1,Tasks[[#This Row],[_LeafProgress]]&gt;=1),IF(N(Tasks[[#This Row],[Actual Finish]])&gt;0,Tasks[[#This Row],[Actual Finish]],Tasks[[#This Row],[_ShownFcstFinish]]),"")</f>
        <v/>
      </c>
      <c r="GR52" s="43" t="n">
        <f aca="false">IF(Tasks[[#This Row],[_IsLeaf]]=1,N(Tasks[[#This Row],[Story Points]]),0)</f>
        <v>0</v>
      </c>
      <c r="GS52" s="43" t="str">
        <f aca="false">""</f>
        <v/>
      </c>
      <c r="GT52" s="90" t="b">
        <f aca="false">IF(Tasks[[#This Row],[Task Name]]="",FALSE(),AND(Tasks[[#This Row],[_IsLeaf]]=1,N(Tasks[[#This Row],[_Days]])=0))</f>
        <v>0</v>
      </c>
      <c r="GU52" s="91" t="n">
        <f aca="false">IF(Tasks[[#This Row],[Task Name]]="",0,IF(AND(Tasks[[#This Row],[_IsLeaf]]=1,NOT(Tasks[[#This Row],[_IsMilestone]]),N(Tasks[[#This Row],[Progress]])&gt;0),Tasks[[#This Row],[Start]],0))</f>
        <v>0</v>
      </c>
      <c r="GV52" s="91" t="n">
        <f aca="false">IF(Tasks[[#This Row],[_DoneFrom]]=0,0,IF(Tasks[[#This Row],[Progress]]&gt;=1,Tasks[[#This Row],[Finish]],MAX(Tasks[[#This Row],[_DoneFrom]],Tasks[[#This Row],[Start]]+ROUND((Tasks[[#This Row],[Finish]]-Tasks[[#This Row],[Start]]+1)*Tasks[[#This Row],[Progress]],0)-1)))</f>
        <v>0</v>
      </c>
      <c r="GW52" s="91" t="n">
        <f aca="false">IF(Tasks[[#This Row],[Task Name]]="",0,IF(OR(NOT(Tasks[[#This Row],[_IsLeaf]]=1),Tasks[[#This Row],[_IsMilestone]],N(Tasks[[#This Row],[Progress]])&gt;=1),0,IF(Tasks[[#This Row],[_DoneTo]]&gt;0,Tasks[[#This Row],[_DoneTo]]+1,Tasks[[#This Row],[Start]])))</f>
        <v>0</v>
      </c>
      <c r="GX52" s="91" t="n">
        <f aca="false">IF(Tasks[[#This Row],[_RemFrom]]=0,0,Tasks[[#This Row],[Finish]])</f>
        <v>0</v>
      </c>
      <c r="GY52" s="90" t="b">
        <f aca="false">IF(Tasks[[#This Row],[Task Name]]="",FALSE(),OR(NOT(BaselineSet),N(Tasks[[#This Row],[Baseline Start]])&gt;0))</f>
        <v>0</v>
      </c>
      <c r="GZ5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92" t="str">
        <f aca="false">IF(Tasks[[#This Row],[_IsLeaf]]=1,Tasks[[#This Row],[_Row]],"")</f>
        <v/>
      </c>
      <c r="HD52" s="92" t="str">
        <f aca="false">IFERROR(INDEX(Tasks[UID],SMALL(Tasks[_PickKey],Tasks[[#This Row],[_Row]]))&amp;" "&amp;INDEX(Tasks[Task Name],SMALL(Tasks[_PickKey],Tasks[[#This Row],[_Row]])),"")</f>
        <v/>
      </c>
      <c r="HE52" s="43" t="str">
        <f aca="false">IF(Tasks[[#This Row],[Task Name]]="","",IF(Tasks[[#This Row],[_IsSummary]],NETWORKDAYS.INTL(Tasks[[#This Row],[Start]],Tasks[[#This Row],[Finish]],WorkWeek,Holidays),N(Tasks[[#This Row],[_Days]])))</f>
        <v/>
      </c>
      <c r="HF52" s="43" t="n">
        <f aca="false">IF(Tasks[[#This Row],[Expected]]="",0,((Tasks[[#This Row],[Pessimistic]]-Tasks[[#This Row],[Optimistic]])/6)^2)</f>
        <v>0</v>
      </c>
      <c r="HG52" s="43" t="n">
        <f aca="false">IF(Tasks[[#This Row],[Expected]]="",0,Tasks[[#This Row],[Expected]]-N(Tasks[[#This Row],[_Days]]))</f>
        <v>0</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4"/>
      <c r="U53" s="23"/>
      <c r="V53" s="84"/>
      <c r="W53" s="23"/>
      <c r="X53" s="84"/>
      <c r="Y53" s="23"/>
      <c r="Z53" s="84"/>
      <c r="AA53" s="23"/>
      <c r="AB53" s="23"/>
      <c r="AC53" s="7"/>
      <c r="AD53" s="7"/>
      <c r="AE53" s="63" t="str">
        <f aca="false">IF(Tasks[[#This Row],[Task Name]]="","",IF(Tasks[[#This Row],[_IsSummary]],MIN(INDEX(Tasks[_ShownFcstStart],Tasks[[#This Row],[_Row]]+1):INDEX(Tasks[_ShownFcstStart],Tasks[[#This Row],[_Row]]+Tasks[[#This Row],[_Descendants]])),Tasks[[#This Row],[_ShownFcstStart]]))</f>
        <v/>
      </c>
      <c r="AF53" s="63"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3" s="7"/>
      <c r="AK53" s="22"/>
      <c r="AL53" s="23"/>
      <c r="AM53" s="7"/>
      <c r="AN53" s="47"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3" t="str">
        <f aca="false">IF(Tasks[[#This Row],[Task Name]]="","",IF(N(Tasks[[#This Row],[Baseline Start]])&gt;0,Tasks[[#This Row],[Baseline Start]],Tasks[[#This Row],[_CalcStart]]))</f>
        <v/>
      </c>
      <c r="AR53" s="63" t="str">
        <f aca="false">IF(Tasks[[#This Row],[Task Name]]="","",IF(N(Tasks[[#This Row],[Baseline Finish]])&gt;0,Tasks[[#This Row],[Baseline Finish]],Tasks[[#This Row],[_CalcFinish]]))</f>
        <v/>
      </c>
      <c r="AS53" s="47" t="str">
        <f aca="false">IF(Tasks[[#This Row],[Task Name]]="","",IF(Tasks[[#This Row],[Start]]&gt;=Tasks[[#This Row],[Planned Start]],NETWORKDAYS.INTL(Tasks[[#This Row],[Planned Start]],Tasks[[#This Row],[Start]],WorkWeek,Holidays)-1,1-NETWORKDAYS.INTL(Tasks[[#This Row],[Start]],Tasks[[#This Row],[Planned Start]],WorkWeek,Holidays)))</f>
        <v/>
      </c>
      <c r="AT53" s="63" t="str">
        <f aca="false">IF(Tasks[[#This Row],[Task Name]]="","",IF(Tasks[[#This Row],[_IsSummary]],MIN(INDEX(Tasks[_LeafLateStart],Tasks[[#This Row],[_Row]]+1):INDEX(Tasks[_LeafLateStart],Tasks[[#This Row],[_Row]]+Tasks[[#This Row],[_Descendants]])),Tasks[[#This Row],[_LeafLateStart]]))</f>
        <v/>
      </c>
      <c r="AU53" s="63" t="str">
        <f aca="false">IF(Tasks[[#This Row],[Task Name]]="","",IF(Tasks[[#This Row],[_IsSummary]],MAX(INDEX(Tasks[_LeafLateFinish],Tasks[[#This Row],[_Row]]+1):INDEX(Tasks[_LeafLateFinish],Tasks[[#This Row],[_Row]]+Tasks[[#This Row],[_Descendants]])),Tasks[[#This Row],[_LeafLateFinish]]))</f>
        <v/>
      </c>
      <c r="AV53" s="47"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5"/>
      <c r="BA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6"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7"/>
      <c r="BJ53" s="22"/>
      <c r="BK53" s="47" t="str">
        <f aca="false">IF(OR(Tasks[[#This Row],[Task Name]]="",Tasks[[#This Row],[Baseline Duration]]=""),"",Tasks[[#This Row],[_SpanDays]]-N(Tasks[[#This Row],[Baseline Duration]]))</f>
        <v/>
      </c>
      <c r="BL53" s="86" t="str">
        <f aca="false">IF(OR(Tasks[[#This Row],[Task Name]]="",Tasks[[#This Row],[Baseline Work]]=""),"",Tasks[[#This Row],[Work]]-N(Tasks[[#This Row],[Baseline Work]]))</f>
        <v/>
      </c>
      <c r="BM53" s="63" t="str">
        <f aca="false">IF(Tasks[[#This Row],[Task Name]]="","",IF(OR(TakeBaseline="Yes",N(Tasks[[#This Row],[Baseline Start]])=0),Tasks[[#This Row],[Start]],Tasks[[#This Row],[Baseline Start]]))</f>
        <v/>
      </c>
      <c r="BN53" s="63" t="str">
        <f aca="false">IF(Tasks[[#This Row],[Task Name]]="","",IF(OR(TakeBaseline="Yes",N(Tasks[[#This Row],[Baseline Finish]])=0),Tasks[[#This Row],[Finish]],Tasks[[#This Row],[Baseline Finish]]))</f>
        <v/>
      </c>
      <c r="BO53" s="21" t="str">
        <f aca="false">IF(Tasks[[#This Row],[Task Name]]="","",IF(OR(TakeBaseline="Yes",N(Tasks[[#This Row],[Baseline Duration]])=0),Tasks[[#This Row],[_SpanDays]],Tasks[[#This Row],[Baseline Duration]]))</f>
        <v/>
      </c>
      <c r="BP53" s="86" t="str">
        <f aca="false">IF(Tasks[[#This Row],[Task Name]]="","",IF(OR(TakeBaseline="Yes",N(Tasks[[#This Row],[Baseline Work]])=0),Tasks[[#This Row],[Work]],Tasks[[#This Row],[Baseline Work]]))</f>
        <v/>
      </c>
      <c r="BQ53" s="7"/>
      <c r="BR53" s="7"/>
      <c r="BS53" s="22"/>
      <c r="BT53" s="88"/>
      <c r="BU53" s="23"/>
      <c r="BV53" s="23"/>
      <c r="BW53" s="23"/>
      <c r="BX53" s="89" t="str">
        <f aca="false">IF(AND(Tasks[[#This Row],[_IsLeaf]]=1,ISNUMBER(Tasks[[#This Row],[Optimistic]]),ISNUMBER(Tasks[[#This Row],[Pessimistic]])),ROUND((Tasks[[#This Row],[Optimistic]]+4*N(Tasks[[#This Row],[_Days]])+Tasks[[#This Row],[Pessimistic]])/6,1),"")</f>
        <v/>
      </c>
      <c r="BY53" s="87"/>
      <c r="BZ53" s="87"/>
      <c r="CA53" s="22"/>
      <c r="CB53" s="43" t="str">
        <f aca="false">IF(Tasks[[#This Row],[Task Name]]="","",MAX(1,N(Tasks[[#This Row],[Level]])))</f>
        <v/>
      </c>
      <c r="CC53" s="43" t="n">
        <f aca="false">ROW()-ROW(Tasks[[#Headers],[ID]])</f>
        <v>48</v>
      </c>
      <c r="CD53" s="43" t="n">
        <f aca="false">IF(OR(Tasks[[#This Row],[Task Name]]="",Tasks[[#This Row],[_Level]]&lt;=1),0,IFERROR(LOOKUP(2,1/(Tasks[[#Headers],[_Level]]:Tasks[[#This Row],[_Level]]=Tasks[[#This Row],[_Level]]-1),ROW(Tasks[[#Headers],[_Level]]:Tasks[[#This Row],[_Level]])),0))</f>
        <v>0</v>
      </c>
      <c r="CE53" s="43" t="n">
        <f aca="false">IFERROR(N(INDEX(Tasks[_Level],Tasks[[#This Row],[_Row]]+1)),0)</f>
        <v>0</v>
      </c>
      <c r="CF53" s="90" t="b">
        <f aca="false">AND(Tasks[[#This Row],[Task Name]]&lt;&gt;"",Tasks[[#This Row],[_NextLevel]]&gt;Tasks[[#This Row],[_Level]])</f>
        <v>0</v>
      </c>
      <c r="CG53" s="43" t="n">
        <f aca="false">IF(Tasks[[#This Row],[_IsSummary]],COUNTIF(Tasks[WBS],Tasks[[#This Row],[WBS]]&amp;".*"),0)</f>
        <v>0</v>
      </c>
      <c r="CH53" s="43" t="n">
        <f aca="false">IF(AND(Tasks[[#This Row],[Task Name]]&lt;&gt;"",NOT(Tasks[[#This Row],[_IsSummary]])),1,0)</f>
        <v>0</v>
      </c>
      <c r="CI53" s="43" t="n">
        <f aca="false">IF(N(Tasks[[#This Row],[_Pred1UID]])=0,0,IFERROR(MATCH(Tasks[[#This Row],[_Pred1UID]],Tasks[UID],0),-1))</f>
        <v>0</v>
      </c>
      <c r="CJ53" s="43" t="n">
        <f aca="false">IF(N(Tasks[[#This Row],[_Pred2UID]])=0,0,IFERROR(MATCH(Tasks[[#This Row],[_Pred2UID]],Tasks[UID],0),-1))</f>
        <v>0</v>
      </c>
      <c r="CK53" s="43" t="n">
        <f aca="false">IF(N(Tasks[[#This Row],[_Pred3UID]])=0,0,IFERROR(MATCH(Tasks[[#This Row],[_Pred3UID]],Tasks[UID],0),-1))</f>
        <v>0</v>
      </c>
      <c r="CL53" s="43" t="n">
        <f aca="false">IF(N(Tasks[[#This Row],[_Pred4UID]])=0,0,IFERROR(MATCH(Tasks[[#This Row],[_Pred4UID]],Tasks[UID],0),-1))</f>
        <v>0</v>
      </c>
      <c r="CM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3" s="91" t="n">
        <f aca="false">IF(OR(Tasks[[#This Row],[_ConstraintCode]]=2,Tasks[[#This Row],[_ConstraintCode]]=3,Tasks[[#This Row],[_ConstraintCode]]=4,Tasks[[#This Row],[_ConstraintCode]]=6),Tasks[[#This Row],[_ConstraintStart]],0)</f>
        <v>0</v>
      </c>
      <c r="CP53" s="91" t="n">
        <f aca="false">IF(OR(Tasks[[#This Row],[_ConstraintCode]]=2,Tasks[[#This Row],[_ConstraintCode]]=3,Tasks[[#This Row],[_ConstraintCode]]=5,Tasks[[#This Row],[_ConstraintCode]]=7),Tasks[[#This Row],[_ConstraintStart]],2958465)</f>
        <v>2958465</v>
      </c>
      <c r="CQ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91" t="str">
        <f aca="false">IF(NOT(Tasks[[#This Row],[_IsLeaf]]=1),"",IF(N(Tasks[[#This Row],[_Days]])&lt;=0,Tasks[[#This Row],[_LeafCalcStart]],WORKDAY.INTL(Tasks[[#This Row],[_LeafCalcStart]],Tasks[[#This Row],[_Days]]-1,WorkWeek,Holidays)))</f>
        <v/>
      </c>
      <c r="CS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3" t="str">
        <f aca="false">IF(Tasks[[#This Row],[_Predecessors]]="","",TRIM(MID(SUBSTITUTE(SUBSTITUTE(SUBSTITUTE(UPPER(Tasks[[#This Row],[_Predecessors]]),";",",")," ",""),",",REPT(" ",99)),1,99)))</f>
        <v/>
      </c>
      <c r="CV53" s="43" t="str">
        <f aca="false">IF(Tasks[[#This Row],[_Pred1Text]]="","",IFERROR(VALUE(LEFT(Tasks[[#This Row],[_Pred1Text]],MIN(FIND("F",Tasks[[#This Row],[_Pred1Text]]&amp;"F"),FIND("S",Tasks[[#This Row],[_Pred1Text]]&amp;"S"),FIND("+",Tasks[[#This Row],[_Pred1Text]]&amp;"+"),FIND("-",Tasks[[#This Row],[_Pred1Text]]&amp;"-"))-1)),""))</f>
        <v/>
      </c>
      <c r="CW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3" t="str">
        <f aca="false">IF(Tasks[[#This Row],[_Pred1Text]]="","",TRIM(MID(SUBSTITUTE(SUBSTITUTE(SUBSTITUTE(UPPER(Tasks[[#This Row],[_Predecessors]]),";",",")," ",""),",",REPT(" ",99)),100,99)))</f>
        <v/>
      </c>
      <c r="CZ53" s="43" t="str">
        <f aca="false">IF(Tasks[[#This Row],[_Pred2Text]]="","",IFERROR(VALUE(LEFT(Tasks[[#This Row],[_Pred2Text]],MIN(FIND("F",Tasks[[#This Row],[_Pred2Text]]&amp;"F"),FIND("S",Tasks[[#This Row],[_Pred2Text]]&amp;"S"),FIND("+",Tasks[[#This Row],[_Pred2Text]]&amp;"+"),FIND("-",Tasks[[#This Row],[_Pred2Text]]&amp;"-"))-1)),""))</f>
        <v/>
      </c>
      <c r="DA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3" t="str">
        <f aca="false">IF(Tasks[[#This Row],[_Pred2Text]]="","",TRIM(MID(SUBSTITUTE(SUBSTITUTE(SUBSTITUTE(UPPER(Tasks[[#This Row],[_Predecessors]]),";",",")," ",""),",",REPT(" ",99)),199,99)))</f>
        <v/>
      </c>
      <c r="DD53" s="43" t="str">
        <f aca="false">IF(Tasks[[#This Row],[_Pred3Text]]="","",IFERROR(VALUE(LEFT(Tasks[[#This Row],[_Pred3Text]],MIN(FIND("F",Tasks[[#This Row],[_Pred3Text]]&amp;"F"),FIND("S",Tasks[[#This Row],[_Pred3Text]]&amp;"S"),FIND("+",Tasks[[#This Row],[_Pred3Text]]&amp;"+"),FIND("-",Tasks[[#This Row],[_Pred3Text]]&amp;"-"))-1)),""))</f>
        <v/>
      </c>
      <c r="DE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3" t="str">
        <f aca="false">IF(Tasks[[#This Row],[_Pred3Text]]="","",TRIM(MID(SUBSTITUTE(SUBSTITUTE(SUBSTITUTE(UPPER(Tasks[[#This Row],[_Predecessors]]),";",",")," ",""),",",REPT(" ",99)),298,99)))</f>
        <v/>
      </c>
      <c r="DH53" s="43" t="str">
        <f aca="false">IF(Tasks[[#This Row],[_Pred4Text]]="","",IFERROR(VALUE(LEFT(Tasks[[#This Row],[_Pred4Text]],MIN(FIND("F",Tasks[[#This Row],[_Pred4Text]]&amp;"F"),FIND("S",Tasks[[#This Row],[_Pred4Text]]&amp;"S"),FIND("+",Tasks[[#This Row],[_Pred4Text]]&amp;"+"),FIND("-",Tasks[[#This Row],[_Pred4Text]]&amp;"-"))-1)),""))</f>
        <v/>
      </c>
      <c r="DI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3" t="str">
        <f aca="false">IF(OR(Tasks[[#This Row],[Task Name]]="",Tasks[[#This Row],[_Resources]]=""),"",TRIM(MID(SUBSTITUTE(Tasks[[#This Row],[_Resources]],",",REPT(" ",99)),1,99)))</f>
        <v/>
      </c>
      <c r="DL53" s="43" t="str">
        <f aca="false">IF(Tasks[[#This Row],[_Res1Text]]="","",TRIM(MID(SUBSTITUTE(Tasks[[#This Row],[_Resources]],",",REPT(" ",99)),100,99)))</f>
        <v/>
      </c>
      <c r="DM53" s="43" t="str">
        <f aca="false">IF(Tasks[[#This Row],[_Res2Text]]="","",TRIM(MID(SUBSTITUTE(Tasks[[#This Row],[_Resources]],",",REPT(" ",99)),199,99)))</f>
        <v/>
      </c>
      <c r="DN53" s="43" t="str">
        <f aca="false">IF(Tasks[[#This Row],[_Res3Text]]="","",TRIM(MID(SUBSTITUTE(Tasks[[#This Row],[_Resources]],",",REPT(" ",99)),298,99)))</f>
        <v/>
      </c>
      <c r="DO53" s="43" t="n">
        <f aca="false">IF(Tasks[[#This Row],[_Res1Text]]="",0,IFERROR(MATCH(TRIM(LEFT(Tasks[[#This Row],[_Res1Text]],FIND("[",Tasks[[#This Row],[_Res1Text]]&amp;"[")-1)),res_Name,0),IFERROR(MATCH(TRIM(LEFT(Tasks[[#This Row],[_Res1Text]],FIND("[",Tasks[[#This Row],[_Res1Text]]&amp;"[")-1)),res_Initials,0),0)))</f>
        <v>0</v>
      </c>
      <c r="DP53" s="43" t="n">
        <f aca="false">IF(Tasks[[#This Row],[_Res2Text]]="",0,IFERROR(MATCH(TRIM(LEFT(Tasks[[#This Row],[_Res2Text]],FIND("[",Tasks[[#This Row],[_Res2Text]]&amp;"[")-1)),res_Name,0),IFERROR(MATCH(TRIM(LEFT(Tasks[[#This Row],[_Res2Text]],FIND("[",Tasks[[#This Row],[_Res2Text]]&amp;"[")-1)),res_Initials,0),0)))</f>
        <v>0</v>
      </c>
      <c r="DQ53" s="43" t="n">
        <f aca="false">IF(Tasks[[#This Row],[_Res3Text]]="",0,IFERROR(MATCH(TRIM(LEFT(Tasks[[#This Row],[_Res3Text]],FIND("[",Tasks[[#This Row],[_Res3Text]]&amp;"[")-1)),res_Name,0),IFERROR(MATCH(TRIM(LEFT(Tasks[[#This Row],[_Res3Text]],FIND("[",Tasks[[#This Row],[_Res3Text]]&amp;"[")-1)),res_Initials,0),0)))</f>
        <v>0</v>
      </c>
      <c r="DR53" s="43" t="n">
        <f aca="false">IF(Tasks[[#This Row],[_Res4Text]]="",0,IFERROR(MATCH(TRIM(LEFT(Tasks[[#This Row],[_Res4Text]],FIND("[",Tasks[[#This Row],[_Res4Text]]&amp;"[")-1)),res_Name,0),IFERROR(MATCH(TRIM(LEFT(Tasks[[#This Row],[_Res4Text]],FIND("[",Tasks[[#This Row],[_Res4Text]]&amp;"[")-1)),res_Initials,0),0)))</f>
        <v>0</v>
      </c>
      <c r="DS53" s="43" t="str">
        <f aca="false">IF(Tasks[[#This Row],[_Res1Text]]="","",IF(Tasks[[#This Row],[_Res1Row]]&gt;0,INDEX(res_Name,Tasks[[#This Row],[_Res1Row]]),TRIM(LEFT(Tasks[[#This Row],[_Res1Text]],FIND("[",Tasks[[#This Row],[_Res1Text]]&amp;"[")-1))))</f>
        <v/>
      </c>
      <c r="DT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3" t="n">
        <f aca="false">IF(NOT(Tasks[[#This Row],[_IsLeaf]]=1),0,(Tasks[[#This Row],[_Resource1]]&lt;&gt;"")+(Tasks[[#This Row],[_Res2]]&lt;&gt;"")+(Tasks[[#This Row],[_Res3]]&lt;&gt;"")+(Tasks[[#This Row],[_Res4]]&lt;&gt;""))</f>
        <v>0</v>
      </c>
      <c r="DV53" s="43" t="str">
        <f aca="false">IF(Tasks[[#This Row],[_Res2Text]]="","",IF(Tasks[[#This Row],[_Res2Row]]&gt;0,INDEX(res_Name,Tasks[[#This Row],[_Res2Row]]),TRIM(LEFT(Tasks[[#This Row],[_Res2Text]],FIND("[",Tasks[[#This Row],[_Res2Text]]&amp;"[")-1))))</f>
        <v/>
      </c>
      <c r="DW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3" t="n">
        <f aca="false">IF(OR(NOT(Tasks[[#This Row],[_IsLeaf]]=1),Tasks[[#This Row],[_Res2Row]]=0),0,N(Tasks[[#This Row],[_Days]])*HoursPerDay*IF(Tasks[[#This Row],[_Res2Units]]="",DefaultUnits,Tasks[[#This Row],[_Res2Units]]))</f>
        <v>0</v>
      </c>
      <c r="DY53" s="43" t="n">
        <f aca="false">IF(AND(AND(Tasks[[#This Row],[_IsLeaf]]=1,Tasks[[#This Row],[_LeafTotalWork]]&gt;0),Tasks[[#This Row],[_Res2Work]]&gt;0),Tasks[[#This Row],[_Res2Work]]/(Tasks[[#This Row],[_FinishWorkday]]-Tasks[[#This Row],[_StartWorkday]]+1),0)</f>
        <v>0</v>
      </c>
      <c r="DZ53" s="43" t="n">
        <f aca="false">Tasks[[#This Row],[_Res2WorkPerWD]]*MAX(0,Tasks[[#This Row],[_StartWorkday]]-1)</f>
        <v>0</v>
      </c>
      <c r="EA53" s="43" t="n">
        <f aca="false">Tasks[[#This Row],[_Res2Work]]*Tasks[[#This Row],[_LeafProgress]]</f>
        <v>0</v>
      </c>
      <c r="EB53" s="43" t="str">
        <f aca="false">IF(Tasks[[#This Row],[_Res3Text]]="","",IF(Tasks[[#This Row],[_Res3Row]]&gt;0,INDEX(res_Name,Tasks[[#This Row],[_Res3Row]]),TRIM(LEFT(Tasks[[#This Row],[_Res3Text]],FIND("[",Tasks[[#This Row],[_Res3Text]]&amp;"[")-1))))</f>
        <v/>
      </c>
      <c r="EC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3" t="n">
        <f aca="false">IF(OR(NOT(Tasks[[#This Row],[_IsLeaf]]=1),Tasks[[#This Row],[_Res3Row]]=0),0,N(Tasks[[#This Row],[_Days]])*HoursPerDay*IF(Tasks[[#This Row],[_Res3Units]]="",DefaultUnits,Tasks[[#This Row],[_Res3Units]]))</f>
        <v>0</v>
      </c>
      <c r="EE53" s="43" t="n">
        <f aca="false">IF(AND(AND(Tasks[[#This Row],[_IsLeaf]]=1,Tasks[[#This Row],[_LeafTotalWork]]&gt;0),Tasks[[#This Row],[_Res3Work]]&gt;0),Tasks[[#This Row],[_Res3Work]]/(Tasks[[#This Row],[_FinishWorkday]]-Tasks[[#This Row],[_StartWorkday]]+1),0)</f>
        <v>0</v>
      </c>
      <c r="EF53" s="43" t="n">
        <f aca="false">Tasks[[#This Row],[_Res3WorkPerWD]]*MAX(0,Tasks[[#This Row],[_StartWorkday]]-1)</f>
        <v>0</v>
      </c>
      <c r="EG53" s="43" t="n">
        <f aca="false">Tasks[[#This Row],[_Res3Work]]*Tasks[[#This Row],[_LeafProgress]]</f>
        <v>0</v>
      </c>
      <c r="EH53" s="43" t="str">
        <f aca="false">IF(Tasks[[#This Row],[_Res4Text]]="","",IF(Tasks[[#This Row],[_Res4Row]]&gt;0,INDEX(res_Name,Tasks[[#This Row],[_Res4Row]]),TRIM(LEFT(Tasks[[#This Row],[_Res4Text]],FIND("[",Tasks[[#This Row],[_Res4Text]]&amp;"[")-1))))</f>
        <v/>
      </c>
      <c r="EI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3" t="n">
        <f aca="false">IF(OR(NOT(Tasks[[#This Row],[_IsLeaf]]=1),Tasks[[#This Row],[_Res4Row]]=0),0,N(Tasks[[#This Row],[_Days]])*HoursPerDay*IF(Tasks[[#This Row],[_Res4Units]]="",DefaultUnits,Tasks[[#This Row],[_Res4Units]]))</f>
        <v>0</v>
      </c>
      <c r="EK53" s="43" t="n">
        <f aca="false">IF(AND(AND(Tasks[[#This Row],[_IsLeaf]]=1,Tasks[[#This Row],[_LeafTotalWork]]&gt;0),Tasks[[#This Row],[_Res4Work]]&gt;0),Tasks[[#This Row],[_Res4Work]]/(Tasks[[#This Row],[_FinishWorkday]]-Tasks[[#This Row],[_StartWorkday]]+1),0)</f>
        <v>0</v>
      </c>
      <c r="EL53" s="43" t="n">
        <f aca="false">Tasks[[#This Row],[_Res4WorkPerWD]]*MAX(0,Tasks[[#This Row],[_StartWorkday]]-1)</f>
        <v>0</v>
      </c>
      <c r="EM53" s="43" t="n">
        <f aca="false">Tasks[[#This Row],[_Res4Work]]*Tasks[[#This Row],[_LeafProgress]]</f>
        <v>0</v>
      </c>
      <c r="EN53" s="43" t="n">
        <f aca="false">IF(ISNUMBER(Tasks[[#This Row],[% Complete]]),Tasks[[#This Row],[% Complete]],IF(Tasks[[#This Row],[Stage]]="",0,IFERROR(INDEX(stg_Pct,MATCH(Tasks[[#This Row],[Stage]],stg_Name,0)),0)))</f>
        <v>0</v>
      </c>
      <c r="EO53" s="43" t="n">
        <f aca="false">IF(NOT(Tasks[[#This Row],[_IsLeaf]]=1),0,IF(N(Tasks[[#This Row],[Actual Finish]])&gt;0,1,MIN(1,Tasks[[#This Row],[_Pct]])))</f>
        <v>0</v>
      </c>
      <c r="EP53" s="43" t="n">
        <f aca="false">IF(OR(NOT(Tasks[[#This Row],[_IsLeaf]]=1),Tasks[[#This Row],[_Res1Row]]=0),0,N(Tasks[[#This Row],[_Days]])*HoursPerDay*IF(Tasks[[#This Row],[_Units1]]="",DefaultUnits,Tasks[[#This Row],[_Units1]]))</f>
        <v>0</v>
      </c>
      <c r="EQ53" s="43" t="n">
        <f aca="false">Tasks[[#This Row],[_LeafWork]]+Tasks[[#This Row],[_Res2Work]]+Tasks[[#This Row],[_Res3Work]]+Tasks[[#This Row],[_Res4Work]]</f>
        <v>0</v>
      </c>
      <c r="ER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3" t="n">
        <f aca="false">IF(NOT(Tasks[[#This Row],[_IsLeaf]]=1),0,MAX(_xlfn.MAXIFS(Tasks[_Row],Tasks[_Pred1UID],Tasks[[#This Row],[UID]]),_xlfn.MAXIFS(Tasks[_Row],Tasks[_Pred2UID],Tasks[[#This Row],[UID]]),_xlfn.MAXIFS(Tasks[_Row],Tasks[_Pred3UID],Tasks[[#This Row],[UID]]),_xlfn.MAXIFS(Tasks[_Row],Tasks[_Pred4UID],Tasks[[#This Row],[UID]])))</f>
        <v>0</v>
      </c>
      <c r="FA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91" t="str">
        <f aca="false">IF(NOT(Tasks[[#This Row],[_IsLeaf]]=1),"",IF(N(Tasks[[#This Row],[_Days]])&lt;=0,Tasks[[#This Row],[_LeafLateFinish]],WORKDAY.INTL(Tasks[[#This Row],[_LeafLateFinish]],-(Tasks[[#This Row],[_Days]]-1),WorkWeek,Holidays)))</f>
        <v/>
      </c>
      <c r="FD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3" s="90" t="b">
        <f aca="false">AND(Tasks[[#This Row],[_IsLeaf]]=1,Tasks[[#This Row],[_LeafProgress]]&lt;1,N(Tasks[[#This Row],[_LeafTotalSlack]])&lt;=CriticalSlackDays)</f>
        <v>0</v>
      </c>
      <c r="FF53" s="43" t="n">
        <f aca="false">IF(AND(Tasks[[#This Row],[_IsLeaf]]=1,Tasks[[#This Row],[_ConstraintCode]]=1,Tasks[[#This Row],[Mode]]&lt;&gt;"Manual",N(Tasks[[#This Row],[Actual Start]])=0),MAX(0,N(Tasks[[#This Row],[Free Slack]])),0)</f>
        <v>0</v>
      </c>
      <c r="FG53" s="91" t="str">
        <f aca="false">IF(NOT(Tasks[[#This Row],[_IsLeaf]]=1),"",IF(Tasks[[#This Row],[_AlapShift]]=0,Tasks[[#This Row],[_LeafCalcStart]],WORKDAY.INTL(Tasks[[#This Row],[_LeafCalcStart]],Tasks[[#This Row],[_AlapShift]],WorkWeek,Holidays)))</f>
        <v/>
      </c>
      <c r="FH53" s="91" t="str">
        <f aca="false">IF(NOT(Tasks[[#This Row],[_IsLeaf]]=1),"",IF(Tasks[[#This Row],[_AlapShift]]=0,Tasks[[#This Row],[_LeafCalcFinish]],WORKDAY.INTL(Tasks[[#This Row],[_LeafCalcFinish]],Tasks[[#This Row],[_AlapShift]],WorkWeek,Holidays)))</f>
        <v/>
      </c>
      <c r="FI53" s="91" t="str">
        <f aca="false">IF(NOT(Tasks[[#This Row],[_IsLeaf]]=1),"",IF(Tasks[[#This Row],[_AlapShift]]=0,Tasks[[#This Row],[_LeafFcstStart]],WORKDAY.INTL(Tasks[[#This Row],[_LeafFcstStart]],Tasks[[#This Row],[_AlapShift]],WorkWeek,Holidays)))</f>
        <v/>
      </c>
      <c r="FJ53" s="91" t="str">
        <f aca="false">IF(NOT(Tasks[[#This Row],[_IsLeaf]]=1),"",IF(Tasks[[#This Row],[_AlapShift]]=0,Tasks[[#This Row],[_LeafFcstFinish]],WORKDAY.INTL(Tasks[[#This Row],[_LeafFcstFinish]],Tasks[[#This Row],[_AlapShift]],WorkWeek,Holidays)))</f>
        <v/>
      </c>
      <c r="FK53" s="91" t="str">
        <f aca="false">IF(Tasks[[#This Row],[Task Name]]="","",IF(Tasks[[#This Row],[_IsSummary]],MIN(INDEX(Tasks[_ShownCalcStart],Tasks[[#This Row],[_Row]]+1):INDEX(Tasks[_ShownCalcStart],Tasks[[#This Row],[_Row]]+Tasks[[#This Row],[_Descendants]])),Tasks[[#This Row],[_ShownCalcStart]]))</f>
        <v/>
      </c>
      <c r="FL53" s="91" t="str">
        <f aca="false">IF(Tasks[[#This Row],[Task Name]]="","",IF(Tasks[[#This Row],[_IsSummary]],MAX(INDEX(Tasks[_ShownCalcFinish],Tasks[[#This Row],[_Row]]+1):INDEX(Tasks[_ShownCalcFinish],Tasks[[#This Row],[_Row]]+Tasks[[#This Row],[_Descendants]])),Tasks[[#This Row],[_ShownCalcFinish]]))</f>
        <v/>
      </c>
      <c r="FM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3" s="43" t="n">
        <f aca="false">IF(AND(Tasks[[#This Row],[_IsLeaf]]=1,Tasks[[#This Row],[_LeafTotalWork]]&gt;0),NETWORKDAYS.INTL(ProjectStart,Tasks[[#This Row],[_ShownFcstStart]],WorkWeek,Holidays),0)</f>
        <v>0</v>
      </c>
      <c r="FZ53" s="43" t="n">
        <f aca="false">IF(AND(Tasks[[#This Row],[_IsLeaf]]=1,Tasks[[#This Row],[_LeafTotalWork]]&gt;0),MAX(Tasks[[#This Row],[_StartWorkday]],NETWORKDAYS.INTL(ProjectStart,Tasks[[#This Row],[_ShownFcstFinish]],WorkWeek,Holidays)),0)</f>
        <v>0</v>
      </c>
      <c r="GA53" s="43" t="n">
        <f aca="false">IF(AND(Tasks[[#This Row],[_IsLeaf]]=1,Tasks[[#This Row],[_LeafTotalWork]]&gt;0),Tasks[[#This Row],[_LeafWork]]/(Tasks[[#This Row],[_FinishWorkday]]-Tasks[[#This Row],[_StartWorkday]]+1),0)</f>
        <v>0</v>
      </c>
      <c r="GB53" s="43" t="n">
        <f aca="false">Tasks[[#This Row],[_WorkPerWorkday]]*(Tasks[[#This Row],[_StartWorkday]]-1)</f>
        <v>-0</v>
      </c>
      <c r="GC53" s="43" t="n">
        <f aca="false">IF(Tasks[[#This Row],[_IsLeaf]]=1,MAX(N(Tasks[[#This Row],[_Days]]),0.1),0)</f>
        <v>0</v>
      </c>
      <c r="GD53" s="43" t="n">
        <f aca="false">Tasks[[#This Row],[_WeightDur]]*Tasks[[#This Row],[_LeafProgress]]</f>
        <v>0</v>
      </c>
      <c r="GE53" s="43" t="n">
        <f aca="false">Tasks[[#This Row],[_WeightDur]]*Tasks[[#This Row],[_PlannedPct]]</f>
        <v>0</v>
      </c>
      <c r="GF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3" t="str">
        <f aca="false">IF(AND(Tasks[[#This Row],[_IsLeaf]]=1,N(Tasks[[#This Row],[_Days]])=0,Tasks[[#This Row],[_LeafProgress]]&lt;1),Tasks[[#This Row],[_ShownFcstFinish]]+Tasks[[#This Row],[_Row]]/100000,"")</f>
        <v/>
      </c>
      <c r="GH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3" s="43" t="str">
        <f aca="false">IF(Tasks[[#This Row],[Task Name]]="","",LEFT(Tasks[[#This Row],[WBS]],FIND(".",Tasks[[#This Row],[WBS]]&amp;".")-1))</f>
        <v/>
      </c>
      <c r="GJ53" s="43" t="str">
        <f aca="false">IF(AND(Tasks[[#This Row],[Task Name]]&lt;&gt;"",Tasks[[#This Row],[_Level]]=1),Tasks[[#This Row],[_Row]],"")</f>
        <v/>
      </c>
      <c r="GK53" s="43" t="str">
        <f aca="false">IF(AND(Tasks[[#This Row],[_IsLeaf]]=1,N(Tasks[[#This Row],[_Days]])=0),Tasks[[#This Row],[Planned Finish]]+Tasks[[#This Row],[_Row]]/100000,"")</f>
        <v/>
      </c>
      <c r="GL53" s="43" t="str">
        <f aca="false">IF(AND(Tasks[[#This Row],[_IsLeaf]]=1,Tasks[[#This Row],[_LeafProgress]]&lt;1,OR(N(Tasks[[#This Row],[Finish Var]])&gt;0,Tasks[[#This Row],[Status]]="Late Start")),MAX(0,Tasks[[#This Row],[Finish Var]])+1-Tasks[[#This Row],[_Row]]/1000000,"")</f>
        <v/>
      </c>
      <c r="GM53" s="43" t="str">
        <f aca="false">IF(AND(Tasks[[#This Row],[_IsLeaf]]=1,N(Tasks[[#This Row],[Actual Start]])=0,Tasks[[#This Row],[_ShownFcstStart]]&gt;=StatusDate,Tasks[[#This Row],[_ShownFcstStart]]&lt;=LookaheadEnd),Tasks[[#This Row],[_ShownFcstStart]]+Tasks[[#This Row],[_Row]]/100000,"")</f>
        <v/>
      </c>
      <c r="GN53" s="43" t="str">
        <f aca="false">IF(AND(Tasks[[#This Row],[_IsLeaf]]=1,Tasks[[#This Row],[_LeafProgress]]&lt;1,Tasks[[#This Row],[_ShownFcstFinish]]&gt;=StatusDate,Tasks[[#This Row],[_ShownFcstFinish]]&lt;=LookaheadEnd),Tasks[[#This Row],[_ShownFcstFinish]]+Tasks[[#This Row],[_Row]]/100000,"")</f>
        <v/>
      </c>
      <c r="GO53" s="43" t="str">
        <f aca="false">IF(Tasks[[#This Row],[_LeafCritical]],Tasks[[#This Row],[_ShownFcstStart]]+Tasks[[#This Row],[_Row]]/100000,"")</f>
        <v/>
      </c>
      <c r="GP53" s="43" t="n">
        <f aca="false">Tasks[[#This Row],[_LeafWork]]*Tasks[[#This Row],[_LeafProgress]]</f>
        <v>0</v>
      </c>
      <c r="GQ53" s="91" t="str">
        <f aca="false">IF(AND(Tasks[[#This Row],[_IsLeaf]]=1,Tasks[[#This Row],[_LeafProgress]]&gt;=1),IF(N(Tasks[[#This Row],[Actual Finish]])&gt;0,Tasks[[#This Row],[Actual Finish]],Tasks[[#This Row],[_ShownFcstFinish]]),"")</f>
        <v/>
      </c>
      <c r="GR53" s="43" t="n">
        <f aca="false">IF(Tasks[[#This Row],[_IsLeaf]]=1,N(Tasks[[#This Row],[Story Points]]),0)</f>
        <v>0</v>
      </c>
      <c r="GS53" s="43" t="str">
        <f aca="false">""</f>
        <v/>
      </c>
      <c r="GT53" s="90" t="b">
        <f aca="false">IF(Tasks[[#This Row],[Task Name]]="",FALSE(),AND(Tasks[[#This Row],[_IsLeaf]]=1,N(Tasks[[#This Row],[_Days]])=0))</f>
        <v>0</v>
      </c>
      <c r="GU53" s="91" t="n">
        <f aca="false">IF(Tasks[[#This Row],[Task Name]]="",0,IF(AND(Tasks[[#This Row],[_IsLeaf]]=1,NOT(Tasks[[#This Row],[_IsMilestone]]),N(Tasks[[#This Row],[Progress]])&gt;0),Tasks[[#This Row],[Start]],0))</f>
        <v>0</v>
      </c>
      <c r="GV53" s="91" t="n">
        <f aca="false">IF(Tasks[[#This Row],[_DoneFrom]]=0,0,IF(Tasks[[#This Row],[Progress]]&gt;=1,Tasks[[#This Row],[Finish]],MAX(Tasks[[#This Row],[_DoneFrom]],Tasks[[#This Row],[Start]]+ROUND((Tasks[[#This Row],[Finish]]-Tasks[[#This Row],[Start]]+1)*Tasks[[#This Row],[Progress]],0)-1)))</f>
        <v>0</v>
      </c>
      <c r="GW53" s="91" t="n">
        <f aca="false">IF(Tasks[[#This Row],[Task Name]]="",0,IF(OR(NOT(Tasks[[#This Row],[_IsLeaf]]=1),Tasks[[#This Row],[_IsMilestone]],N(Tasks[[#This Row],[Progress]])&gt;=1),0,IF(Tasks[[#This Row],[_DoneTo]]&gt;0,Tasks[[#This Row],[_DoneTo]]+1,Tasks[[#This Row],[Start]])))</f>
        <v>0</v>
      </c>
      <c r="GX53" s="91" t="n">
        <f aca="false">IF(Tasks[[#This Row],[_RemFrom]]=0,0,Tasks[[#This Row],[Finish]])</f>
        <v>0</v>
      </c>
      <c r="GY53" s="90" t="b">
        <f aca="false">IF(Tasks[[#This Row],[Task Name]]="",FALSE(),OR(NOT(BaselineSet),N(Tasks[[#This Row],[Baseline Start]])&gt;0))</f>
        <v>0</v>
      </c>
      <c r="GZ5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92" t="str">
        <f aca="false">IF(Tasks[[#This Row],[_IsLeaf]]=1,Tasks[[#This Row],[_Row]],"")</f>
        <v/>
      </c>
      <c r="HD53" s="92" t="str">
        <f aca="false">IFERROR(INDEX(Tasks[UID],SMALL(Tasks[_PickKey],Tasks[[#This Row],[_Row]]))&amp;" "&amp;INDEX(Tasks[Task Name],SMALL(Tasks[_PickKey],Tasks[[#This Row],[_Row]])),"")</f>
        <v/>
      </c>
      <c r="HE53" s="43" t="str">
        <f aca="false">IF(Tasks[[#This Row],[Task Name]]="","",IF(Tasks[[#This Row],[_IsSummary]],NETWORKDAYS.INTL(Tasks[[#This Row],[Start]],Tasks[[#This Row],[Finish]],WorkWeek,Holidays),N(Tasks[[#This Row],[_Days]])))</f>
        <v/>
      </c>
      <c r="HF53" s="43" t="n">
        <f aca="false">IF(Tasks[[#This Row],[Expected]]="",0,((Tasks[[#This Row],[Pessimistic]]-Tasks[[#This Row],[Optimistic]])/6)^2)</f>
        <v>0</v>
      </c>
      <c r="HG53" s="43" t="n">
        <f aca="false">IF(Tasks[[#This Row],[Expected]]="",0,Tasks[[#This Row],[Expected]]-N(Tasks[[#This Row],[_Days]]))</f>
        <v>0</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4"/>
      <c r="U54" s="23"/>
      <c r="V54" s="84"/>
      <c r="W54" s="23"/>
      <c r="X54" s="84"/>
      <c r="Y54" s="23"/>
      <c r="Z54" s="84"/>
      <c r="AA54" s="23"/>
      <c r="AB54" s="23"/>
      <c r="AC54" s="7"/>
      <c r="AD54" s="7"/>
      <c r="AE54" s="63" t="str">
        <f aca="false">IF(Tasks[[#This Row],[Task Name]]="","",IF(Tasks[[#This Row],[_IsSummary]],MIN(INDEX(Tasks[_ShownFcstStart],Tasks[[#This Row],[_Row]]+1):INDEX(Tasks[_ShownFcstStart],Tasks[[#This Row],[_Row]]+Tasks[[#This Row],[_Descendants]])),Tasks[[#This Row],[_ShownFcstStart]]))</f>
        <v/>
      </c>
      <c r="AF54" s="63"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4" s="7"/>
      <c r="AK54" s="22"/>
      <c r="AL54" s="23"/>
      <c r="AM54" s="7"/>
      <c r="AN54" s="47"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3" t="str">
        <f aca="false">IF(Tasks[[#This Row],[Task Name]]="","",IF(N(Tasks[[#This Row],[Baseline Start]])&gt;0,Tasks[[#This Row],[Baseline Start]],Tasks[[#This Row],[_CalcStart]]))</f>
        <v/>
      </c>
      <c r="AR54" s="63" t="str">
        <f aca="false">IF(Tasks[[#This Row],[Task Name]]="","",IF(N(Tasks[[#This Row],[Baseline Finish]])&gt;0,Tasks[[#This Row],[Baseline Finish]],Tasks[[#This Row],[_CalcFinish]]))</f>
        <v/>
      </c>
      <c r="AS54" s="47" t="str">
        <f aca="false">IF(Tasks[[#This Row],[Task Name]]="","",IF(Tasks[[#This Row],[Start]]&gt;=Tasks[[#This Row],[Planned Start]],NETWORKDAYS.INTL(Tasks[[#This Row],[Planned Start]],Tasks[[#This Row],[Start]],WorkWeek,Holidays)-1,1-NETWORKDAYS.INTL(Tasks[[#This Row],[Start]],Tasks[[#This Row],[Planned Start]],WorkWeek,Holidays)))</f>
        <v/>
      </c>
      <c r="AT54" s="63" t="str">
        <f aca="false">IF(Tasks[[#This Row],[Task Name]]="","",IF(Tasks[[#This Row],[_IsSummary]],MIN(INDEX(Tasks[_LeafLateStart],Tasks[[#This Row],[_Row]]+1):INDEX(Tasks[_LeafLateStart],Tasks[[#This Row],[_Row]]+Tasks[[#This Row],[_Descendants]])),Tasks[[#This Row],[_LeafLateStart]]))</f>
        <v/>
      </c>
      <c r="AU54" s="63" t="str">
        <f aca="false">IF(Tasks[[#This Row],[Task Name]]="","",IF(Tasks[[#This Row],[_IsSummary]],MAX(INDEX(Tasks[_LeafLateFinish],Tasks[[#This Row],[_Row]]+1):INDEX(Tasks[_LeafLateFinish],Tasks[[#This Row],[_Row]]+Tasks[[#This Row],[_Descendants]])),Tasks[[#This Row],[_LeafLateFinish]]))</f>
        <v/>
      </c>
      <c r="AV54" s="47"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5"/>
      <c r="BA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6"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7"/>
      <c r="BJ54" s="22"/>
      <c r="BK54" s="47" t="str">
        <f aca="false">IF(OR(Tasks[[#This Row],[Task Name]]="",Tasks[[#This Row],[Baseline Duration]]=""),"",Tasks[[#This Row],[_SpanDays]]-N(Tasks[[#This Row],[Baseline Duration]]))</f>
        <v/>
      </c>
      <c r="BL54" s="86" t="str">
        <f aca="false">IF(OR(Tasks[[#This Row],[Task Name]]="",Tasks[[#This Row],[Baseline Work]]=""),"",Tasks[[#This Row],[Work]]-N(Tasks[[#This Row],[Baseline Work]]))</f>
        <v/>
      </c>
      <c r="BM54" s="63" t="str">
        <f aca="false">IF(Tasks[[#This Row],[Task Name]]="","",IF(OR(TakeBaseline="Yes",N(Tasks[[#This Row],[Baseline Start]])=0),Tasks[[#This Row],[Start]],Tasks[[#This Row],[Baseline Start]]))</f>
        <v/>
      </c>
      <c r="BN54" s="63" t="str">
        <f aca="false">IF(Tasks[[#This Row],[Task Name]]="","",IF(OR(TakeBaseline="Yes",N(Tasks[[#This Row],[Baseline Finish]])=0),Tasks[[#This Row],[Finish]],Tasks[[#This Row],[Baseline Finish]]))</f>
        <v/>
      </c>
      <c r="BO54" s="21" t="str">
        <f aca="false">IF(Tasks[[#This Row],[Task Name]]="","",IF(OR(TakeBaseline="Yes",N(Tasks[[#This Row],[Baseline Duration]])=0),Tasks[[#This Row],[_SpanDays]],Tasks[[#This Row],[Baseline Duration]]))</f>
        <v/>
      </c>
      <c r="BP54" s="86" t="str">
        <f aca="false">IF(Tasks[[#This Row],[Task Name]]="","",IF(OR(TakeBaseline="Yes",N(Tasks[[#This Row],[Baseline Work]])=0),Tasks[[#This Row],[Work]],Tasks[[#This Row],[Baseline Work]]))</f>
        <v/>
      </c>
      <c r="BQ54" s="7"/>
      <c r="BR54" s="7"/>
      <c r="BS54" s="22"/>
      <c r="BT54" s="88"/>
      <c r="BU54" s="23"/>
      <c r="BV54" s="23"/>
      <c r="BW54" s="23"/>
      <c r="BX54" s="89" t="str">
        <f aca="false">IF(AND(Tasks[[#This Row],[_IsLeaf]]=1,ISNUMBER(Tasks[[#This Row],[Optimistic]]),ISNUMBER(Tasks[[#This Row],[Pessimistic]])),ROUND((Tasks[[#This Row],[Optimistic]]+4*N(Tasks[[#This Row],[_Days]])+Tasks[[#This Row],[Pessimistic]])/6,1),"")</f>
        <v/>
      </c>
      <c r="BY54" s="87"/>
      <c r="BZ54" s="87"/>
      <c r="CA54" s="22"/>
      <c r="CB54" s="43" t="str">
        <f aca="false">IF(Tasks[[#This Row],[Task Name]]="","",MAX(1,N(Tasks[[#This Row],[Level]])))</f>
        <v/>
      </c>
      <c r="CC54" s="43" t="n">
        <f aca="false">ROW()-ROW(Tasks[[#Headers],[ID]])</f>
        <v>49</v>
      </c>
      <c r="CD54" s="43" t="n">
        <f aca="false">IF(OR(Tasks[[#This Row],[Task Name]]="",Tasks[[#This Row],[_Level]]&lt;=1),0,IFERROR(LOOKUP(2,1/(Tasks[[#Headers],[_Level]]:Tasks[[#This Row],[_Level]]=Tasks[[#This Row],[_Level]]-1),ROW(Tasks[[#Headers],[_Level]]:Tasks[[#This Row],[_Level]])),0))</f>
        <v>0</v>
      </c>
      <c r="CE54" s="43" t="n">
        <f aca="false">IFERROR(N(INDEX(Tasks[_Level],Tasks[[#This Row],[_Row]]+1)),0)</f>
        <v>0</v>
      </c>
      <c r="CF54" s="90" t="b">
        <f aca="false">AND(Tasks[[#This Row],[Task Name]]&lt;&gt;"",Tasks[[#This Row],[_NextLevel]]&gt;Tasks[[#This Row],[_Level]])</f>
        <v>0</v>
      </c>
      <c r="CG54" s="43" t="n">
        <f aca="false">IF(Tasks[[#This Row],[_IsSummary]],COUNTIF(Tasks[WBS],Tasks[[#This Row],[WBS]]&amp;".*"),0)</f>
        <v>0</v>
      </c>
      <c r="CH54" s="43" t="n">
        <f aca="false">IF(AND(Tasks[[#This Row],[Task Name]]&lt;&gt;"",NOT(Tasks[[#This Row],[_IsSummary]])),1,0)</f>
        <v>0</v>
      </c>
      <c r="CI54" s="43" t="n">
        <f aca="false">IF(N(Tasks[[#This Row],[_Pred1UID]])=0,0,IFERROR(MATCH(Tasks[[#This Row],[_Pred1UID]],Tasks[UID],0),-1))</f>
        <v>0</v>
      </c>
      <c r="CJ54" s="43" t="n">
        <f aca="false">IF(N(Tasks[[#This Row],[_Pred2UID]])=0,0,IFERROR(MATCH(Tasks[[#This Row],[_Pred2UID]],Tasks[UID],0),-1))</f>
        <v>0</v>
      </c>
      <c r="CK54" s="43" t="n">
        <f aca="false">IF(N(Tasks[[#This Row],[_Pred3UID]])=0,0,IFERROR(MATCH(Tasks[[#This Row],[_Pred3UID]],Tasks[UID],0),-1))</f>
        <v>0</v>
      </c>
      <c r="CL54" s="43" t="n">
        <f aca="false">IF(N(Tasks[[#This Row],[_Pred4UID]])=0,0,IFERROR(MATCH(Tasks[[#This Row],[_Pred4UID]],Tasks[UID],0),-1))</f>
        <v>0</v>
      </c>
      <c r="CM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4" s="91" t="n">
        <f aca="false">IF(OR(Tasks[[#This Row],[_ConstraintCode]]=2,Tasks[[#This Row],[_ConstraintCode]]=3,Tasks[[#This Row],[_ConstraintCode]]=4,Tasks[[#This Row],[_ConstraintCode]]=6),Tasks[[#This Row],[_ConstraintStart]],0)</f>
        <v>0</v>
      </c>
      <c r="CP54" s="91" t="n">
        <f aca="false">IF(OR(Tasks[[#This Row],[_ConstraintCode]]=2,Tasks[[#This Row],[_ConstraintCode]]=3,Tasks[[#This Row],[_ConstraintCode]]=5,Tasks[[#This Row],[_ConstraintCode]]=7),Tasks[[#This Row],[_ConstraintStart]],2958465)</f>
        <v>2958465</v>
      </c>
      <c r="CQ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91" t="str">
        <f aca="false">IF(NOT(Tasks[[#This Row],[_IsLeaf]]=1),"",IF(N(Tasks[[#This Row],[_Days]])&lt;=0,Tasks[[#This Row],[_LeafCalcStart]],WORKDAY.INTL(Tasks[[#This Row],[_LeafCalcStart]],Tasks[[#This Row],[_Days]]-1,WorkWeek,Holidays)))</f>
        <v/>
      </c>
      <c r="CS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3" t="str">
        <f aca="false">IF(Tasks[[#This Row],[_Predecessors]]="","",TRIM(MID(SUBSTITUTE(SUBSTITUTE(SUBSTITUTE(UPPER(Tasks[[#This Row],[_Predecessors]]),";",",")," ",""),",",REPT(" ",99)),1,99)))</f>
        <v/>
      </c>
      <c r="CV54" s="43" t="str">
        <f aca="false">IF(Tasks[[#This Row],[_Pred1Text]]="","",IFERROR(VALUE(LEFT(Tasks[[#This Row],[_Pred1Text]],MIN(FIND("F",Tasks[[#This Row],[_Pred1Text]]&amp;"F"),FIND("S",Tasks[[#This Row],[_Pred1Text]]&amp;"S"),FIND("+",Tasks[[#This Row],[_Pred1Text]]&amp;"+"),FIND("-",Tasks[[#This Row],[_Pred1Text]]&amp;"-"))-1)),""))</f>
        <v/>
      </c>
      <c r="CW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3" t="str">
        <f aca="false">IF(Tasks[[#This Row],[_Pred1Text]]="","",TRIM(MID(SUBSTITUTE(SUBSTITUTE(SUBSTITUTE(UPPER(Tasks[[#This Row],[_Predecessors]]),";",",")," ",""),",",REPT(" ",99)),100,99)))</f>
        <v/>
      </c>
      <c r="CZ54" s="43" t="str">
        <f aca="false">IF(Tasks[[#This Row],[_Pred2Text]]="","",IFERROR(VALUE(LEFT(Tasks[[#This Row],[_Pred2Text]],MIN(FIND("F",Tasks[[#This Row],[_Pred2Text]]&amp;"F"),FIND("S",Tasks[[#This Row],[_Pred2Text]]&amp;"S"),FIND("+",Tasks[[#This Row],[_Pred2Text]]&amp;"+"),FIND("-",Tasks[[#This Row],[_Pred2Text]]&amp;"-"))-1)),""))</f>
        <v/>
      </c>
      <c r="DA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3" t="str">
        <f aca="false">IF(Tasks[[#This Row],[_Pred2Text]]="","",TRIM(MID(SUBSTITUTE(SUBSTITUTE(SUBSTITUTE(UPPER(Tasks[[#This Row],[_Predecessors]]),";",",")," ",""),",",REPT(" ",99)),199,99)))</f>
        <v/>
      </c>
      <c r="DD54" s="43" t="str">
        <f aca="false">IF(Tasks[[#This Row],[_Pred3Text]]="","",IFERROR(VALUE(LEFT(Tasks[[#This Row],[_Pred3Text]],MIN(FIND("F",Tasks[[#This Row],[_Pred3Text]]&amp;"F"),FIND("S",Tasks[[#This Row],[_Pred3Text]]&amp;"S"),FIND("+",Tasks[[#This Row],[_Pred3Text]]&amp;"+"),FIND("-",Tasks[[#This Row],[_Pred3Text]]&amp;"-"))-1)),""))</f>
        <v/>
      </c>
      <c r="DE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3" t="str">
        <f aca="false">IF(Tasks[[#This Row],[_Pred3Text]]="","",TRIM(MID(SUBSTITUTE(SUBSTITUTE(SUBSTITUTE(UPPER(Tasks[[#This Row],[_Predecessors]]),";",",")," ",""),",",REPT(" ",99)),298,99)))</f>
        <v/>
      </c>
      <c r="DH54" s="43" t="str">
        <f aca="false">IF(Tasks[[#This Row],[_Pred4Text]]="","",IFERROR(VALUE(LEFT(Tasks[[#This Row],[_Pred4Text]],MIN(FIND("F",Tasks[[#This Row],[_Pred4Text]]&amp;"F"),FIND("S",Tasks[[#This Row],[_Pred4Text]]&amp;"S"),FIND("+",Tasks[[#This Row],[_Pred4Text]]&amp;"+"),FIND("-",Tasks[[#This Row],[_Pred4Text]]&amp;"-"))-1)),""))</f>
        <v/>
      </c>
      <c r="DI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3" t="str">
        <f aca="false">IF(OR(Tasks[[#This Row],[Task Name]]="",Tasks[[#This Row],[_Resources]]=""),"",TRIM(MID(SUBSTITUTE(Tasks[[#This Row],[_Resources]],",",REPT(" ",99)),1,99)))</f>
        <v/>
      </c>
      <c r="DL54" s="43" t="str">
        <f aca="false">IF(Tasks[[#This Row],[_Res1Text]]="","",TRIM(MID(SUBSTITUTE(Tasks[[#This Row],[_Resources]],",",REPT(" ",99)),100,99)))</f>
        <v/>
      </c>
      <c r="DM54" s="43" t="str">
        <f aca="false">IF(Tasks[[#This Row],[_Res2Text]]="","",TRIM(MID(SUBSTITUTE(Tasks[[#This Row],[_Resources]],",",REPT(" ",99)),199,99)))</f>
        <v/>
      </c>
      <c r="DN54" s="43" t="str">
        <f aca="false">IF(Tasks[[#This Row],[_Res3Text]]="","",TRIM(MID(SUBSTITUTE(Tasks[[#This Row],[_Resources]],",",REPT(" ",99)),298,99)))</f>
        <v/>
      </c>
      <c r="DO54" s="43" t="n">
        <f aca="false">IF(Tasks[[#This Row],[_Res1Text]]="",0,IFERROR(MATCH(TRIM(LEFT(Tasks[[#This Row],[_Res1Text]],FIND("[",Tasks[[#This Row],[_Res1Text]]&amp;"[")-1)),res_Name,0),IFERROR(MATCH(TRIM(LEFT(Tasks[[#This Row],[_Res1Text]],FIND("[",Tasks[[#This Row],[_Res1Text]]&amp;"[")-1)),res_Initials,0),0)))</f>
        <v>0</v>
      </c>
      <c r="DP54" s="43" t="n">
        <f aca="false">IF(Tasks[[#This Row],[_Res2Text]]="",0,IFERROR(MATCH(TRIM(LEFT(Tasks[[#This Row],[_Res2Text]],FIND("[",Tasks[[#This Row],[_Res2Text]]&amp;"[")-1)),res_Name,0),IFERROR(MATCH(TRIM(LEFT(Tasks[[#This Row],[_Res2Text]],FIND("[",Tasks[[#This Row],[_Res2Text]]&amp;"[")-1)),res_Initials,0),0)))</f>
        <v>0</v>
      </c>
      <c r="DQ54" s="43" t="n">
        <f aca="false">IF(Tasks[[#This Row],[_Res3Text]]="",0,IFERROR(MATCH(TRIM(LEFT(Tasks[[#This Row],[_Res3Text]],FIND("[",Tasks[[#This Row],[_Res3Text]]&amp;"[")-1)),res_Name,0),IFERROR(MATCH(TRIM(LEFT(Tasks[[#This Row],[_Res3Text]],FIND("[",Tasks[[#This Row],[_Res3Text]]&amp;"[")-1)),res_Initials,0),0)))</f>
        <v>0</v>
      </c>
      <c r="DR54" s="43" t="n">
        <f aca="false">IF(Tasks[[#This Row],[_Res4Text]]="",0,IFERROR(MATCH(TRIM(LEFT(Tasks[[#This Row],[_Res4Text]],FIND("[",Tasks[[#This Row],[_Res4Text]]&amp;"[")-1)),res_Name,0),IFERROR(MATCH(TRIM(LEFT(Tasks[[#This Row],[_Res4Text]],FIND("[",Tasks[[#This Row],[_Res4Text]]&amp;"[")-1)),res_Initials,0),0)))</f>
        <v>0</v>
      </c>
      <c r="DS54" s="43" t="str">
        <f aca="false">IF(Tasks[[#This Row],[_Res1Text]]="","",IF(Tasks[[#This Row],[_Res1Row]]&gt;0,INDEX(res_Name,Tasks[[#This Row],[_Res1Row]]),TRIM(LEFT(Tasks[[#This Row],[_Res1Text]],FIND("[",Tasks[[#This Row],[_Res1Text]]&amp;"[")-1))))</f>
        <v/>
      </c>
      <c r="DT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3" t="n">
        <f aca="false">IF(NOT(Tasks[[#This Row],[_IsLeaf]]=1),0,(Tasks[[#This Row],[_Resource1]]&lt;&gt;"")+(Tasks[[#This Row],[_Res2]]&lt;&gt;"")+(Tasks[[#This Row],[_Res3]]&lt;&gt;"")+(Tasks[[#This Row],[_Res4]]&lt;&gt;""))</f>
        <v>0</v>
      </c>
      <c r="DV54" s="43" t="str">
        <f aca="false">IF(Tasks[[#This Row],[_Res2Text]]="","",IF(Tasks[[#This Row],[_Res2Row]]&gt;0,INDEX(res_Name,Tasks[[#This Row],[_Res2Row]]),TRIM(LEFT(Tasks[[#This Row],[_Res2Text]],FIND("[",Tasks[[#This Row],[_Res2Text]]&amp;"[")-1))))</f>
        <v/>
      </c>
      <c r="DW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3" t="n">
        <f aca="false">IF(OR(NOT(Tasks[[#This Row],[_IsLeaf]]=1),Tasks[[#This Row],[_Res2Row]]=0),0,N(Tasks[[#This Row],[_Days]])*HoursPerDay*IF(Tasks[[#This Row],[_Res2Units]]="",DefaultUnits,Tasks[[#This Row],[_Res2Units]]))</f>
        <v>0</v>
      </c>
      <c r="DY54" s="43" t="n">
        <f aca="false">IF(AND(AND(Tasks[[#This Row],[_IsLeaf]]=1,Tasks[[#This Row],[_LeafTotalWork]]&gt;0),Tasks[[#This Row],[_Res2Work]]&gt;0),Tasks[[#This Row],[_Res2Work]]/(Tasks[[#This Row],[_FinishWorkday]]-Tasks[[#This Row],[_StartWorkday]]+1),0)</f>
        <v>0</v>
      </c>
      <c r="DZ54" s="43" t="n">
        <f aca="false">Tasks[[#This Row],[_Res2WorkPerWD]]*MAX(0,Tasks[[#This Row],[_StartWorkday]]-1)</f>
        <v>0</v>
      </c>
      <c r="EA54" s="43" t="n">
        <f aca="false">Tasks[[#This Row],[_Res2Work]]*Tasks[[#This Row],[_LeafProgress]]</f>
        <v>0</v>
      </c>
      <c r="EB54" s="43" t="str">
        <f aca="false">IF(Tasks[[#This Row],[_Res3Text]]="","",IF(Tasks[[#This Row],[_Res3Row]]&gt;0,INDEX(res_Name,Tasks[[#This Row],[_Res3Row]]),TRIM(LEFT(Tasks[[#This Row],[_Res3Text]],FIND("[",Tasks[[#This Row],[_Res3Text]]&amp;"[")-1))))</f>
        <v/>
      </c>
      <c r="EC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3" t="n">
        <f aca="false">IF(OR(NOT(Tasks[[#This Row],[_IsLeaf]]=1),Tasks[[#This Row],[_Res3Row]]=0),0,N(Tasks[[#This Row],[_Days]])*HoursPerDay*IF(Tasks[[#This Row],[_Res3Units]]="",DefaultUnits,Tasks[[#This Row],[_Res3Units]]))</f>
        <v>0</v>
      </c>
      <c r="EE54" s="43" t="n">
        <f aca="false">IF(AND(AND(Tasks[[#This Row],[_IsLeaf]]=1,Tasks[[#This Row],[_LeafTotalWork]]&gt;0),Tasks[[#This Row],[_Res3Work]]&gt;0),Tasks[[#This Row],[_Res3Work]]/(Tasks[[#This Row],[_FinishWorkday]]-Tasks[[#This Row],[_StartWorkday]]+1),0)</f>
        <v>0</v>
      </c>
      <c r="EF54" s="43" t="n">
        <f aca="false">Tasks[[#This Row],[_Res3WorkPerWD]]*MAX(0,Tasks[[#This Row],[_StartWorkday]]-1)</f>
        <v>0</v>
      </c>
      <c r="EG54" s="43" t="n">
        <f aca="false">Tasks[[#This Row],[_Res3Work]]*Tasks[[#This Row],[_LeafProgress]]</f>
        <v>0</v>
      </c>
      <c r="EH54" s="43" t="str">
        <f aca="false">IF(Tasks[[#This Row],[_Res4Text]]="","",IF(Tasks[[#This Row],[_Res4Row]]&gt;0,INDEX(res_Name,Tasks[[#This Row],[_Res4Row]]),TRIM(LEFT(Tasks[[#This Row],[_Res4Text]],FIND("[",Tasks[[#This Row],[_Res4Text]]&amp;"[")-1))))</f>
        <v/>
      </c>
      <c r="EI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3" t="n">
        <f aca="false">IF(OR(NOT(Tasks[[#This Row],[_IsLeaf]]=1),Tasks[[#This Row],[_Res4Row]]=0),0,N(Tasks[[#This Row],[_Days]])*HoursPerDay*IF(Tasks[[#This Row],[_Res4Units]]="",DefaultUnits,Tasks[[#This Row],[_Res4Units]]))</f>
        <v>0</v>
      </c>
      <c r="EK54" s="43" t="n">
        <f aca="false">IF(AND(AND(Tasks[[#This Row],[_IsLeaf]]=1,Tasks[[#This Row],[_LeafTotalWork]]&gt;0),Tasks[[#This Row],[_Res4Work]]&gt;0),Tasks[[#This Row],[_Res4Work]]/(Tasks[[#This Row],[_FinishWorkday]]-Tasks[[#This Row],[_StartWorkday]]+1),0)</f>
        <v>0</v>
      </c>
      <c r="EL54" s="43" t="n">
        <f aca="false">Tasks[[#This Row],[_Res4WorkPerWD]]*MAX(0,Tasks[[#This Row],[_StartWorkday]]-1)</f>
        <v>0</v>
      </c>
      <c r="EM54" s="43" t="n">
        <f aca="false">Tasks[[#This Row],[_Res4Work]]*Tasks[[#This Row],[_LeafProgress]]</f>
        <v>0</v>
      </c>
      <c r="EN54" s="43" t="n">
        <f aca="false">IF(ISNUMBER(Tasks[[#This Row],[% Complete]]),Tasks[[#This Row],[% Complete]],IF(Tasks[[#This Row],[Stage]]="",0,IFERROR(INDEX(stg_Pct,MATCH(Tasks[[#This Row],[Stage]],stg_Name,0)),0)))</f>
        <v>0</v>
      </c>
      <c r="EO54" s="43" t="n">
        <f aca="false">IF(NOT(Tasks[[#This Row],[_IsLeaf]]=1),0,IF(N(Tasks[[#This Row],[Actual Finish]])&gt;0,1,MIN(1,Tasks[[#This Row],[_Pct]])))</f>
        <v>0</v>
      </c>
      <c r="EP54" s="43" t="n">
        <f aca="false">IF(OR(NOT(Tasks[[#This Row],[_IsLeaf]]=1),Tasks[[#This Row],[_Res1Row]]=0),0,N(Tasks[[#This Row],[_Days]])*HoursPerDay*IF(Tasks[[#This Row],[_Units1]]="",DefaultUnits,Tasks[[#This Row],[_Units1]]))</f>
        <v>0</v>
      </c>
      <c r="EQ54" s="43" t="n">
        <f aca="false">Tasks[[#This Row],[_LeafWork]]+Tasks[[#This Row],[_Res2Work]]+Tasks[[#This Row],[_Res3Work]]+Tasks[[#This Row],[_Res4Work]]</f>
        <v>0</v>
      </c>
      <c r="ER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3" t="n">
        <f aca="false">IF(NOT(Tasks[[#This Row],[_IsLeaf]]=1),0,MAX(_xlfn.MAXIFS(Tasks[_Row],Tasks[_Pred1UID],Tasks[[#This Row],[UID]]),_xlfn.MAXIFS(Tasks[_Row],Tasks[_Pred2UID],Tasks[[#This Row],[UID]]),_xlfn.MAXIFS(Tasks[_Row],Tasks[_Pred3UID],Tasks[[#This Row],[UID]]),_xlfn.MAXIFS(Tasks[_Row],Tasks[_Pred4UID],Tasks[[#This Row],[UID]])))</f>
        <v>0</v>
      </c>
      <c r="FA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91" t="str">
        <f aca="false">IF(NOT(Tasks[[#This Row],[_IsLeaf]]=1),"",IF(N(Tasks[[#This Row],[_Days]])&lt;=0,Tasks[[#This Row],[_LeafLateFinish]],WORKDAY.INTL(Tasks[[#This Row],[_LeafLateFinish]],-(Tasks[[#This Row],[_Days]]-1),WorkWeek,Holidays)))</f>
        <v/>
      </c>
      <c r="FD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4" s="90" t="b">
        <f aca="false">AND(Tasks[[#This Row],[_IsLeaf]]=1,Tasks[[#This Row],[_LeafProgress]]&lt;1,N(Tasks[[#This Row],[_LeafTotalSlack]])&lt;=CriticalSlackDays)</f>
        <v>0</v>
      </c>
      <c r="FF54" s="43" t="n">
        <f aca="false">IF(AND(Tasks[[#This Row],[_IsLeaf]]=1,Tasks[[#This Row],[_ConstraintCode]]=1,Tasks[[#This Row],[Mode]]&lt;&gt;"Manual",N(Tasks[[#This Row],[Actual Start]])=0),MAX(0,N(Tasks[[#This Row],[Free Slack]])),0)</f>
        <v>0</v>
      </c>
      <c r="FG54" s="91" t="str">
        <f aca="false">IF(NOT(Tasks[[#This Row],[_IsLeaf]]=1),"",IF(Tasks[[#This Row],[_AlapShift]]=0,Tasks[[#This Row],[_LeafCalcStart]],WORKDAY.INTL(Tasks[[#This Row],[_LeafCalcStart]],Tasks[[#This Row],[_AlapShift]],WorkWeek,Holidays)))</f>
        <v/>
      </c>
      <c r="FH54" s="91" t="str">
        <f aca="false">IF(NOT(Tasks[[#This Row],[_IsLeaf]]=1),"",IF(Tasks[[#This Row],[_AlapShift]]=0,Tasks[[#This Row],[_LeafCalcFinish]],WORKDAY.INTL(Tasks[[#This Row],[_LeafCalcFinish]],Tasks[[#This Row],[_AlapShift]],WorkWeek,Holidays)))</f>
        <v/>
      </c>
      <c r="FI54" s="91" t="str">
        <f aca="false">IF(NOT(Tasks[[#This Row],[_IsLeaf]]=1),"",IF(Tasks[[#This Row],[_AlapShift]]=0,Tasks[[#This Row],[_LeafFcstStart]],WORKDAY.INTL(Tasks[[#This Row],[_LeafFcstStart]],Tasks[[#This Row],[_AlapShift]],WorkWeek,Holidays)))</f>
        <v/>
      </c>
      <c r="FJ54" s="91" t="str">
        <f aca="false">IF(NOT(Tasks[[#This Row],[_IsLeaf]]=1),"",IF(Tasks[[#This Row],[_AlapShift]]=0,Tasks[[#This Row],[_LeafFcstFinish]],WORKDAY.INTL(Tasks[[#This Row],[_LeafFcstFinish]],Tasks[[#This Row],[_AlapShift]],WorkWeek,Holidays)))</f>
        <v/>
      </c>
      <c r="FK54" s="91" t="str">
        <f aca="false">IF(Tasks[[#This Row],[Task Name]]="","",IF(Tasks[[#This Row],[_IsSummary]],MIN(INDEX(Tasks[_ShownCalcStart],Tasks[[#This Row],[_Row]]+1):INDEX(Tasks[_ShownCalcStart],Tasks[[#This Row],[_Row]]+Tasks[[#This Row],[_Descendants]])),Tasks[[#This Row],[_ShownCalcStart]]))</f>
        <v/>
      </c>
      <c r="FL54" s="91" t="str">
        <f aca="false">IF(Tasks[[#This Row],[Task Name]]="","",IF(Tasks[[#This Row],[_IsSummary]],MAX(INDEX(Tasks[_ShownCalcFinish],Tasks[[#This Row],[_Row]]+1):INDEX(Tasks[_ShownCalcFinish],Tasks[[#This Row],[_Row]]+Tasks[[#This Row],[_Descendants]])),Tasks[[#This Row],[_ShownCalcFinish]]))</f>
        <v/>
      </c>
      <c r="FM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4" s="43" t="n">
        <f aca="false">IF(AND(Tasks[[#This Row],[_IsLeaf]]=1,Tasks[[#This Row],[_LeafTotalWork]]&gt;0),NETWORKDAYS.INTL(ProjectStart,Tasks[[#This Row],[_ShownFcstStart]],WorkWeek,Holidays),0)</f>
        <v>0</v>
      </c>
      <c r="FZ54" s="43" t="n">
        <f aca="false">IF(AND(Tasks[[#This Row],[_IsLeaf]]=1,Tasks[[#This Row],[_LeafTotalWork]]&gt;0),MAX(Tasks[[#This Row],[_StartWorkday]],NETWORKDAYS.INTL(ProjectStart,Tasks[[#This Row],[_ShownFcstFinish]],WorkWeek,Holidays)),0)</f>
        <v>0</v>
      </c>
      <c r="GA54" s="43" t="n">
        <f aca="false">IF(AND(Tasks[[#This Row],[_IsLeaf]]=1,Tasks[[#This Row],[_LeafTotalWork]]&gt;0),Tasks[[#This Row],[_LeafWork]]/(Tasks[[#This Row],[_FinishWorkday]]-Tasks[[#This Row],[_StartWorkday]]+1),0)</f>
        <v>0</v>
      </c>
      <c r="GB54" s="43" t="n">
        <f aca="false">Tasks[[#This Row],[_WorkPerWorkday]]*(Tasks[[#This Row],[_StartWorkday]]-1)</f>
        <v>-0</v>
      </c>
      <c r="GC54" s="43" t="n">
        <f aca="false">IF(Tasks[[#This Row],[_IsLeaf]]=1,MAX(N(Tasks[[#This Row],[_Days]]),0.1),0)</f>
        <v>0</v>
      </c>
      <c r="GD54" s="43" t="n">
        <f aca="false">Tasks[[#This Row],[_WeightDur]]*Tasks[[#This Row],[_LeafProgress]]</f>
        <v>0</v>
      </c>
      <c r="GE54" s="43" t="n">
        <f aca="false">Tasks[[#This Row],[_WeightDur]]*Tasks[[#This Row],[_PlannedPct]]</f>
        <v>0</v>
      </c>
      <c r="GF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3" t="str">
        <f aca="false">IF(AND(Tasks[[#This Row],[_IsLeaf]]=1,N(Tasks[[#This Row],[_Days]])=0,Tasks[[#This Row],[_LeafProgress]]&lt;1),Tasks[[#This Row],[_ShownFcstFinish]]+Tasks[[#This Row],[_Row]]/100000,"")</f>
        <v/>
      </c>
      <c r="GH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4" s="43" t="str">
        <f aca="false">IF(Tasks[[#This Row],[Task Name]]="","",LEFT(Tasks[[#This Row],[WBS]],FIND(".",Tasks[[#This Row],[WBS]]&amp;".")-1))</f>
        <v/>
      </c>
      <c r="GJ54" s="43" t="str">
        <f aca="false">IF(AND(Tasks[[#This Row],[Task Name]]&lt;&gt;"",Tasks[[#This Row],[_Level]]=1),Tasks[[#This Row],[_Row]],"")</f>
        <v/>
      </c>
      <c r="GK54" s="43" t="str">
        <f aca="false">IF(AND(Tasks[[#This Row],[_IsLeaf]]=1,N(Tasks[[#This Row],[_Days]])=0),Tasks[[#This Row],[Planned Finish]]+Tasks[[#This Row],[_Row]]/100000,"")</f>
        <v/>
      </c>
      <c r="GL54" s="43" t="str">
        <f aca="false">IF(AND(Tasks[[#This Row],[_IsLeaf]]=1,Tasks[[#This Row],[_LeafProgress]]&lt;1,OR(N(Tasks[[#This Row],[Finish Var]])&gt;0,Tasks[[#This Row],[Status]]="Late Start")),MAX(0,Tasks[[#This Row],[Finish Var]])+1-Tasks[[#This Row],[_Row]]/1000000,"")</f>
        <v/>
      </c>
      <c r="GM54" s="43" t="str">
        <f aca="false">IF(AND(Tasks[[#This Row],[_IsLeaf]]=1,N(Tasks[[#This Row],[Actual Start]])=0,Tasks[[#This Row],[_ShownFcstStart]]&gt;=StatusDate,Tasks[[#This Row],[_ShownFcstStart]]&lt;=LookaheadEnd),Tasks[[#This Row],[_ShownFcstStart]]+Tasks[[#This Row],[_Row]]/100000,"")</f>
        <v/>
      </c>
      <c r="GN54" s="43" t="str">
        <f aca="false">IF(AND(Tasks[[#This Row],[_IsLeaf]]=1,Tasks[[#This Row],[_LeafProgress]]&lt;1,Tasks[[#This Row],[_ShownFcstFinish]]&gt;=StatusDate,Tasks[[#This Row],[_ShownFcstFinish]]&lt;=LookaheadEnd),Tasks[[#This Row],[_ShownFcstFinish]]+Tasks[[#This Row],[_Row]]/100000,"")</f>
        <v/>
      </c>
      <c r="GO54" s="43" t="str">
        <f aca="false">IF(Tasks[[#This Row],[_LeafCritical]],Tasks[[#This Row],[_ShownFcstStart]]+Tasks[[#This Row],[_Row]]/100000,"")</f>
        <v/>
      </c>
      <c r="GP54" s="43" t="n">
        <f aca="false">Tasks[[#This Row],[_LeafWork]]*Tasks[[#This Row],[_LeafProgress]]</f>
        <v>0</v>
      </c>
      <c r="GQ54" s="91" t="str">
        <f aca="false">IF(AND(Tasks[[#This Row],[_IsLeaf]]=1,Tasks[[#This Row],[_LeafProgress]]&gt;=1),IF(N(Tasks[[#This Row],[Actual Finish]])&gt;0,Tasks[[#This Row],[Actual Finish]],Tasks[[#This Row],[_ShownFcstFinish]]),"")</f>
        <v/>
      </c>
      <c r="GR54" s="43" t="n">
        <f aca="false">IF(Tasks[[#This Row],[_IsLeaf]]=1,N(Tasks[[#This Row],[Story Points]]),0)</f>
        <v>0</v>
      </c>
      <c r="GS54" s="43" t="str">
        <f aca="false">""</f>
        <v/>
      </c>
      <c r="GT54" s="90" t="b">
        <f aca="false">IF(Tasks[[#This Row],[Task Name]]="",FALSE(),AND(Tasks[[#This Row],[_IsLeaf]]=1,N(Tasks[[#This Row],[_Days]])=0))</f>
        <v>0</v>
      </c>
      <c r="GU54" s="91" t="n">
        <f aca="false">IF(Tasks[[#This Row],[Task Name]]="",0,IF(AND(Tasks[[#This Row],[_IsLeaf]]=1,NOT(Tasks[[#This Row],[_IsMilestone]]),N(Tasks[[#This Row],[Progress]])&gt;0),Tasks[[#This Row],[Start]],0))</f>
        <v>0</v>
      </c>
      <c r="GV54" s="91" t="n">
        <f aca="false">IF(Tasks[[#This Row],[_DoneFrom]]=0,0,IF(Tasks[[#This Row],[Progress]]&gt;=1,Tasks[[#This Row],[Finish]],MAX(Tasks[[#This Row],[_DoneFrom]],Tasks[[#This Row],[Start]]+ROUND((Tasks[[#This Row],[Finish]]-Tasks[[#This Row],[Start]]+1)*Tasks[[#This Row],[Progress]],0)-1)))</f>
        <v>0</v>
      </c>
      <c r="GW54" s="91" t="n">
        <f aca="false">IF(Tasks[[#This Row],[Task Name]]="",0,IF(OR(NOT(Tasks[[#This Row],[_IsLeaf]]=1),Tasks[[#This Row],[_IsMilestone]],N(Tasks[[#This Row],[Progress]])&gt;=1),0,IF(Tasks[[#This Row],[_DoneTo]]&gt;0,Tasks[[#This Row],[_DoneTo]]+1,Tasks[[#This Row],[Start]])))</f>
        <v>0</v>
      </c>
      <c r="GX54" s="91" t="n">
        <f aca="false">IF(Tasks[[#This Row],[_RemFrom]]=0,0,Tasks[[#This Row],[Finish]])</f>
        <v>0</v>
      </c>
      <c r="GY54" s="90" t="b">
        <f aca="false">IF(Tasks[[#This Row],[Task Name]]="",FALSE(),OR(NOT(BaselineSet),N(Tasks[[#This Row],[Baseline Start]])&gt;0))</f>
        <v>0</v>
      </c>
      <c r="GZ5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92" t="str">
        <f aca="false">IF(Tasks[[#This Row],[_IsLeaf]]=1,Tasks[[#This Row],[_Row]],"")</f>
        <v/>
      </c>
      <c r="HD54" s="92" t="str">
        <f aca="false">IFERROR(INDEX(Tasks[UID],SMALL(Tasks[_PickKey],Tasks[[#This Row],[_Row]]))&amp;" "&amp;INDEX(Tasks[Task Name],SMALL(Tasks[_PickKey],Tasks[[#This Row],[_Row]])),"")</f>
        <v/>
      </c>
      <c r="HE54" s="43" t="str">
        <f aca="false">IF(Tasks[[#This Row],[Task Name]]="","",IF(Tasks[[#This Row],[_IsSummary]],NETWORKDAYS.INTL(Tasks[[#This Row],[Start]],Tasks[[#This Row],[Finish]],WorkWeek,Holidays),N(Tasks[[#This Row],[_Days]])))</f>
        <v/>
      </c>
      <c r="HF54" s="43" t="n">
        <f aca="false">IF(Tasks[[#This Row],[Expected]]="",0,((Tasks[[#This Row],[Pessimistic]]-Tasks[[#This Row],[Optimistic]])/6)^2)</f>
        <v>0</v>
      </c>
      <c r="HG54" s="43" t="n">
        <f aca="false">IF(Tasks[[#This Row],[Expected]]="",0,Tasks[[#This Row],[Expected]]-N(Tasks[[#This Row],[_Days]]))</f>
        <v>0</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4"/>
      <c r="U55" s="23"/>
      <c r="V55" s="84"/>
      <c r="W55" s="23"/>
      <c r="X55" s="84"/>
      <c r="Y55" s="23"/>
      <c r="Z55" s="84"/>
      <c r="AA55" s="23"/>
      <c r="AB55" s="23"/>
      <c r="AC55" s="7"/>
      <c r="AD55" s="7"/>
      <c r="AE55" s="63" t="str">
        <f aca="false">IF(Tasks[[#This Row],[Task Name]]="","",IF(Tasks[[#This Row],[_IsSummary]],MIN(INDEX(Tasks[_ShownFcstStart],Tasks[[#This Row],[_Row]]+1):INDEX(Tasks[_ShownFcstStart],Tasks[[#This Row],[_Row]]+Tasks[[#This Row],[_Descendants]])),Tasks[[#This Row],[_ShownFcstStart]]))</f>
        <v/>
      </c>
      <c r="AF55" s="63"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5" s="7"/>
      <c r="AK55" s="22"/>
      <c r="AL55" s="23"/>
      <c r="AM55" s="7"/>
      <c r="AN55" s="47"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3" t="str">
        <f aca="false">IF(Tasks[[#This Row],[Task Name]]="","",IF(N(Tasks[[#This Row],[Baseline Start]])&gt;0,Tasks[[#This Row],[Baseline Start]],Tasks[[#This Row],[_CalcStart]]))</f>
        <v/>
      </c>
      <c r="AR55" s="63" t="str">
        <f aca="false">IF(Tasks[[#This Row],[Task Name]]="","",IF(N(Tasks[[#This Row],[Baseline Finish]])&gt;0,Tasks[[#This Row],[Baseline Finish]],Tasks[[#This Row],[_CalcFinish]]))</f>
        <v/>
      </c>
      <c r="AS55" s="47" t="str">
        <f aca="false">IF(Tasks[[#This Row],[Task Name]]="","",IF(Tasks[[#This Row],[Start]]&gt;=Tasks[[#This Row],[Planned Start]],NETWORKDAYS.INTL(Tasks[[#This Row],[Planned Start]],Tasks[[#This Row],[Start]],WorkWeek,Holidays)-1,1-NETWORKDAYS.INTL(Tasks[[#This Row],[Start]],Tasks[[#This Row],[Planned Start]],WorkWeek,Holidays)))</f>
        <v/>
      </c>
      <c r="AT55" s="63" t="str">
        <f aca="false">IF(Tasks[[#This Row],[Task Name]]="","",IF(Tasks[[#This Row],[_IsSummary]],MIN(INDEX(Tasks[_LeafLateStart],Tasks[[#This Row],[_Row]]+1):INDEX(Tasks[_LeafLateStart],Tasks[[#This Row],[_Row]]+Tasks[[#This Row],[_Descendants]])),Tasks[[#This Row],[_LeafLateStart]]))</f>
        <v/>
      </c>
      <c r="AU55" s="63" t="str">
        <f aca="false">IF(Tasks[[#This Row],[Task Name]]="","",IF(Tasks[[#This Row],[_IsSummary]],MAX(INDEX(Tasks[_LeafLateFinish],Tasks[[#This Row],[_Row]]+1):INDEX(Tasks[_LeafLateFinish],Tasks[[#This Row],[_Row]]+Tasks[[#This Row],[_Descendants]])),Tasks[[#This Row],[_LeafLateFinish]]))</f>
        <v/>
      </c>
      <c r="AV55" s="47"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5"/>
      <c r="BA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6"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7"/>
      <c r="BJ55" s="22"/>
      <c r="BK55" s="47" t="str">
        <f aca="false">IF(OR(Tasks[[#This Row],[Task Name]]="",Tasks[[#This Row],[Baseline Duration]]=""),"",Tasks[[#This Row],[_SpanDays]]-N(Tasks[[#This Row],[Baseline Duration]]))</f>
        <v/>
      </c>
      <c r="BL55" s="86" t="str">
        <f aca="false">IF(OR(Tasks[[#This Row],[Task Name]]="",Tasks[[#This Row],[Baseline Work]]=""),"",Tasks[[#This Row],[Work]]-N(Tasks[[#This Row],[Baseline Work]]))</f>
        <v/>
      </c>
      <c r="BM55" s="63" t="str">
        <f aca="false">IF(Tasks[[#This Row],[Task Name]]="","",IF(OR(TakeBaseline="Yes",N(Tasks[[#This Row],[Baseline Start]])=0),Tasks[[#This Row],[Start]],Tasks[[#This Row],[Baseline Start]]))</f>
        <v/>
      </c>
      <c r="BN55" s="63" t="str">
        <f aca="false">IF(Tasks[[#This Row],[Task Name]]="","",IF(OR(TakeBaseline="Yes",N(Tasks[[#This Row],[Baseline Finish]])=0),Tasks[[#This Row],[Finish]],Tasks[[#This Row],[Baseline Finish]]))</f>
        <v/>
      </c>
      <c r="BO55" s="21" t="str">
        <f aca="false">IF(Tasks[[#This Row],[Task Name]]="","",IF(OR(TakeBaseline="Yes",N(Tasks[[#This Row],[Baseline Duration]])=0),Tasks[[#This Row],[_SpanDays]],Tasks[[#This Row],[Baseline Duration]]))</f>
        <v/>
      </c>
      <c r="BP55" s="86" t="str">
        <f aca="false">IF(Tasks[[#This Row],[Task Name]]="","",IF(OR(TakeBaseline="Yes",N(Tasks[[#This Row],[Baseline Work]])=0),Tasks[[#This Row],[Work]],Tasks[[#This Row],[Baseline Work]]))</f>
        <v/>
      </c>
      <c r="BQ55" s="7"/>
      <c r="BR55" s="7"/>
      <c r="BS55" s="22"/>
      <c r="BT55" s="88"/>
      <c r="BU55" s="23"/>
      <c r="BV55" s="23"/>
      <c r="BW55" s="23"/>
      <c r="BX55" s="89" t="str">
        <f aca="false">IF(AND(Tasks[[#This Row],[_IsLeaf]]=1,ISNUMBER(Tasks[[#This Row],[Optimistic]]),ISNUMBER(Tasks[[#This Row],[Pessimistic]])),ROUND((Tasks[[#This Row],[Optimistic]]+4*N(Tasks[[#This Row],[_Days]])+Tasks[[#This Row],[Pessimistic]])/6,1),"")</f>
        <v/>
      </c>
      <c r="BY55" s="87"/>
      <c r="BZ55" s="87"/>
      <c r="CA55" s="22"/>
      <c r="CB55" s="43" t="str">
        <f aca="false">IF(Tasks[[#This Row],[Task Name]]="","",MAX(1,N(Tasks[[#This Row],[Level]])))</f>
        <v/>
      </c>
      <c r="CC55" s="43" t="n">
        <f aca="false">ROW()-ROW(Tasks[[#Headers],[ID]])</f>
        <v>50</v>
      </c>
      <c r="CD55" s="43" t="n">
        <f aca="false">IF(OR(Tasks[[#This Row],[Task Name]]="",Tasks[[#This Row],[_Level]]&lt;=1),0,IFERROR(LOOKUP(2,1/(Tasks[[#Headers],[_Level]]:Tasks[[#This Row],[_Level]]=Tasks[[#This Row],[_Level]]-1),ROW(Tasks[[#Headers],[_Level]]:Tasks[[#This Row],[_Level]])),0))</f>
        <v>0</v>
      </c>
      <c r="CE55" s="43" t="n">
        <f aca="false">IFERROR(N(INDEX(Tasks[_Level],Tasks[[#This Row],[_Row]]+1)),0)</f>
        <v>0</v>
      </c>
      <c r="CF55" s="90" t="b">
        <f aca="false">AND(Tasks[[#This Row],[Task Name]]&lt;&gt;"",Tasks[[#This Row],[_NextLevel]]&gt;Tasks[[#This Row],[_Level]])</f>
        <v>0</v>
      </c>
      <c r="CG55" s="43" t="n">
        <f aca="false">IF(Tasks[[#This Row],[_IsSummary]],COUNTIF(Tasks[WBS],Tasks[[#This Row],[WBS]]&amp;".*"),0)</f>
        <v>0</v>
      </c>
      <c r="CH55" s="43" t="n">
        <f aca="false">IF(AND(Tasks[[#This Row],[Task Name]]&lt;&gt;"",NOT(Tasks[[#This Row],[_IsSummary]])),1,0)</f>
        <v>0</v>
      </c>
      <c r="CI55" s="43" t="n">
        <f aca="false">IF(N(Tasks[[#This Row],[_Pred1UID]])=0,0,IFERROR(MATCH(Tasks[[#This Row],[_Pred1UID]],Tasks[UID],0),-1))</f>
        <v>0</v>
      </c>
      <c r="CJ55" s="43" t="n">
        <f aca="false">IF(N(Tasks[[#This Row],[_Pred2UID]])=0,0,IFERROR(MATCH(Tasks[[#This Row],[_Pred2UID]],Tasks[UID],0),-1))</f>
        <v>0</v>
      </c>
      <c r="CK55" s="43" t="n">
        <f aca="false">IF(N(Tasks[[#This Row],[_Pred3UID]])=0,0,IFERROR(MATCH(Tasks[[#This Row],[_Pred3UID]],Tasks[UID],0),-1))</f>
        <v>0</v>
      </c>
      <c r="CL55" s="43" t="n">
        <f aca="false">IF(N(Tasks[[#This Row],[_Pred4UID]])=0,0,IFERROR(MATCH(Tasks[[#This Row],[_Pred4UID]],Tasks[UID],0),-1))</f>
        <v>0</v>
      </c>
      <c r="CM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5" s="91" t="n">
        <f aca="false">IF(OR(Tasks[[#This Row],[_ConstraintCode]]=2,Tasks[[#This Row],[_ConstraintCode]]=3,Tasks[[#This Row],[_ConstraintCode]]=4,Tasks[[#This Row],[_ConstraintCode]]=6),Tasks[[#This Row],[_ConstraintStart]],0)</f>
        <v>0</v>
      </c>
      <c r="CP55" s="91" t="n">
        <f aca="false">IF(OR(Tasks[[#This Row],[_ConstraintCode]]=2,Tasks[[#This Row],[_ConstraintCode]]=3,Tasks[[#This Row],[_ConstraintCode]]=5,Tasks[[#This Row],[_ConstraintCode]]=7),Tasks[[#This Row],[_ConstraintStart]],2958465)</f>
        <v>2958465</v>
      </c>
      <c r="CQ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91" t="str">
        <f aca="false">IF(NOT(Tasks[[#This Row],[_IsLeaf]]=1),"",IF(N(Tasks[[#This Row],[_Days]])&lt;=0,Tasks[[#This Row],[_LeafCalcStart]],WORKDAY.INTL(Tasks[[#This Row],[_LeafCalcStart]],Tasks[[#This Row],[_Days]]-1,WorkWeek,Holidays)))</f>
        <v/>
      </c>
      <c r="CS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3" t="str">
        <f aca="false">IF(Tasks[[#This Row],[_Predecessors]]="","",TRIM(MID(SUBSTITUTE(SUBSTITUTE(SUBSTITUTE(UPPER(Tasks[[#This Row],[_Predecessors]]),";",",")," ",""),",",REPT(" ",99)),1,99)))</f>
        <v/>
      </c>
      <c r="CV55" s="43" t="str">
        <f aca="false">IF(Tasks[[#This Row],[_Pred1Text]]="","",IFERROR(VALUE(LEFT(Tasks[[#This Row],[_Pred1Text]],MIN(FIND("F",Tasks[[#This Row],[_Pred1Text]]&amp;"F"),FIND("S",Tasks[[#This Row],[_Pred1Text]]&amp;"S"),FIND("+",Tasks[[#This Row],[_Pred1Text]]&amp;"+"),FIND("-",Tasks[[#This Row],[_Pred1Text]]&amp;"-"))-1)),""))</f>
        <v/>
      </c>
      <c r="CW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3" t="str">
        <f aca="false">IF(Tasks[[#This Row],[_Pred1Text]]="","",TRIM(MID(SUBSTITUTE(SUBSTITUTE(SUBSTITUTE(UPPER(Tasks[[#This Row],[_Predecessors]]),";",",")," ",""),",",REPT(" ",99)),100,99)))</f>
        <v/>
      </c>
      <c r="CZ55" s="43" t="str">
        <f aca="false">IF(Tasks[[#This Row],[_Pred2Text]]="","",IFERROR(VALUE(LEFT(Tasks[[#This Row],[_Pred2Text]],MIN(FIND("F",Tasks[[#This Row],[_Pred2Text]]&amp;"F"),FIND("S",Tasks[[#This Row],[_Pred2Text]]&amp;"S"),FIND("+",Tasks[[#This Row],[_Pred2Text]]&amp;"+"),FIND("-",Tasks[[#This Row],[_Pred2Text]]&amp;"-"))-1)),""))</f>
        <v/>
      </c>
      <c r="DA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3" t="str">
        <f aca="false">IF(Tasks[[#This Row],[_Pred2Text]]="","",TRIM(MID(SUBSTITUTE(SUBSTITUTE(SUBSTITUTE(UPPER(Tasks[[#This Row],[_Predecessors]]),";",",")," ",""),",",REPT(" ",99)),199,99)))</f>
        <v/>
      </c>
      <c r="DD55" s="43" t="str">
        <f aca="false">IF(Tasks[[#This Row],[_Pred3Text]]="","",IFERROR(VALUE(LEFT(Tasks[[#This Row],[_Pred3Text]],MIN(FIND("F",Tasks[[#This Row],[_Pred3Text]]&amp;"F"),FIND("S",Tasks[[#This Row],[_Pred3Text]]&amp;"S"),FIND("+",Tasks[[#This Row],[_Pred3Text]]&amp;"+"),FIND("-",Tasks[[#This Row],[_Pred3Text]]&amp;"-"))-1)),""))</f>
        <v/>
      </c>
      <c r="DE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3" t="str">
        <f aca="false">IF(Tasks[[#This Row],[_Pred3Text]]="","",TRIM(MID(SUBSTITUTE(SUBSTITUTE(SUBSTITUTE(UPPER(Tasks[[#This Row],[_Predecessors]]),";",",")," ",""),",",REPT(" ",99)),298,99)))</f>
        <v/>
      </c>
      <c r="DH55" s="43" t="str">
        <f aca="false">IF(Tasks[[#This Row],[_Pred4Text]]="","",IFERROR(VALUE(LEFT(Tasks[[#This Row],[_Pred4Text]],MIN(FIND("F",Tasks[[#This Row],[_Pred4Text]]&amp;"F"),FIND("S",Tasks[[#This Row],[_Pred4Text]]&amp;"S"),FIND("+",Tasks[[#This Row],[_Pred4Text]]&amp;"+"),FIND("-",Tasks[[#This Row],[_Pred4Text]]&amp;"-"))-1)),""))</f>
        <v/>
      </c>
      <c r="DI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3" t="str">
        <f aca="false">IF(OR(Tasks[[#This Row],[Task Name]]="",Tasks[[#This Row],[_Resources]]=""),"",TRIM(MID(SUBSTITUTE(Tasks[[#This Row],[_Resources]],",",REPT(" ",99)),1,99)))</f>
        <v/>
      </c>
      <c r="DL55" s="43" t="str">
        <f aca="false">IF(Tasks[[#This Row],[_Res1Text]]="","",TRIM(MID(SUBSTITUTE(Tasks[[#This Row],[_Resources]],",",REPT(" ",99)),100,99)))</f>
        <v/>
      </c>
      <c r="DM55" s="43" t="str">
        <f aca="false">IF(Tasks[[#This Row],[_Res2Text]]="","",TRIM(MID(SUBSTITUTE(Tasks[[#This Row],[_Resources]],",",REPT(" ",99)),199,99)))</f>
        <v/>
      </c>
      <c r="DN55" s="43" t="str">
        <f aca="false">IF(Tasks[[#This Row],[_Res3Text]]="","",TRIM(MID(SUBSTITUTE(Tasks[[#This Row],[_Resources]],",",REPT(" ",99)),298,99)))</f>
        <v/>
      </c>
      <c r="DO55" s="43" t="n">
        <f aca="false">IF(Tasks[[#This Row],[_Res1Text]]="",0,IFERROR(MATCH(TRIM(LEFT(Tasks[[#This Row],[_Res1Text]],FIND("[",Tasks[[#This Row],[_Res1Text]]&amp;"[")-1)),res_Name,0),IFERROR(MATCH(TRIM(LEFT(Tasks[[#This Row],[_Res1Text]],FIND("[",Tasks[[#This Row],[_Res1Text]]&amp;"[")-1)),res_Initials,0),0)))</f>
        <v>0</v>
      </c>
      <c r="DP55" s="43" t="n">
        <f aca="false">IF(Tasks[[#This Row],[_Res2Text]]="",0,IFERROR(MATCH(TRIM(LEFT(Tasks[[#This Row],[_Res2Text]],FIND("[",Tasks[[#This Row],[_Res2Text]]&amp;"[")-1)),res_Name,0),IFERROR(MATCH(TRIM(LEFT(Tasks[[#This Row],[_Res2Text]],FIND("[",Tasks[[#This Row],[_Res2Text]]&amp;"[")-1)),res_Initials,0),0)))</f>
        <v>0</v>
      </c>
      <c r="DQ55" s="43" t="n">
        <f aca="false">IF(Tasks[[#This Row],[_Res3Text]]="",0,IFERROR(MATCH(TRIM(LEFT(Tasks[[#This Row],[_Res3Text]],FIND("[",Tasks[[#This Row],[_Res3Text]]&amp;"[")-1)),res_Name,0),IFERROR(MATCH(TRIM(LEFT(Tasks[[#This Row],[_Res3Text]],FIND("[",Tasks[[#This Row],[_Res3Text]]&amp;"[")-1)),res_Initials,0),0)))</f>
        <v>0</v>
      </c>
      <c r="DR55" s="43" t="n">
        <f aca="false">IF(Tasks[[#This Row],[_Res4Text]]="",0,IFERROR(MATCH(TRIM(LEFT(Tasks[[#This Row],[_Res4Text]],FIND("[",Tasks[[#This Row],[_Res4Text]]&amp;"[")-1)),res_Name,0),IFERROR(MATCH(TRIM(LEFT(Tasks[[#This Row],[_Res4Text]],FIND("[",Tasks[[#This Row],[_Res4Text]]&amp;"[")-1)),res_Initials,0),0)))</f>
        <v>0</v>
      </c>
      <c r="DS55" s="43" t="str">
        <f aca="false">IF(Tasks[[#This Row],[_Res1Text]]="","",IF(Tasks[[#This Row],[_Res1Row]]&gt;0,INDEX(res_Name,Tasks[[#This Row],[_Res1Row]]),TRIM(LEFT(Tasks[[#This Row],[_Res1Text]],FIND("[",Tasks[[#This Row],[_Res1Text]]&amp;"[")-1))))</f>
        <v/>
      </c>
      <c r="DT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3" t="n">
        <f aca="false">IF(NOT(Tasks[[#This Row],[_IsLeaf]]=1),0,(Tasks[[#This Row],[_Resource1]]&lt;&gt;"")+(Tasks[[#This Row],[_Res2]]&lt;&gt;"")+(Tasks[[#This Row],[_Res3]]&lt;&gt;"")+(Tasks[[#This Row],[_Res4]]&lt;&gt;""))</f>
        <v>0</v>
      </c>
      <c r="DV55" s="43" t="str">
        <f aca="false">IF(Tasks[[#This Row],[_Res2Text]]="","",IF(Tasks[[#This Row],[_Res2Row]]&gt;0,INDEX(res_Name,Tasks[[#This Row],[_Res2Row]]),TRIM(LEFT(Tasks[[#This Row],[_Res2Text]],FIND("[",Tasks[[#This Row],[_Res2Text]]&amp;"[")-1))))</f>
        <v/>
      </c>
      <c r="DW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3" t="n">
        <f aca="false">IF(OR(NOT(Tasks[[#This Row],[_IsLeaf]]=1),Tasks[[#This Row],[_Res2Row]]=0),0,N(Tasks[[#This Row],[_Days]])*HoursPerDay*IF(Tasks[[#This Row],[_Res2Units]]="",DefaultUnits,Tasks[[#This Row],[_Res2Units]]))</f>
        <v>0</v>
      </c>
      <c r="DY55" s="43" t="n">
        <f aca="false">IF(AND(AND(Tasks[[#This Row],[_IsLeaf]]=1,Tasks[[#This Row],[_LeafTotalWork]]&gt;0),Tasks[[#This Row],[_Res2Work]]&gt;0),Tasks[[#This Row],[_Res2Work]]/(Tasks[[#This Row],[_FinishWorkday]]-Tasks[[#This Row],[_StartWorkday]]+1),0)</f>
        <v>0</v>
      </c>
      <c r="DZ55" s="43" t="n">
        <f aca="false">Tasks[[#This Row],[_Res2WorkPerWD]]*MAX(0,Tasks[[#This Row],[_StartWorkday]]-1)</f>
        <v>0</v>
      </c>
      <c r="EA55" s="43" t="n">
        <f aca="false">Tasks[[#This Row],[_Res2Work]]*Tasks[[#This Row],[_LeafProgress]]</f>
        <v>0</v>
      </c>
      <c r="EB55" s="43" t="str">
        <f aca="false">IF(Tasks[[#This Row],[_Res3Text]]="","",IF(Tasks[[#This Row],[_Res3Row]]&gt;0,INDEX(res_Name,Tasks[[#This Row],[_Res3Row]]),TRIM(LEFT(Tasks[[#This Row],[_Res3Text]],FIND("[",Tasks[[#This Row],[_Res3Text]]&amp;"[")-1))))</f>
        <v/>
      </c>
      <c r="EC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3" t="n">
        <f aca="false">IF(OR(NOT(Tasks[[#This Row],[_IsLeaf]]=1),Tasks[[#This Row],[_Res3Row]]=0),0,N(Tasks[[#This Row],[_Days]])*HoursPerDay*IF(Tasks[[#This Row],[_Res3Units]]="",DefaultUnits,Tasks[[#This Row],[_Res3Units]]))</f>
        <v>0</v>
      </c>
      <c r="EE55" s="43" t="n">
        <f aca="false">IF(AND(AND(Tasks[[#This Row],[_IsLeaf]]=1,Tasks[[#This Row],[_LeafTotalWork]]&gt;0),Tasks[[#This Row],[_Res3Work]]&gt;0),Tasks[[#This Row],[_Res3Work]]/(Tasks[[#This Row],[_FinishWorkday]]-Tasks[[#This Row],[_StartWorkday]]+1),0)</f>
        <v>0</v>
      </c>
      <c r="EF55" s="43" t="n">
        <f aca="false">Tasks[[#This Row],[_Res3WorkPerWD]]*MAX(0,Tasks[[#This Row],[_StartWorkday]]-1)</f>
        <v>0</v>
      </c>
      <c r="EG55" s="43" t="n">
        <f aca="false">Tasks[[#This Row],[_Res3Work]]*Tasks[[#This Row],[_LeafProgress]]</f>
        <v>0</v>
      </c>
      <c r="EH55" s="43" t="str">
        <f aca="false">IF(Tasks[[#This Row],[_Res4Text]]="","",IF(Tasks[[#This Row],[_Res4Row]]&gt;0,INDEX(res_Name,Tasks[[#This Row],[_Res4Row]]),TRIM(LEFT(Tasks[[#This Row],[_Res4Text]],FIND("[",Tasks[[#This Row],[_Res4Text]]&amp;"[")-1))))</f>
        <v/>
      </c>
      <c r="EI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3" t="n">
        <f aca="false">IF(OR(NOT(Tasks[[#This Row],[_IsLeaf]]=1),Tasks[[#This Row],[_Res4Row]]=0),0,N(Tasks[[#This Row],[_Days]])*HoursPerDay*IF(Tasks[[#This Row],[_Res4Units]]="",DefaultUnits,Tasks[[#This Row],[_Res4Units]]))</f>
        <v>0</v>
      </c>
      <c r="EK55" s="43" t="n">
        <f aca="false">IF(AND(AND(Tasks[[#This Row],[_IsLeaf]]=1,Tasks[[#This Row],[_LeafTotalWork]]&gt;0),Tasks[[#This Row],[_Res4Work]]&gt;0),Tasks[[#This Row],[_Res4Work]]/(Tasks[[#This Row],[_FinishWorkday]]-Tasks[[#This Row],[_StartWorkday]]+1),0)</f>
        <v>0</v>
      </c>
      <c r="EL55" s="43" t="n">
        <f aca="false">Tasks[[#This Row],[_Res4WorkPerWD]]*MAX(0,Tasks[[#This Row],[_StartWorkday]]-1)</f>
        <v>0</v>
      </c>
      <c r="EM55" s="43" t="n">
        <f aca="false">Tasks[[#This Row],[_Res4Work]]*Tasks[[#This Row],[_LeafProgress]]</f>
        <v>0</v>
      </c>
      <c r="EN55" s="43" t="n">
        <f aca="false">IF(ISNUMBER(Tasks[[#This Row],[% Complete]]),Tasks[[#This Row],[% Complete]],IF(Tasks[[#This Row],[Stage]]="",0,IFERROR(INDEX(stg_Pct,MATCH(Tasks[[#This Row],[Stage]],stg_Name,0)),0)))</f>
        <v>0</v>
      </c>
      <c r="EO55" s="43" t="n">
        <f aca="false">IF(NOT(Tasks[[#This Row],[_IsLeaf]]=1),0,IF(N(Tasks[[#This Row],[Actual Finish]])&gt;0,1,MIN(1,Tasks[[#This Row],[_Pct]])))</f>
        <v>0</v>
      </c>
      <c r="EP55" s="43" t="n">
        <f aca="false">IF(OR(NOT(Tasks[[#This Row],[_IsLeaf]]=1),Tasks[[#This Row],[_Res1Row]]=0),0,N(Tasks[[#This Row],[_Days]])*HoursPerDay*IF(Tasks[[#This Row],[_Units1]]="",DefaultUnits,Tasks[[#This Row],[_Units1]]))</f>
        <v>0</v>
      </c>
      <c r="EQ55" s="43" t="n">
        <f aca="false">Tasks[[#This Row],[_LeafWork]]+Tasks[[#This Row],[_Res2Work]]+Tasks[[#This Row],[_Res3Work]]+Tasks[[#This Row],[_Res4Work]]</f>
        <v>0</v>
      </c>
      <c r="ER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3" t="n">
        <f aca="false">IF(NOT(Tasks[[#This Row],[_IsLeaf]]=1),0,MAX(_xlfn.MAXIFS(Tasks[_Row],Tasks[_Pred1UID],Tasks[[#This Row],[UID]]),_xlfn.MAXIFS(Tasks[_Row],Tasks[_Pred2UID],Tasks[[#This Row],[UID]]),_xlfn.MAXIFS(Tasks[_Row],Tasks[_Pred3UID],Tasks[[#This Row],[UID]]),_xlfn.MAXIFS(Tasks[_Row],Tasks[_Pred4UID],Tasks[[#This Row],[UID]])))</f>
        <v>0</v>
      </c>
      <c r="FA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91" t="str">
        <f aca="false">IF(NOT(Tasks[[#This Row],[_IsLeaf]]=1),"",IF(N(Tasks[[#This Row],[_Days]])&lt;=0,Tasks[[#This Row],[_LeafLateFinish]],WORKDAY.INTL(Tasks[[#This Row],[_LeafLateFinish]],-(Tasks[[#This Row],[_Days]]-1),WorkWeek,Holidays)))</f>
        <v/>
      </c>
      <c r="FD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5" s="90" t="b">
        <f aca="false">AND(Tasks[[#This Row],[_IsLeaf]]=1,Tasks[[#This Row],[_LeafProgress]]&lt;1,N(Tasks[[#This Row],[_LeafTotalSlack]])&lt;=CriticalSlackDays)</f>
        <v>0</v>
      </c>
      <c r="FF55" s="43" t="n">
        <f aca="false">IF(AND(Tasks[[#This Row],[_IsLeaf]]=1,Tasks[[#This Row],[_ConstraintCode]]=1,Tasks[[#This Row],[Mode]]&lt;&gt;"Manual",N(Tasks[[#This Row],[Actual Start]])=0),MAX(0,N(Tasks[[#This Row],[Free Slack]])),0)</f>
        <v>0</v>
      </c>
      <c r="FG55" s="91" t="str">
        <f aca="false">IF(NOT(Tasks[[#This Row],[_IsLeaf]]=1),"",IF(Tasks[[#This Row],[_AlapShift]]=0,Tasks[[#This Row],[_LeafCalcStart]],WORKDAY.INTL(Tasks[[#This Row],[_LeafCalcStart]],Tasks[[#This Row],[_AlapShift]],WorkWeek,Holidays)))</f>
        <v/>
      </c>
      <c r="FH55" s="91" t="str">
        <f aca="false">IF(NOT(Tasks[[#This Row],[_IsLeaf]]=1),"",IF(Tasks[[#This Row],[_AlapShift]]=0,Tasks[[#This Row],[_LeafCalcFinish]],WORKDAY.INTL(Tasks[[#This Row],[_LeafCalcFinish]],Tasks[[#This Row],[_AlapShift]],WorkWeek,Holidays)))</f>
        <v/>
      </c>
      <c r="FI55" s="91" t="str">
        <f aca="false">IF(NOT(Tasks[[#This Row],[_IsLeaf]]=1),"",IF(Tasks[[#This Row],[_AlapShift]]=0,Tasks[[#This Row],[_LeafFcstStart]],WORKDAY.INTL(Tasks[[#This Row],[_LeafFcstStart]],Tasks[[#This Row],[_AlapShift]],WorkWeek,Holidays)))</f>
        <v/>
      </c>
      <c r="FJ55" s="91" t="str">
        <f aca="false">IF(NOT(Tasks[[#This Row],[_IsLeaf]]=1),"",IF(Tasks[[#This Row],[_AlapShift]]=0,Tasks[[#This Row],[_LeafFcstFinish]],WORKDAY.INTL(Tasks[[#This Row],[_LeafFcstFinish]],Tasks[[#This Row],[_AlapShift]],WorkWeek,Holidays)))</f>
        <v/>
      </c>
      <c r="FK55" s="91" t="str">
        <f aca="false">IF(Tasks[[#This Row],[Task Name]]="","",IF(Tasks[[#This Row],[_IsSummary]],MIN(INDEX(Tasks[_ShownCalcStart],Tasks[[#This Row],[_Row]]+1):INDEX(Tasks[_ShownCalcStart],Tasks[[#This Row],[_Row]]+Tasks[[#This Row],[_Descendants]])),Tasks[[#This Row],[_ShownCalcStart]]))</f>
        <v/>
      </c>
      <c r="FL55" s="91" t="str">
        <f aca="false">IF(Tasks[[#This Row],[Task Name]]="","",IF(Tasks[[#This Row],[_IsSummary]],MAX(INDEX(Tasks[_ShownCalcFinish],Tasks[[#This Row],[_Row]]+1):INDEX(Tasks[_ShownCalcFinish],Tasks[[#This Row],[_Row]]+Tasks[[#This Row],[_Descendants]])),Tasks[[#This Row],[_ShownCalcFinish]]))</f>
        <v/>
      </c>
      <c r="FM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5" s="43" t="n">
        <f aca="false">IF(AND(Tasks[[#This Row],[_IsLeaf]]=1,Tasks[[#This Row],[_LeafTotalWork]]&gt;0),NETWORKDAYS.INTL(ProjectStart,Tasks[[#This Row],[_ShownFcstStart]],WorkWeek,Holidays),0)</f>
        <v>0</v>
      </c>
      <c r="FZ55" s="43" t="n">
        <f aca="false">IF(AND(Tasks[[#This Row],[_IsLeaf]]=1,Tasks[[#This Row],[_LeafTotalWork]]&gt;0),MAX(Tasks[[#This Row],[_StartWorkday]],NETWORKDAYS.INTL(ProjectStart,Tasks[[#This Row],[_ShownFcstFinish]],WorkWeek,Holidays)),0)</f>
        <v>0</v>
      </c>
      <c r="GA55" s="43" t="n">
        <f aca="false">IF(AND(Tasks[[#This Row],[_IsLeaf]]=1,Tasks[[#This Row],[_LeafTotalWork]]&gt;0),Tasks[[#This Row],[_LeafWork]]/(Tasks[[#This Row],[_FinishWorkday]]-Tasks[[#This Row],[_StartWorkday]]+1),0)</f>
        <v>0</v>
      </c>
      <c r="GB55" s="43" t="n">
        <f aca="false">Tasks[[#This Row],[_WorkPerWorkday]]*(Tasks[[#This Row],[_StartWorkday]]-1)</f>
        <v>-0</v>
      </c>
      <c r="GC55" s="43" t="n">
        <f aca="false">IF(Tasks[[#This Row],[_IsLeaf]]=1,MAX(N(Tasks[[#This Row],[_Days]]),0.1),0)</f>
        <v>0</v>
      </c>
      <c r="GD55" s="43" t="n">
        <f aca="false">Tasks[[#This Row],[_WeightDur]]*Tasks[[#This Row],[_LeafProgress]]</f>
        <v>0</v>
      </c>
      <c r="GE55" s="43" t="n">
        <f aca="false">Tasks[[#This Row],[_WeightDur]]*Tasks[[#This Row],[_PlannedPct]]</f>
        <v>0</v>
      </c>
      <c r="GF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3" t="str">
        <f aca="false">IF(AND(Tasks[[#This Row],[_IsLeaf]]=1,N(Tasks[[#This Row],[_Days]])=0,Tasks[[#This Row],[_LeafProgress]]&lt;1),Tasks[[#This Row],[_ShownFcstFinish]]+Tasks[[#This Row],[_Row]]/100000,"")</f>
        <v/>
      </c>
      <c r="GH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5" s="43" t="str">
        <f aca="false">IF(Tasks[[#This Row],[Task Name]]="","",LEFT(Tasks[[#This Row],[WBS]],FIND(".",Tasks[[#This Row],[WBS]]&amp;".")-1))</f>
        <v/>
      </c>
      <c r="GJ55" s="43" t="str">
        <f aca="false">IF(AND(Tasks[[#This Row],[Task Name]]&lt;&gt;"",Tasks[[#This Row],[_Level]]=1),Tasks[[#This Row],[_Row]],"")</f>
        <v/>
      </c>
      <c r="GK55" s="43" t="str">
        <f aca="false">IF(AND(Tasks[[#This Row],[_IsLeaf]]=1,N(Tasks[[#This Row],[_Days]])=0),Tasks[[#This Row],[Planned Finish]]+Tasks[[#This Row],[_Row]]/100000,"")</f>
        <v/>
      </c>
      <c r="GL55" s="43" t="str">
        <f aca="false">IF(AND(Tasks[[#This Row],[_IsLeaf]]=1,Tasks[[#This Row],[_LeafProgress]]&lt;1,OR(N(Tasks[[#This Row],[Finish Var]])&gt;0,Tasks[[#This Row],[Status]]="Late Start")),MAX(0,Tasks[[#This Row],[Finish Var]])+1-Tasks[[#This Row],[_Row]]/1000000,"")</f>
        <v/>
      </c>
      <c r="GM55" s="43" t="str">
        <f aca="false">IF(AND(Tasks[[#This Row],[_IsLeaf]]=1,N(Tasks[[#This Row],[Actual Start]])=0,Tasks[[#This Row],[_ShownFcstStart]]&gt;=StatusDate,Tasks[[#This Row],[_ShownFcstStart]]&lt;=LookaheadEnd),Tasks[[#This Row],[_ShownFcstStart]]+Tasks[[#This Row],[_Row]]/100000,"")</f>
        <v/>
      </c>
      <c r="GN55" s="43" t="str">
        <f aca="false">IF(AND(Tasks[[#This Row],[_IsLeaf]]=1,Tasks[[#This Row],[_LeafProgress]]&lt;1,Tasks[[#This Row],[_ShownFcstFinish]]&gt;=StatusDate,Tasks[[#This Row],[_ShownFcstFinish]]&lt;=LookaheadEnd),Tasks[[#This Row],[_ShownFcstFinish]]+Tasks[[#This Row],[_Row]]/100000,"")</f>
        <v/>
      </c>
      <c r="GO55" s="43" t="str">
        <f aca="false">IF(Tasks[[#This Row],[_LeafCritical]],Tasks[[#This Row],[_ShownFcstStart]]+Tasks[[#This Row],[_Row]]/100000,"")</f>
        <v/>
      </c>
      <c r="GP55" s="43" t="n">
        <f aca="false">Tasks[[#This Row],[_LeafWork]]*Tasks[[#This Row],[_LeafProgress]]</f>
        <v>0</v>
      </c>
      <c r="GQ55" s="91" t="str">
        <f aca="false">IF(AND(Tasks[[#This Row],[_IsLeaf]]=1,Tasks[[#This Row],[_LeafProgress]]&gt;=1),IF(N(Tasks[[#This Row],[Actual Finish]])&gt;0,Tasks[[#This Row],[Actual Finish]],Tasks[[#This Row],[_ShownFcstFinish]]),"")</f>
        <v/>
      </c>
      <c r="GR55" s="43" t="n">
        <f aca="false">IF(Tasks[[#This Row],[_IsLeaf]]=1,N(Tasks[[#This Row],[Story Points]]),0)</f>
        <v>0</v>
      </c>
      <c r="GS55" s="43" t="str">
        <f aca="false">""</f>
        <v/>
      </c>
      <c r="GT55" s="90" t="b">
        <f aca="false">IF(Tasks[[#This Row],[Task Name]]="",FALSE(),AND(Tasks[[#This Row],[_IsLeaf]]=1,N(Tasks[[#This Row],[_Days]])=0))</f>
        <v>0</v>
      </c>
      <c r="GU55" s="91" t="n">
        <f aca="false">IF(Tasks[[#This Row],[Task Name]]="",0,IF(AND(Tasks[[#This Row],[_IsLeaf]]=1,NOT(Tasks[[#This Row],[_IsMilestone]]),N(Tasks[[#This Row],[Progress]])&gt;0),Tasks[[#This Row],[Start]],0))</f>
        <v>0</v>
      </c>
      <c r="GV55" s="91" t="n">
        <f aca="false">IF(Tasks[[#This Row],[_DoneFrom]]=0,0,IF(Tasks[[#This Row],[Progress]]&gt;=1,Tasks[[#This Row],[Finish]],MAX(Tasks[[#This Row],[_DoneFrom]],Tasks[[#This Row],[Start]]+ROUND((Tasks[[#This Row],[Finish]]-Tasks[[#This Row],[Start]]+1)*Tasks[[#This Row],[Progress]],0)-1)))</f>
        <v>0</v>
      </c>
      <c r="GW55" s="91" t="n">
        <f aca="false">IF(Tasks[[#This Row],[Task Name]]="",0,IF(OR(NOT(Tasks[[#This Row],[_IsLeaf]]=1),Tasks[[#This Row],[_IsMilestone]],N(Tasks[[#This Row],[Progress]])&gt;=1),0,IF(Tasks[[#This Row],[_DoneTo]]&gt;0,Tasks[[#This Row],[_DoneTo]]+1,Tasks[[#This Row],[Start]])))</f>
        <v>0</v>
      </c>
      <c r="GX55" s="91" t="n">
        <f aca="false">IF(Tasks[[#This Row],[_RemFrom]]=0,0,Tasks[[#This Row],[Finish]])</f>
        <v>0</v>
      </c>
      <c r="GY55" s="90" t="b">
        <f aca="false">IF(Tasks[[#This Row],[Task Name]]="",FALSE(),OR(NOT(BaselineSet),N(Tasks[[#This Row],[Baseline Start]])&gt;0))</f>
        <v>0</v>
      </c>
      <c r="GZ5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92" t="str">
        <f aca="false">IF(Tasks[[#This Row],[_IsLeaf]]=1,Tasks[[#This Row],[_Row]],"")</f>
        <v/>
      </c>
      <c r="HD55" s="92" t="str">
        <f aca="false">IFERROR(INDEX(Tasks[UID],SMALL(Tasks[_PickKey],Tasks[[#This Row],[_Row]]))&amp;" "&amp;INDEX(Tasks[Task Name],SMALL(Tasks[_PickKey],Tasks[[#This Row],[_Row]])),"")</f>
        <v/>
      </c>
      <c r="HE55" s="43" t="str">
        <f aca="false">IF(Tasks[[#This Row],[Task Name]]="","",IF(Tasks[[#This Row],[_IsSummary]],NETWORKDAYS.INTL(Tasks[[#This Row],[Start]],Tasks[[#This Row],[Finish]],WorkWeek,Holidays),N(Tasks[[#This Row],[_Days]])))</f>
        <v/>
      </c>
      <c r="HF55" s="43" t="n">
        <f aca="false">IF(Tasks[[#This Row],[Expected]]="",0,((Tasks[[#This Row],[Pessimistic]]-Tasks[[#This Row],[Optimistic]])/6)^2)</f>
        <v>0</v>
      </c>
      <c r="HG55" s="43" t="n">
        <f aca="false">IF(Tasks[[#This Row],[Expected]]="",0,Tasks[[#This Row],[Expected]]-N(Tasks[[#This Row],[_Days]]))</f>
        <v>0</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4"/>
      <c r="U56" s="23"/>
      <c r="V56" s="84"/>
      <c r="W56" s="23"/>
      <c r="X56" s="84"/>
      <c r="Y56" s="23"/>
      <c r="Z56" s="84"/>
      <c r="AA56" s="23"/>
      <c r="AB56" s="23"/>
      <c r="AC56" s="7"/>
      <c r="AD56" s="7"/>
      <c r="AE56" s="63" t="str">
        <f aca="false">IF(Tasks[[#This Row],[Task Name]]="","",IF(Tasks[[#This Row],[_IsSummary]],MIN(INDEX(Tasks[_ShownFcstStart],Tasks[[#This Row],[_Row]]+1):INDEX(Tasks[_ShownFcstStart],Tasks[[#This Row],[_Row]]+Tasks[[#This Row],[_Descendants]])),Tasks[[#This Row],[_ShownFcstStart]]))</f>
        <v/>
      </c>
      <c r="AF56" s="63"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6" s="7"/>
      <c r="AK56" s="22"/>
      <c r="AL56" s="23"/>
      <c r="AM56" s="7"/>
      <c r="AN56" s="47"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3" t="str">
        <f aca="false">IF(Tasks[[#This Row],[Task Name]]="","",IF(N(Tasks[[#This Row],[Baseline Start]])&gt;0,Tasks[[#This Row],[Baseline Start]],Tasks[[#This Row],[_CalcStart]]))</f>
        <v/>
      </c>
      <c r="AR56" s="63" t="str">
        <f aca="false">IF(Tasks[[#This Row],[Task Name]]="","",IF(N(Tasks[[#This Row],[Baseline Finish]])&gt;0,Tasks[[#This Row],[Baseline Finish]],Tasks[[#This Row],[_CalcFinish]]))</f>
        <v/>
      </c>
      <c r="AS56" s="47" t="str">
        <f aca="false">IF(Tasks[[#This Row],[Task Name]]="","",IF(Tasks[[#This Row],[Start]]&gt;=Tasks[[#This Row],[Planned Start]],NETWORKDAYS.INTL(Tasks[[#This Row],[Planned Start]],Tasks[[#This Row],[Start]],WorkWeek,Holidays)-1,1-NETWORKDAYS.INTL(Tasks[[#This Row],[Start]],Tasks[[#This Row],[Planned Start]],WorkWeek,Holidays)))</f>
        <v/>
      </c>
      <c r="AT56" s="63" t="str">
        <f aca="false">IF(Tasks[[#This Row],[Task Name]]="","",IF(Tasks[[#This Row],[_IsSummary]],MIN(INDEX(Tasks[_LeafLateStart],Tasks[[#This Row],[_Row]]+1):INDEX(Tasks[_LeafLateStart],Tasks[[#This Row],[_Row]]+Tasks[[#This Row],[_Descendants]])),Tasks[[#This Row],[_LeafLateStart]]))</f>
        <v/>
      </c>
      <c r="AU56" s="63" t="str">
        <f aca="false">IF(Tasks[[#This Row],[Task Name]]="","",IF(Tasks[[#This Row],[_IsSummary]],MAX(INDEX(Tasks[_LeafLateFinish],Tasks[[#This Row],[_Row]]+1):INDEX(Tasks[_LeafLateFinish],Tasks[[#This Row],[_Row]]+Tasks[[#This Row],[_Descendants]])),Tasks[[#This Row],[_LeafLateFinish]]))</f>
        <v/>
      </c>
      <c r="AV56" s="47"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5"/>
      <c r="BA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6"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7"/>
      <c r="BJ56" s="22"/>
      <c r="BK56" s="47" t="str">
        <f aca="false">IF(OR(Tasks[[#This Row],[Task Name]]="",Tasks[[#This Row],[Baseline Duration]]=""),"",Tasks[[#This Row],[_SpanDays]]-N(Tasks[[#This Row],[Baseline Duration]]))</f>
        <v/>
      </c>
      <c r="BL56" s="86" t="str">
        <f aca="false">IF(OR(Tasks[[#This Row],[Task Name]]="",Tasks[[#This Row],[Baseline Work]]=""),"",Tasks[[#This Row],[Work]]-N(Tasks[[#This Row],[Baseline Work]]))</f>
        <v/>
      </c>
      <c r="BM56" s="63" t="str">
        <f aca="false">IF(Tasks[[#This Row],[Task Name]]="","",IF(OR(TakeBaseline="Yes",N(Tasks[[#This Row],[Baseline Start]])=0),Tasks[[#This Row],[Start]],Tasks[[#This Row],[Baseline Start]]))</f>
        <v/>
      </c>
      <c r="BN56" s="63" t="str">
        <f aca="false">IF(Tasks[[#This Row],[Task Name]]="","",IF(OR(TakeBaseline="Yes",N(Tasks[[#This Row],[Baseline Finish]])=0),Tasks[[#This Row],[Finish]],Tasks[[#This Row],[Baseline Finish]]))</f>
        <v/>
      </c>
      <c r="BO56" s="21" t="str">
        <f aca="false">IF(Tasks[[#This Row],[Task Name]]="","",IF(OR(TakeBaseline="Yes",N(Tasks[[#This Row],[Baseline Duration]])=0),Tasks[[#This Row],[_SpanDays]],Tasks[[#This Row],[Baseline Duration]]))</f>
        <v/>
      </c>
      <c r="BP56" s="86" t="str">
        <f aca="false">IF(Tasks[[#This Row],[Task Name]]="","",IF(OR(TakeBaseline="Yes",N(Tasks[[#This Row],[Baseline Work]])=0),Tasks[[#This Row],[Work]],Tasks[[#This Row],[Baseline Work]]))</f>
        <v/>
      </c>
      <c r="BQ56" s="7"/>
      <c r="BR56" s="7"/>
      <c r="BS56" s="22"/>
      <c r="BT56" s="88"/>
      <c r="BU56" s="23"/>
      <c r="BV56" s="23"/>
      <c r="BW56" s="23"/>
      <c r="BX56" s="89" t="str">
        <f aca="false">IF(AND(Tasks[[#This Row],[_IsLeaf]]=1,ISNUMBER(Tasks[[#This Row],[Optimistic]]),ISNUMBER(Tasks[[#This Row],[Pessimistic]])),ROUND((Tasks[[#This Row],[Optimistic]]+4*N(Tasks[[#This Row],[_Days]])+Tasks[[#This Row],[Pessimistic]])/6,1),"")</f>
        <v/>
      </c>
      <c r="BY56" s="87"/>
      <c r="BZ56" s="87"/>
      <c r="CA56" s="22"/>
      <c r="CB56" s="43" t="str">
        <f aca="false">IF(Tasks[[#This Row],[Task Name]]="","",MAX(1,N(Tasks[[#This Row],[Level]])))</f>
        <v/>
      </c>
      <c r="CC56" s="43" t="n">
        <f aca="false">ROW()-ROW(Tasks[[#Headers],[ID]])</f>
        <v>51</v>
      </c>
      <c r="CD56" s="43" t="n">
        <f aca="false">IF(OR(Tasks[[#This Row],[Task Name]]="",Tasks[[#This Row],[_Level]]&lt;=1),0,IFERROR(LOOKUP(2,1/(Tasks[[#Headers],[_Level]]:Tasks[[#This Row],[_Level]]=Tasks[[#This Row],[_Level]]-1),ROW(Tasks[[#Headers],[_Level]]:Tasks[[#This Row],[_Level]])),0))</f>
        <v>0</v>
      </c>
      <c r="CE56" s="43" t="n">
        <f aca="false">IFERROR(N(INDEX(Tasks[_Level],Tasks[[#This Row],[_Row]]+1)),0)</f>
        <v>0</v>
      </c>
      <c r="CF56" s="90" t="b">
        <f aca="false">AND(Tasks[[#This Row],[Task Name]]&lt;&gt;"",Tasks[[#This Row],[_NextLevel]]&gt;Tasks[[#This Row],[_Level]])</f>
        <v>0</v>
      </c>
      <c r="CG56" s="43" t="n">
        <f aca="false">IF(Tasks[[#This Row],[_IsSummary]],COUNTIF(Tasks[WBS],Tasks[[#This Row],[WBS]]&amp;".*"),0)</f>
        <v>0</v>
      </c>
      <c r="CH56" s="43" t="n">
        <f aca="false">IF(AND(Tasks[[#This Row],[Task Name]]&lt;&gt;"",NOT(Tasks[[#This Row],[_IsSummary]])),1,0)</f>
        <v>0</v>
      </c>
      <c r="CI56" s="43" t="n">
        <f aca="false">IF(N(Tasks[[#This Row],[_Pred1UID]])=0,0,IFERROR(MATCH(Tasks[[#This Row],[_Pred1UID]],Tasks[UID],0),-1))</f>
        <v>0</v>
      </c>
      <c r="CJ56" s="43" t="n">
        <f aca="false">IF(N(Tasks[[#This Row],[_Pred2UID]])=0,0,IFERROR(MATCH(Tasks[[#This Row],[_Pred2UID]],Tasks[UID],0),-1))</f>
        <v>0</v>
      </c>
      <c r="CK56" s="43" t="n">
        <f aca="false">IF(N(Tasks[[#This Row],[_Pred3UID]])=0,0,IFERROR(MATCH(Tasks[[#This Row],[_Pred3UID]],Tasks[UID],0),-1))</f>
        <v>0</v>
      </c>
      <c r="CL56" s="43" t="n">
        <f aca="false">IF(N(Tasks[[#This Row],[_Pred4UID]])=0,0,IFERROR(MATCH(Tasks[[#This Row],[_Pred4UID]],Tasks[UID],0),-1))</f>
        <v>0</v>
      </c>
      <c r="CM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6" s="91" t="n">
        <f aca="false">IF(OR(Tasks[[#This Row],[_ConstraintCode]]=2,Tasks[[#This Row],[_ConstraintCode]]=3,Tasks[[#This Row],[_ConstraintCode]]=4,Tasks[[#This Row],[_ConstraintCode]]=6),Tasks[[#This Row],[_ConstraintStart]],0)</f>
        <v>0</v>
      </c>
      <c r="CP56" s="91" t="n">
        <f aca="false">IF(OR(Tasks[[#This Row],[_ConstraintCode]]=2,Tasks[[#This Row],[_ConstraintCode]]=3,Tasks[[#This Row],[_ConstraintCode]]=5,Tasks[[#This Row],[_ConstraintCode]]=7),Tasks[[#This Row],[_ConstraintStart]],2958465)</f>
        <v>2958465</v>
      </c>
      <c r="CQ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91" t="str">
        <f aca="false">IF(NOT(Tasks[[#This Row],[_IsLeaf]]=1),"",IF(N(Tasks[[#This Row],[_Days]])&lt;=0,Tasks[[#This Row],[_LeafCalcStart]],WORKDAY.INTL(Tasks[[#This Row],[_LeafCalcStart]],Tasks[[#This Row],[_Days]]-1,WorkWeek,Holidays)))</f>
        <v/>
      </c>
      <c r="CS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3" t="str">
        <f aca="false">IF(Tasks[[#This Row],[_Predecessors]]="","",TRIM(MID(SUBSTITUTE(SUBSTITUTE(SUBSTITUTE(UPPER(Tasks[[#This Row],[_Predecessors]]),";",",")," ",""),",",REPT(" ",99)),1,99)))</f>
        <v/>
      </c>
      <c r="CV56" s="43" t="str">
        <f aca="false">IF(Tasks[[#This Row],[_Pred1Text]]="","",IFERROR(VALUE(LEFT(Tasks[[#This Row],[_Pred1Text]],MIN(FIND("F",Tasks[[#This Row],[_Pred1Text]]&amp;"F"),FIND("S",Tasks[[#This Row],[_Pred1Text]]&amp;"S"),FIND("+",Tasks[[#This Row],[_Pred1Text]]&amp;"+"),FIND("-",Tasks[[#This Row],[_Pred1Text]]&amp;"-"))-1)),""))</f>
        <v/>
      </c>
      <c r="CW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3" t="str">
        <f aca="false">IF(Tasks[[#This Row],[_Pred1Text]]="","",TRIM(MID(SUBSTITUTE(SUBSTITUTE(SUBSTITUTE(UPPER(Tasks[[#This Row],[_Predecessors]]),";",",")," ",""),",",REPT(" ",99)),100,99)))</f>
        <v/>
      </c>
      <c r="CZ56" s="43" t="str">
        <f aca="false">IF(Tasks[[#This Row],[_Pred2Text]]="","",IFERROR(VALUE(LEFT(Tasks[[#This Row],[_Pred2Text]],MIN(FIND("F",Tasks[[#This Row],[_Pred2Text]]&amp;"F"),FIND("S",Tasks[[#This Row],[_Pred2Text]]&amp;"S"),FIND("+",Tasks[[#This Row],[_Pred2Text]]&amp;"+"),FIND("-",Tasks[[#This Row],[_Pred2Text]]&amp;"-"))-1)),""))</f>
        <v/>
      </c>
      <c r="DA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3" t="str">
        <f aca="false">IF(Tasks[[#This Row],[_Pred2Text]]="","",TRIM(MID(SUBSTITUTE(SUBSTITUTE(SUBSTITUTE(UPPER(Tasks[[#This Row],[_Predecessors]]),";",",")," ",""),",",REPT(" ",99)),199,99)))</f>
        <v/>
      </c>
      <c r="DD56" s="43" t="str">
        <f aca="false">IF(Tasks[[#This Row],[_Pred3Text]]="","",IFERROR(VALUE(LEFT(Tasks[[#This Row],[_Pred3Text]],MIN(FIND("F",Tasks[[#This Row],[_Pred3Text]]&amp;"F"),FIND("S",Tasks[[#This Row],[_Pred3Text]]&amp;"S"),FIND("+",Tasks[[#This Row],[_Pred3Text]]&amp;"+"),FIND("-",Tasks[[#This Row],[_Pred3Text]]&amp;"-"))-1)),""))</f>
        <v/>
      </c>
      <c r="DE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3" t="str">
        <f aca="false">IF(Tasks[[#This Row],[_Pred3Text]]="","",TRIM(MID(SUBSTITUTE(SUBSTITUTE(SUBSTITUTE(UPPER(Tasks[[#This Row],[_Predecessors]]),";",",")," ",""),",",REPT(" ",99)),298,99)))</f>
        <v/>
      </c>
      <c r="DH56" s="43" t="str">
        <f aca="false">IF(Tasks[[#This Row],[_Pred4Text]]="","",IFERROR(VALUE(LEFT(Tasks[[#This Row],[_Pred4Text]],MIN(FIND("F",Tasks[[#This Row],[_Pred4Text]]&amp;"F"),FIND("S",Tasks[[#This Row],[_Pred4Text]]&amp;"S"),FIND("+",Tasks[[#This Row],[_Pred4Text]]&amp;"+"),FIND("-",Tasks[[#This Row],[_Pred4Text]]&amp;"-"))-1)),""))</f>
        <v/>
      </c>
      <c r="DI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3" t="str">
        <f aca="false">IF(OR(Tasks[[#This Row],[Task Name]]="",Tasks[[#This Row],[_Resources]]=""),"",TRIM(MID(SUBSTITUTE(Tasks[[#This Row],[_Resources]],",",REPT(" ",99)),1,99)))</f>
        <v/>
      </c>
      <c r="DL56" s="43" t="str">
        <f aca="false">IF(Tasks[[#This Row],[_Res1Text]]="","",TRIM(MID(SUBSTITUTE(Tasks[[#This Row],[_Resources]],",",REPT(" ",99)),100,99)))</f>
        <v/>
      </c>
      <c r="DM56" s="43" t="str">
        <f aca="false">IF(Tasks[[#This Row],[_Res2Text]]="","",TRIM(MID(SUBSTITUTE(Tasks[[#This Row],[_Resources]],",",REPT(" ",99)),199,99)))</f>
        <v/>
      </c>
      <c r="DN56" s="43" t="str">
        <f aca="false">IF(Tasks[[#This Row],[_Res3Text]]="","",TRIM(MID(SUBSTITUTE(Tasks[[#This Row],[_Resources]],",",REPT(" ",99)),298,99)))</f>
        <v/>
      </c>
      <c r="DO56" s="43" t="n">
        <f aca="false">IF(Tasks[[#This Row],[_Res1Text]]="",0,IFERROR(MATCH(TRIM(LEFT(Tasks[[#This Row],[_Res1Text]],FIND("[",Tasks[[#This Row],[_Res1Text]]&amp;"[")-1)),res_Name,0),IFERROR(MATCH(TRIM(LEFT(Tasks[[#This Row],[_Res1Text]],FIND("[",Tasks[[#This Row],[_Res1Text]]&amp;"[")-1)),res_Initials,0),0)))</f>
        <v>0</v>
      </c>
      <c r="DP56" s="43" t="n">
        <f aca="false">IF(Tasks[[#This Row],[_Res2Text]]="",0,IFERROR(MATCH(TRIM(LEFT(Tasks[[#This Row],[_Res2Text]],FIND("[",Tasks[[#This Row],[_Res2Text]]&amp;"[")-1)),res_Name,0),IFERROR(MATCH(TRIM(LEFT(Tasks[[#This Row],[_Res2Text]],FIND("[",Tasks[[#This Row],[_Res2Text]]&amp;"[")-1)),res_Initials,0),0)))</f>
        <v>0</v>
      </c>
      <c r="DQ56" s="43" t="n">
        <f aca="false">IF(Tasks[[#This Row],[_Res3Text]]="",0,IFERROR(MATCH(TRIM(LEFT(Tasks[[#This Row],[_Res3Text]],FIND("[",Tasks[[#This Row],[_Res3Text]]&amp;"[")-1)),res_Name,0),IFERROR(MATCH(TRIM(LEFT(Tasks[[#This Row],[_Res3Text]],FIND("[",Tasks[[#This Row],[_Res3Text]]&amp;"[")-1)),res_Initials,0),0)))</f>
        <v>0</v>
      </c>
      <c r="DR56" s="43" t="n">
        <f aca="false">IF(Tasks[[#This Row],[_Res4Text]]="",0,IFERROR(MATCH(TRIM(LEFT(Tasks[[#This Row],[_Res4Text]],FIND("[",Tasks[[#This Row],[_Res4Text]]&amp;"[")-1)),res_Name,0),IFERROR(MATCH(TRIM(LEFT(Tasks[[#This Row],[_Res4Text]],FIND("[",Tasks[[#This Row],[_Res4Text]]&amp;"[")-1)),res_Initials,0),0)))</f>
        <v>0</v>
      </c>
      <c r="DS56" s="43" t="str">
        <f aca="false">IF(Tasks[[#This Row],[_Res1Text]]="","",IF(Tasks[[#This Row],[_Res1Row]]&gt;0,INDEX(res_Name,Tasks[[#This Row],[_Res1Row]]),TRIM(LEFT(Tasks[[#This Row],[_Res1Text]],FIND("[",Tasks[[#This Row],[_Res1Text]]&amp;"[")-1))))</f>
        <v/>
      </c>
      <c r="DT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3" t="n">
        <f aca="false">IF(NOT(Tasks[[#This Row],[_IsLeaf]]=1),0,(Tasks[[#This Row],[_Resource1]]&lt;&gt;"")+(Tasks[[#This Row],[_Res2]]&lt;&gt;"")+(Tasks[[#This Row],[_Res3]]&lt;&gt;"")+(Tasks[[#This Row],[_Res4]]&lt;&gt;""))</f>
        <v>0</v>
      </c>
      <c r="DV56" s="43" t="str">
        <f aca="false">IF(Tasks[[#This Row],[_Res2Text]]="","",IF(Tasks[[#This Row],[_Res2Row]]&gt;0,INDEX(res_Name,Tasks[[#This Row],[_Res2Row]]),TRIM(LEFT(Tasks[[#This Row],[_Res2Text]],FIND("[",Tasks[[#This Row],[_Res2Text]]&amp;"[")-1))))</f>
        <v/>
      </c>
      <c r="DW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3" t="n">
        <f aca="false">IF(OR(NOT(Tasks[[#This Row],[_IsLeaf]]=1),Tasks[[#This Row],[_Res2Row]]=0),0,N(Tasks[[#This Row],[_Days]])*HoursPerDay*IF(Tasks[[#This Row],[_Res2Units]]="",DefaultUnits,Tasks[[#This Row],[_Res2Units]]))</f>
        <v>0</v>
      </c>
      <c r="DY56" s="43" t="n">
        <f aca="false">IF(AND(AND(Tasks[[#This Row],[_IsLeaf]]=1,Tasks[[#This Row],[_LeafTotalWork]]&gt;0),Tasks[[#This Row],[_Res2Work]]&gt;0),Tasks[[#This Row],[_Res2Work]]/(Tasks[[#This Row],[_FinishWorkday]]-Tasks[[#This Row],[_StartWorkday]]+1),0)</f>
        <v>0</v>
      </c>
      <c r="DZ56" s="43" t="n">
        <f aca="false">Tasks[[#This Row],[_Res2WorkPerWD]]*MAX(0,Tasks[[#This Row],[_StartWorkday]]-1)</f>
        <v>0</v>
      </c>
      <c r="EA56" s="43" t="n">
        <f aca="false">Tasks[[#This Row],[_Res2Work]]*Tasks[[#This Row],[_LeafProgress]]</f>
        <v>0</v>
      </c>
      <c r="EB56" s="43" t="str">
        <f aca="false">IF(Tasks[[#This Row],[_Res3Text]]="","",IF(Tasks[[#This Row],[_Res3Row]]&gt;0,INDEX(res_Name,Tasks[[#This Row],[_Res3Row]]),TRIM(LEFT(Tasks[[#This Row],[_Res3Text]],FIND("[",Tasks[[#This Row],[_Res3Text]]&amp;"[")-1))))</f>
        <v/>
      </c>
      <c r="EC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3" t="n">
        <f aca="false">IF(OR(NOT(Tasks[[#This Row],[_IsLeaf]]=1),Tasks[[#This Row],[_Res3Row]]=0),0,N(Tasks[[#This Row],[_Days]])*HoursPerDay*IF(Tasks[[#This Row],[_Res3Units]]="",DefaultUnits,Tasks[[#This Row],[_Res3Units]]))</f>
        <v>0</v>
      </c>
      <c r="EE56" s="43" t="n">
        <f aca="false">IF(AND(AND(Tasks[[#This Row],[_IsLeaf]]=1,Tasks[[#This Row],[_LeafTotalWork]]&gt;0),Tasks[[#This Row],[_Res3Work]]&gt;0),Tasks[[#This Row],[_Res3Work]]/(Tasks[[#This Row],[_FinishWorkday]]-Tasks[[#This Row],[_StartWorkday]]+1),0)</f>
        <v>0</v>
      </c>
      <c r="EF56" s="43" t="n">
        <f aca="false">Tasks[[#This Row],[_Res3WorkPerWD]]*MAX(0,Tasks[[#This Row],[_StartWorkday]]-1)</f>
        <v>0</v>
      </c>
      <c r="EG56" s="43" t="n">
        <f aca="false">Tasks[[#This Row],[_Res3Work]]*Tasks[[#This Row],[_LeafProgress]]</f>
        <v>0</v>
      </c>
      <c r="EH56" s="43" t="str">
        <f aca="false">IF(Tasks[[#This Row],[_Res4Text]]="","",IF(Tasks[[#This Row],[_Res4Row]]&gt;0,INDEX(res_Name,Tasks[[#This Row],[_Res4Row]]),TRIM(LEFT(Tasks[[#This Row],[_Res4Text]],FIND("[",Tasks[[#This Row],[_Res4Text]]&amp;"[")-1))))</f>
        <v/>
      </c>
      <c r="EI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3" t="n">
        <f aca="false">IF(OR(NOT(Tasks[[#This Row],[_IsLeaf]]=1),Tasks[[#This Row],[_Res4Row]]=0),0,N(Tasks[[#This Row],[_Days]])*HoursPerDay*IF(Tasks[[#This Row],[_Res4Units]]="",DefaultUnits,Tasks[[#This Row],[_Res4Units]]))</f>
        <v>0</v>
      </c>
      <c r="EK56" s="43" t="n">
        <f aca="false">IF(AND(AND(Tasks[[#This Row],[_IsLeaf]]=1,Tasks[[#This Row],[_LeafTotalWork]]&gt;0),Tasks[[#This Row],[_Res4Work]]&gt;0),Tasks[[#This Row],[_Res4Work]]/(Tasks[[#This Row],[_FinishWorkday]]-Tasks[[#This Row],[_StartWorkday]]+1),0)</f>
        <v>0</v>
      </c>
      <c r="EL56" s="43" t="n">
        <f aca="false">Tasks[[#This Row],[_Res4WorkPerWD]]*MAX(0,Tasks[[#This Row],[_StartWorkday]]-1)</f>
        <v>0</v>
      </c>
      <c r="EM56" s="43" t="n">
        <f aca="false">Tasks[[#This Row],[_Res4Work]]*Tasks[[#This Row],[_LeafProgress]]</f>
        <v>0</v>
      </c>
      <c r="EN56" s="43" t="n">
        <f aca="false">IF(ISNUMBER(Tasks[[#This Row],[% Complete]]),Tasks[[#This Row],[% Complete]],IF(Tasks[[#This Row],[Stage]]="",0,IFERROR(INDEX(stg_Pct,MATCH(Tasks[[#This Row],[Stage]],stg_Name,0)),0)))</f>
        <v>0</v>
      </c>
      <c r="EO56" s="43" t="n">
        <f aca="false">IF(NOT(Tasks[[#This Row],[_IsLeaf]]=1),0,IF(N(Tasks[[#This Row],[Actual Finish]])&gt;0,1,MIN(1,Tasks[[#This Row],[_Pct]])))</f>
        <v>0</v>
      </c>
      <c r="EP56" s="43" t="n">
        <f aca="false">IF(OR(NOT(Tasks[[#This Row],[_IsLeaf]]=1),Tasks[[#This Row],[_Res1Row]]=0),0,N(Tasks[[#This Row],[_Days]])*HoursPerDay*IF(Tasks[[#This Row],[_Units1]]="",DefaultUnits,Tasks[[#This Row],[_Units1]]))</f>
        <v>0</v>
      </c>
      <c r="EQ56" s="43" t="n">
        <f aca="false">Tasks[[#This Row],[_LeafWork]]+Tasks[[#This Row],[_Res2Work]]+Tasks[[#This Row],[_Res3Work]]+Tasks[[#This Row],[_Res4Work]]</f>
        <v>0</v>
      </c>
      <c r="ER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3" t="n">
        <f aca="false">IF(NOT(Tasks[[#This Row],[_IsLeaf]]=1),0,MAX(_xlfn.MAXIFS(Tasks[_Row],Tasks[_Pred1UID],Tasks[[#This Row],[UID]]),_xlfn.MAXIFS(Tasks[_Row],Tasks[_Pred2UID],Tasks[[#This Row],[UID]]),_xlfn.MAXIFS(Tasks[_Row],Tasks[_Pred3UID],Tasks[[#This Row],[UID]]),_xlfn.MAXIFS(Tasks[_Row],Tasks[_Pred4UID],Tasks[[#This Row],[UID]])))</f>
        <v>0</v>
      </c>
      <c r="FA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91" t="str">
        <f aca="false">IF(NOT(Tasks[[#This Row],[_IsLeaf]]=1),"",IF(N(Tasks[[#This Row],[_Days]])&lt;=0,Tasks[[#This Row],[_LeafLateFinish]],WORKDAY.INTL(Tasks[[#This Row],[_LeafLateFinish]],-(Tasks[[#This Row],[_Days]]-1),WorkWeek,Holidays)))</f>
        <v/>
      </c>
      <c r="FD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6" s="90" t="b">
        <f aca="false">AND(Tasks[[#This Row],[_IsLeaf]]=1,Tasks[[#This Row],[_LeafProgress]]&lt;1,N(Tasks[[#This Row],[_LeafTotalSlack]])&lt;=CriticalSlackDays)</f>
        <v>0</v>
      </c>
      <c r="FF56" s="43" t="n">
        <f aca="false">IF(AND(Tasks[[#This Row],[_IsLeaf]]=1,Tasks[[#This Row],[_ConstraintCode]]=1,Tasks[[#This Row],[Mode]]&lt;&gt;"Manual",N(Tasks[[#This Row],[Actual Start]])=0),MAX(0,N(Tasks[[#This Row],[Free Slack]])),0)</f>
        <v>0</v>
      </c>
      <c r="FG56" s="91" t="str">
        <f aca="false">IF(NOT(Tasks[[#This Row],[_IsLeaf]]=1),"",IF(Tasks[[#This Row],[_AlapShift]]=0,Tasks[[#This Row],[_LeafCalcStart]],WORKDAY.INTL(Tasks[[#This Row],[_LeafCalcStart]],Tasks[[#This Row],[_AlapShift]],WorkWeek,Holidays)))</f>
        <v/>
      </c>
      <c r="FH56" s="91" t="str">
        <f aca="false">IF(NOT(Tasks[[#This Row],[_IsLeaf]]=1),"",IF(Tasks[[#This Row],[_AlapShift]]=0,Tasks[[#This Row],[_LeafCalcFinish]],WORKDAY.INTL(Tasks[[#This Row],[_LeafCalcFinish]],Tasks[[#This Row],[_AlapShift]],WorkWeek,Holidays)))</f>
        <v/>
      </c>
      <c r="FI56" s="91" t="str">
        <f aca="false">IF(NOT(Tasks[[#This Row],[_IsLeaf]]=1),"",IF(Tasks[[#This Row],[_AlapShift]]=0,Tasks[[#This Row],[_LeafFcstStart]],WORKDAY.INTL(Tasks[[#This Row],[_LeafFcstStart]],Tasks[[#This Row],[_AlapShift]],WorkWeek,Holidays)))</f>
        <v/>
      </c>
      <c r="FJ56" s="91" t="str">
        <f aca="false">IF(NOT(Tasks[[#This Row],[_IsLeaf]]=1),"",IF(Tasks[[#This Row],[_AlapShift]]=0,Tasks[[#This Row],[_LeafFcstFinish]],WORKDAY.INTL(Tasks[[#This Row],[_LeafFcstFinish]],Tasks[[#This Row],[_AlapShift]],WorkWeek,Holidays)))</f>
        <v/>
      </c>
      <c r="FK56" s="91" t="str">
        <f aca="false">IF(Tasks[[#This Row],[Task Name]]="","",IF(Tasks[[#This Row],[_IsSummary]],MIN(INDEX(Tasks[_ShownCalcStart],Tasks[[#This Row],[_Row]]+1):INDEX(Tasks[_ShownCalcStart],Tasks[[#This Row],[_Row]]+Tasks[[#This Row],[_Descendants]])),Tasks[[#This Row],[_ShownCalcStart]]))</f>
        <v/>
      </c>
      <c r="FL56" s="91" t="str">
        <f aca="false">IF(Tasks[[#This Row],[Task Name]]="","",IF(Tasks[[#This Row],[_IsSummary]],MAX(INDEX(Tasks[_ShownCalcFinish],Tasks[[#This Row],[_Row]]+1):INDEX(Tasks[_ShownCalcFinish],Tasks[[#This Row],[_Row]]+Tasks[[#This Row],[_Descendants]])),Tasks[[#This Row],[_ShownCalcFinish]]))</f>
        <v/>
      </c>
      <c r="FM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6" s="43" t="n">
        <f aca="false">IF(AND(Tasks[[#This Row],[_IsLeaf]]=1,Tasks[[#This Row],[_LeafTotalWork]]&gt;0),NETWORKDAYS.INTL(ProjectStart,Tasks[[#This Row],[_ShownFcstStart]],WorkWeek,Holidays),0)</f>
        <v>0</v>
      </c>
      <c r="FZ56" s="43" t="n">
        <f aca="false">IF(AND(Tasks[[#This Row],[_IsLeaf]]=1,Tasks[[#This Row],[_LeafTotalWork]]&gt;0),MAX(Tasks[[#This Row],[_StartWorkday]],NETWORKDAYS.INTL(ProjectStart,Tasks[[#This Row],[_ShownFcstFinish]],WorkWeek,Holidays)),0)</f>
        <v>0</v>
      </c>
      <c r="GA56" s="43" t="n">
        <f aca="false">IF(AND(Tasks[[#This Row],[_IsLeaf]]=1,Tasks[[#This Row],[_LeafTotalWork]]&gt;0),Tasks[[#This Row],[_LeafWork]]/(Tasks[[#This Row],[_FinishWorkday]]-Tasks[[#This Row],[_StartWorkday]]+1),0)</f>
        <v>0</v>
      </c>
      <c r="GB56" s="43" t="n">
        <f aca="false">Tasks[[#This Row],[_WorkPerWorkday]]*(Tasks[[#This Row],[_StartWorkday]]-1)</f>
        <v>-0</v>
      </c>
      <c r="GC56" s="43" t="n">
        <f aca="false">IF(Tasks[[#This Row],[_IsLeaf]]=1,MAX(N(Tasks[[#This Row],[_Days]]),0.1),0)</f>
        <v>0</v>
      </c>
      <c r="GD56" s="43" t="n">
        <f aca="false">Tasks[[#This Row],[_WeightDur]]*Tasks[[#This Row],[_LeafProgress]]</f>
        <v>0</v>
      </c>
      <c r="GE56" s="43" t="n">
        <f aca="false">Tasks[[#This Row],[_WeightDur]]*Tasks[[#This Row],[_PlannedPct]]</f>
        <v>0</v>
      </c>
      <c r="GF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3" t="str">
        <f aca="false">IF(AND(Tasks[[#This Row],[_IsLeaf]]=1,N(Tasks[[#This Row],[_Days]])=0,Tasks[[#This Row],[_LeafProgress]]&lt;1),Tasks[[#This Row],[_ShownFcstFinish]]+Tasks[[#This Row],[_Row]]/100000,"")</f>
        <v/>
      </c>
      <c r="GH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6" s="43" t="str">
        <f aca="false">IF(Tasks[[#This Row],[Task Name]]="","",LEFT(Tasks[[#This Row],[WBS]],FIND(".",Tasks[[#This Row],[WBS]]&amp;".")-1))</f>
        <v/>
      </c>
      <c r="GJ56" s="43" t="str">
        <f aca="false">IF(AND(Tasks[[#This Row],[Task Name]]&lt;&gt;"",Tasks[[#This Row],[_Level]]=1),Tasks[[#This Row],[_Row]],"")</f>
        <v/>
      </c>
      <c r="GK56" s="43" t="str">
        <f aca="false">IF(AND(Tasks[[#This Row],[_IsLeaf]]=1,N(Tasks[[#This Row],[_Days]])=0),Tasks[[#This Row],[Planned Finish]]+Tasks[[#This Row],[_Row]]/100000,"")</f>
        <v/>
      </c>
      <c r="GL56" s="43" t="str">
        <f aca="false">IF(AND(Tasks[[#This Row],[_IsLeaf]]=1,Tasks[[#This Row],[_LeafProgress]]&lt;1,OR(N(Tasks[[#This Row],[Finish Var]])&gt;0,Tasks[[#This Row],[Status]]="Late Start")),MAX(0,Tasks[[#This Row],[Finish Var]])+1-Tasks[[#This Row],[_Row]]/1000000,"")</f>
        <v/>
      </c>
      <c r="GM56" s="43" t="str">
        <f aca="false">IF(AND(Tasks[[#This Row],[_IsLeaf]]=1,N(Tasks[[#This Row],[Actual Start]])=0,Tasks[[#This Row],[_ShownFcstStart]]&gt;=StatusDate,Tasks[[#This Row],[_ShownFcstStart]]&lt;=LookaheadEnd),Tasks[[#This Row],[_ShownFcstStart]]+Tasks[[#This Row],[_Row]]/100000,"")</f>
        <v/>
      </c>
      <c r="GN56" s="43" t="str">
        <f aca="false">IF(AND(Tasks[[#This Row],[_IsLeaf]]=1,Tasks[[#This Row],[_LeafProgress]]&lt;1,Tasks[[#This Row],[_ShownFcstFinish]]&gt;=StatusDate,Tasks[[#This Row],[_ShownFcstFinish]]&lt;=LookaheadEnd),Tasks[[#This Row],[_ShownFcstFinish]]+Tasks[[#This Row],[_Row]]/100000,"")</f>
        <v/>
      </c>
      <c r="GO56" s="43" t="str">
        <f aca="false">IF(Tasks[[#This Row],[_LeafCritical]],Tasks[[#This Row],[_ShownFcstStart]]+Tasks[[#This Row],[_Row]]/100000,"")</f>
        <v/>
      </c>
      <c r="GP56" s="43" t="n">
        <f aca="false">Tasks[[#This Row],[_LeafWork]]*Tasks[[#This Row],[_LeafProgress]]</f>
        <v>0</v>
      </c>
      <c r="GQ56" s="91" t="str">
        <f aca="false">IF(AND(Tasks[[#This Row],[_IsLeaf]]=1,Tasks[[#This Row],[_LeafProgress]]&gt;=1),IF(N(Tasks[[#This Row],[Actual Finish]])&gt;0,Tasks[[#This Row],[Actual Finish]],Tasks[[#This Row],[_ShownFcstFinish]]),"")</f>
        <v/>
      </c>
      <c r="GR56" s="43" t="n">
        <f aca="false">IF(Tasks[[#This Row],[_IsLeaf]]=1,N(Tasks[[#This Row],[Story Points]]),0)</f>
        <v>0</v>
      </c>
      <c r="GS56" s="43" t="str">
        <f aca="false">""</f>
        <v/>
      </c>
      <c r="GT56" s="90" t="b">
        <f aca="false">IF(Tasks[[#This Row],[Task Name]]="",FALSE(),AND(Tasks[[#This Row],[_IsLeaf]]=1,N(Tasks[[#This Row],[_Days]])=0))</f>
        <v>0</v>
      </c>
      <c r="GU56" s="91" t="n">
        <f aca="false">IF(Tasks[[#This Row],[Task Name]]="",0,IF(AND(Tasks[[#This Row],[_IsLeaf]]=1,NOT(Tasks[[#This Row],[_IsMilestone]]),N(Tasks[[#This Row],[Progress]])&gt;0),Tasks[[#This Row],[Start]],0))</f>
        <v>0</v>
      </c>
      <c r="GV56" s="91" t="n">
        <f aca="false">IF(Tasks[[#This Row],[_DoneFrom]]=0,0,IF(Tasks[[#This Row],[Progress]]&gt;=1,Tasks[[#This Row],[Finish]],MAX(Tasks[[#This Row],[_DoneFrom]],Tasks[[#This Row],[Start]]+ROUND((Tasks[[#This Row],[Finish]]-Tasks[[#This Row],[Start]]+1)*Tasks[[#This Row],[Progress]],0)-1)))</f>
        <v>0</v>
      </c>
      <c r="GW56" s="91" t="n">
        <f aca="false">IF(Tasks[[#This Row],[Task Name]]="",0,IF(OR(NOT(Tasks[[#This Row],[_IsLeaf]]=1),Tasks[[#This Row],[_IsMilestone]],N(Tasks[[#This Row],[Progress]])&gt;=1),0,IF(Tasks[[#This Row],[_DoneTo]]&gt;0,Tasks[[#This Row],[_DoneTo]]+1,Tasks[[#This Row],[Start]])))</f>
        <v>0</v>
      </c>
      <c r="GX56" s="91" t="n">
        <f aca="false">IF(Tasks[[#This Row],[_RemFrom]]=0,0,Tasks[[#This Row],[Finish]])</f>
        <v>0</v>
      </c>
      <c r="GY56" s="90" t="b">
        <f aca="false">IF(Tasks[[#This Row],[Task Name]]="",FALSE(),OR(NOT(BaselineSet),N(Tasks[[#This Row],[Baseline Start]])&gt;0))</f>
        <v>0</v>
      </c>
      <c r="GZ5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92" t="str">
        <f aca="false">IF(Tasks[[#This Row],[_IsLeaf]]=1,Tasks[[#This Row],[_Row]],"")</f>
        <v/>
      </c>
      <c r="HD56" s="92" t="str">
        <f aca="false">IFERROR(INDEX(Tasks[UID],SMALL(Tasks[_PickKey],Tasks[[#This Row],[_Row]]))&amp;" "&amp;INDEX(Tasks[Task Name],SMALL(Tasks[_PickKey],Tasks[[#This Row],[_Row]])),"")</f>
        <v/>
      </c>
      <c r="HE56" s="43" t="str">
        <f aca="false">IF(Tasks[[#This Row],[Task Name]]="","",IF(Tasks[[#This Row],[_IsSummary]],NETWORKDAYS.INTL(Tasks[[#This Row],[Start]],Tasks[[#This Row],[Finish]],WorkWeek,Holidays),N(Tasks[[#This Row],[_Days]])))</f>
        <v/>
      </c>
      <c r="HF56" s="43" t="n">
        <f aca="false">IF(Tasks[[#This Row],[Expected]]="",0,((Tasks[[#This Row],[Pessimistic]]-Tasks[[#This Row],[Optimistic]])/6)^2)</f>
        <v>0</v>
      </c>
      <c r="HG56" s="43" t="n">
        <f aca="false">IF(Tasks[[#This Row],[Expected]]="",0,Tasks[[#This Row],[Expected]]-N(Tasks[[#This Row],[_Days]]))</f>
        <v>0</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4"/>
      <c r="U57" s="23"/>
      <c r="V57" s="84"/>
      <c r="W57" s="23"/>
      <c r="X57" s="84"/>
      <c r="Y57" s="23"/>
      <c r="Z57" s="84"/>
      <c r="AA57" s="23"/>
      <c r="AB57" s="23"/>
      <c r="AC57" s="7"/>
      <c r="AD57" s="7"/>
      <c r="AE57" s="63" t="str">
        <f aca="false">IF(Tasks[[#This Row],[Task Name]]="","",IF(Tasks[[#This Row],[_IsSummary]],MIN(INDEX(Tasks[_ShownFcstStart],Tasks[[#This Row],[_Row]]+1):INDEX(Tasks[_ShownFcstStart],Tasks[[#This Row],[_Row]]+Tasks[[#This Row],[_Descendants]])),Tasks[[#This Row],[_ShownFcstStart]]))</f>
        <v/>
      </c>
      <c r="AF57" s="63"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7" s="7"/>
      <c r="AK57" s="22"/>
      <c r="AL57" s="23"/>
      <c r="AM57" s="7"/>
      <c r="AN57" s="47"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3" t="str">
        <f aca="false">IF(Tasks[[#This Row],[Task Name]]="","",IF(N(Tasks[[#This Row],[Baseline Start]])&gt;0,Tasks[[#This Row],[Baseline Start]],Tasks[[#This Row],[_CalcStart]]))</f>
        <v/>
      </c>
      <c r="AR57" s="63" t="str">
        <f aca="false">IF(Tasks[[#This Row],[Task Name]]="","",IF(N(Tasks[[#This Row],[Baseline Finish]])&gt;0,Tasks[[#This Row],[Baseline Finish]],Tasks[[#This Row],[_CalcFinish]]))</f>
        <v/>
      </c>
      <c r="AS57" s="47" t="str">
        <f aca="false">IF(Tasks[[#This Row],[Task Name]]="","",IF(Tasks[[#This Row],[Start]]&gt;=Tasks[[#This Row],[Planned Start]],NETWORKDAYS.INTL(Tasks[[#This Row],[Planned Start]],Tasks[[#This Row],[Start]],WorkWeek,Holidays)-1,1-NETWORKDAYS.INTL(Tasks[[#This Row],[Start]],Tasks[[#This Row],[Planned Start]],WorkWeek,Holidays)))</f>
        <v/>
      </c>
      <c r="AT57" s="63" t="str">
        <f aca="false">IF(Tasks[[#This Row],[Task Name]]="","",IF(Tasks[[#This Row],[_IsSummary]],MIN(INDEX(Tasks[_LeafLateStart],Tasks[[#This Row],[_Row]]+1):INDEX(Tasks[_LeafLateStart],Tasks[[#This Row],[_Row]]+Tasks[[#This Row],[_Descendants]])),Tasks[[#This Row],[_LeafLateStart]]))</f>
        <v/>
      </c>
      <c r="AU57" s="63" t="str">
        <f aca="false">IF(Tasks[[#This Row],[Task Name]]="","",IF(Tasks[[#This Row],[_IsSummary]],MAX(INDEX(Tasks[_LeafLateFinish],Tasks[[#This Row],[_Row]]+1):INDEX(Tasks[_LeafLateFinish],Tasks[[#This Row],[_Row]]+Tasks[[#This Row],[_Descendants]])),Tasks[[#This Row],[_LeafLateFinish]]))</f>
        <v/>
      </c>
      <c r="AV57" s="47"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5"/>
      <c r="BA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6"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7"/>
      <c r="BJ57" s="22"/>
      <c r="BK57" s="47" t="str">
        <f aca="false">IF(OR(Tasks[[#This Row],[Task Name]]="",Tasks[[#This Row],[Baseline Duration]]=""),"",Tasks[[#This Row],[_SpanDays]]-N(Tasks[[#This Row],[Baseline Duration]]))</f>
        <v/>
      </c>
      <c r="BL57" s="86" t="str">
        <f aca="false">IF(OR(Tasks[[#This Row],[Task Name]]="",Tasks[[#This Row],[Baseline Work]]=""),"",Tasks[[#This Row],[Work]]-N(Tasks[[#This Row],[Baseline Work]]))</f>
        <v/>
      </c>
      <c r="BM57" s="63" t="str">
        <f aca="false">IF(Tasks[[#This Row],[Task Name]]="","",IF(OR(TakeBaseline="Yes",N(Tasks[[#This Row],[Baseline Start]])=0),Tasks[[#This Row],[Start]],Tasks[[#This Row],[Baseline Start]]))</f>
        <v/>
      </c>
      <c r="BN57" s="63" t="str">
        <f aca="false">IF(Tasks[[#This Row],[Task Name]]="","",IF(OR(TakeBaseline="Yes",N(Tasks[[#This Row],[Baseline Finish]])=0),Tasks[[#This Row],[Finish]],Tasks[[#This Row],[Baseline Finish]]))</f>
        <v/>
      </c>
      <c r="BO57" s="21" t="str">
        <f aca="false">IF(Tasks[[#This Row],[Task Name]]="","",IF(OR(TakeBaseline="Yes",N(Tasks[[#This Row],[Baseline Duration]])=0),Tasks[[#This Row],[_SpanDays]],Tasks[[#This Row],[Baseline Duration]]))</f>
        <v/>
      </c>
      <c r="BP57" s="86" t="str">
        <f aca="false">IF(Tasks[[#This Row],[Task Name]]="","",IF(OR(TakeBaseline="Yes",N(Tasks[[#This Row],[Baseline Work]])=0),Tasks[[#This Row],[Work]],Tasks[[#This Row],[Baseline Work]]))</f>
        <v/>
      </c>
      <c r="BQ57" s="7"/>
      <c r="BR57" s="7"/>
      <c r="BS57" s="22"/>
      <c r="BT57" s="88"/>
      <c r="BU57" s="23"/>
      <c r="BV57" s="23"/>
      <c r="BW57" s="23"/>
      <c r="BX57" s="89" t="str">
        <f aca="false">IF(AND(Tasks[[#This Row],[_IsLeaf]]=1,ISNUMBER(Tasks[[#This Row],[Optimistic]]),ISNUMBER(Tasks[[#This Row],[Pessimistic]])),ROUND((Tasks[[#This Row],[Optimistic]]+4*N(Tasks[[#This Row],[_Days]])+Tasks[[#This Row],[Pessimistic]])/6,1),"")</f>
        <v/>
      </c>
      <c r="BY57" s="87"/>
      <c r="BZ57" s="87"/>
      <c r="CA57" s="22"/>
      <c r="CB57" s="43" t="str">
        <f aca="false">IF(Tasks[[#This Row],[Task Name]]="","",MAX(1,N(Tasks[[#This Row],[Level]])))</f>
        <v/>
      </c>
      <c r="CC57" s="43" t="n">
        <f aca="false">ROW()-ROW(Tasks[[#Headers],[ID]])</f>
        <v>52</v>
      </c>
      <c r="CD57" s="43" t="n">
        <f aca="false">IF(OR(Tasks[[#This Row],[Task Name]]="",Tasks[[#This Row],[_Level]]&lt;=1),0,IFERROR(LOOKUP(2,1/(Tasks[[#Headers],[_Level]]:Tasks[[#This Row],[_Level]]=Tasks[[#This Row],[_Level]]-1),ROW(Tasks[[#Headers],[_Level]]:Tasks[[#This Row],[_Level]])),0))</f>
        <v>0</v>
      </c>
      <c r="CE57" s="43" t="n">
        <f aca="false">IFERROR(N(INDEX(Tasks[_Level],Tasks[[#This Row],[_Row]]+1)),0)</f>
        <v>0</v>
      </c>
      <c r="CF57" s="90" t="b">
        <f aca="false">AND(Tasks[[#This Row],[Task Name]]&lt;&gt;"",Tasks[[#This Row],[_NextLevel]]&gt;Tasks[[#This Row],[_Level]])</f>
        <v>0</v>
      </c>
      <c r="CG57" s="43" t="n">
        <f aca="false">IF(Tasks[[#This Row],[_IsSummary]],COUNTIF(Tasks[WBS],Tasks[[#This Row],[WBS]]&amp;".*"),0)</f>
        <v>0</v>
      </c>
      <c r="CH57" s="43" t="n">
        <f aca="false">IF(AND(Tasks[[#This Row],[Task Name]]&lt;&gt;"",NOT(Tasks[[#This Row],[_IsSummary]])),1,0)</f>
        <v>0</v>
      </c>
      <c r="CI57" s="43" t="n">
        <f aca="false">IF(N(Tasks[[#This Row],[_Pred1UID]])=0,0,IFERROR(MATCH(Tasks[[#This Row],[_Pred1UID]],Tasks[UID],0),-1))</f>
        <v>0</v>
      </c>
      <c r="CJ57" s="43" t="n">
        <f aca="false">IF(N(Tasks[[#This Row],[_Pred2UID]])=0,0,IFERROR(MATCH(Tasks[[#This Row],[_Pred2UID]],Tasks[UID],0),-1))</f>
        <v>0</v>
      </c>
      <c r="CK57" s="43" t="n">
        <f aca="false">IF(N(Tasks[[#This Row],[_Pred3UID]])=0,0,IFERROR(MATCH(Tasks[[#This Row],[_Pred3UID]],Tasks[UID],0),-1))</f>
        <v>0</v>
      </c>
      <c r="CL57" s="43" t="n">
        <f aca="false">IF(N(Tasks[[#This Row],[_Pred4UID]])=0,0,IFERROR(MATCH(Tasks[[#This Row],[_Pred4UID]],Tasks[UID],0),-1))</f>
        <v>0</v>
      </c>
      <c r="CM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7" s="91" t="n">
        <f aca="false">IF(OR(Tasks[[#This Row],[_ConstraintCode]]=2,Tasks[[#This Row],[_ConstraintCode]]=3,Tasks[[#This Row],[_ConstraintCode]]=4,Tasks[[#This Row],[_ConstraintCode]]=6),Tasks[[#This Row],[_ConstraintStart]],0)</f>
        <v>0</v>
      </c>
      <c r="CP57" s="91" t="n">
        <f aca="false">IF(OR(Tasks[[#This Row],[_ConstraintCode]]=2,Tasks[[#This Row],[_ConstraintCode]]=3,Tasks[[#This Row],[_ConstraintCode]]=5,Tasks[[#This Row],[_ConstraintCode]]=7),Tasks[[#This Row],[_ConstraintStart]],2958465)</f>
        <v>2958465</v>
      </c>
      <c r="CQ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91" t="str">
        <f aca="false">IF(NOT(Tasks[[#This Row],[_IsLeaf]]=1),"",IF(N(Tasks[[#This Row],[_Days]])&lt;=0,Tasks[[#This Row],[_LeafCalcStart]],WORKDAY.INTL(Tasks[[#This Row],[_LeafCalcStart]],Tasks[[#This Row],[_Days]]-1,WorkWeek,Holidays)))</f>
        <v/>
      </c>
      <c r="CS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3" t="str">
        <f aca="false">IF(Tasks[[#This Row],[_Predecessors]]="","",TRIM(MID(SUBSTITUTE(SUBSTITUTE(SUBSTITUTE(UPPER(Tasks[[#This Row],[_Predecessors]]),";",",")," ",""),",",REPT(" ",99)),1,99)))</f>
        <v/>
      </c>
      <c r="CV57" s="43" t="str">
        <f aca="false">IF(Tasks[[#This Row],[_Pred1Text]]="","",IFERROR(VALUE(LEFT(Tasks[[#This Row],[_Pred1Text]],MIN(FIND("F",Tasks[[#This Row],[_Pred1Text]]&amp;"F"),FIND("S",Tasks[[#This Row],[_Pred1Text]]&amp;"S"),FIND("+",Tasks[[#This Row],[_Pred1Text]]&amp;"+"),FIND("-",Tasks[[#This Row],[_Pred1Text]]&amp;"-"))-1)),""))</f>
        <v/>
      </c>
      <c r="CW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3" t="str">
        <f aca="false">IF(Tasks[[#This Row],[_Pred1Text]]="","",TRIM(MID(SUBSTITUTE(SUBSTITUTE(SUBSTITUTE(UPPER(Tasks[[#This Row],[_Predecessors]]),";",",")," ",""),",",REPT(" ",99)),100,99)))</f>
        <v/>
      </c>
      <c r="CZ57" s="43" t="str">
        <f aca="false">IF(Tasks[[#This Row],[_Pred2Text]]="","",IFERROR(VALUE(LEFT(Tasks[[#This Row],[_Pred2Text]],MIN(FIND("F",Tasks[[#This Row],[_Pred2Text]]&amp;"F"),FIND("S",Tasks[[#This Row],[_Pred2Text]]&amp;"S"),FIND("+",Tasks[[#This Row],[_Pred2Text]]&amp;"+"),FIND("-",Tasks[[#This Row],[_Pred2Text]]&amp;"-"))-1)),""))</f>
        <v/>
      </c>
      <c r="DA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3" t="str">
        <f aca="false">IF(Tasks[[#This Row],[_Pred2Text]]="","",TRIM(MID(SUBSTITUTE(SUBSTITUTE(SUBSTITUTE(UPPER(Tasks[[#This Row],[_Predecessors]]),";",",")," ",""),",",REPT(" ",99)),199,99)))</f>
        <v/>
      </c>
      <c r="DD57" s="43" t="str">
        <f aca="false">IF(Tasks[[#This Row],[_Pred3Text]]="","",IFERROR(VALUE(LEFT(Tasks[[#This Row],[_Pred3Text]],MIN(FIND("F",Tasks[[#This Row],[_Pred3Text]]&amp;"F"),FIND("S",Tasks[[#This Row],[_Pred3Text]]&amp;"S"),FIND("+",Tasks[[#This Row],[_Pred3Text]]&amp;"+"),FIND("-",Tasks[[#This Row],[_Pred3Text]]&amp;"-"))-1)),""))</f>
        <v/>
      </c>
      <c r="DE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3" t="str">
        <f aca="false">IF(Tasks[[#This Row],[_Pred3Text]]="","",TRIM(MID(SUBSTITUTE(SUBSTITUTE(SUBSTITUTE(UPPER(Tasks[[#This Row],[_Predecessors]]),";",",")," ",""),",",REPT(" ",99)),298,99)))</f>
        <v/>
      </c>
      <c r="DH57" s="43" t="str">
        <f aca="false">IF(Tasks[[#This Row],[_Pred4Text]]="","",IFERROR(VALUE(LEFT(Tasks[[#This Row],[_Pred4Text]],MIN(FIND("F",Tasks[[#This Row],[_Pred4Text]]&amp;"F"),FIND("S",Tasks[[#This Row],[_Pred4Text]]&amp;"S"),FIND("+",Tasks[[#This Row],[_Pred4Text]]&amp;"+"),FIND("-",Tasks[[#This Row],[_Pred4Text]]&amp;"-"))-1)),""))</f>
        <v/>
      </c>
      <c r="DI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3" t="str">
        <f aca="false">IF(OR(Tasks[[#This Row],[Task Name]]="",Tasks[[#This Row],[_Resources]]=""),"",TRIM(MID(SUBSTITUTE(Tasks[[#This Row],[_Resources]],",",REPT(" ",99)),1,99)))</f>
        <v/>
      </c>
      <c r="DL57" s="43" t="str">
        <f aca="false">IF(Tasks[[#This Row],[_Res1Text]]="","",TRIM(MID(SUBSTITUTE(Tasks[[#This Row],[_Resources]],",",REPT(" ",99)),100,99)))</f>
        <v/>
      </c>
      <c r="DM57" s="43" t="str">
        <f aca="false">IF(Tasks[[#This Row],[_Res2Text]]="","",TRIM(MID(SUBSTITUTE(Tasks[[#This Row],[_Resources]],",",REPT(" ",99)),199,99)))</f>
        <v/>
      </c>
      <c r="DN57" s="43" t="str">
        <f aca="false">IF(Tasks[[#This Row],[_Res3Text]]="","",TRIM(MID(SUBSTITUTE(Tasks[[#This Row],[_Resources]],",",REPT(" ",99)),298,99)))</f>
        <v/>
      </c>
      <c r="DO57" s="43" t="n">
        <f aca="false">IF(Tasks[[#This Row],[_Res1Text]]="",0,IFERROR(MATCH(TRIM(LEFT(Tasks[[#This Row],[_Res1Text]],FIND("[",Tasks[[#This Row],[_Res1Text]]&amp;"[")-1)),res_Name,0),IFERROR(MATCH(TRIM(LEFT(Tasks[[#This Row],[_Res1Text]],FIND("[",Tasks[[#This Row],[_Res1Text]]&amp;"[")-1)),res_Initials,0),0)))</f>
        <v>0</v>
      </c>
      <c r="DP57" s="43" t="n">
        <f aca="false">IF(Tasks[[#This Row],[_Res2Text]]="",0,IFERROR(MATCH(TRIM(LEFT(Tasks[[#This Row],[_Res2Text]],FIND("[",Tasks[[#This Row],[_Res2Text]]&amp;"[")-1)),res_Name,0),IFERROR(MATCH(TRIM(LEFT(Tasks[[#This Row],[_Res2Text]],FIND("[",Tasks[[#This Row],[_Res2Text]]&amp;"[")-1)),res_Initials,0),0)))</f>
        <v>0</v>
      </c>
      <c r="DQ57" s="43" t="n">
        <f aca="false">IF(Tasks[[#This Row],[_Res3Text]]="",0,IFERROR(MATCH(TRIM(LEFT(Tasks[[#This Row],[_Res3Text]],FIND("[",Tasks[[#This Row],[_Res3Text]]&amp;"[")-1)),res_Name,0),IFERROR(MATCH(TRIM(LEFT(Tasks[[#This Row],[_Res3Text]],FIND("[",Tasks[[#This Row],[_Res3Text]]&amp;"[")-1)),res_Initials,0),0)))</f>
        <v>0</v>
      </c>
      <c r="DR57" s="43" t="n">
        <f aca="false">IF(Tasks[[#This Row],[_Res4Text]]="",0,IFERROR(MATCH(TRIM(LEFT(Tasks[[#This Row],[_Res4Text]],FIND("[",Tasks[[#This Row],[_Res4Text]]&amp;"[")-1)),res_Name,0),IFERROR(MATCH(TRIM(LEFT(Tasks[[#This Row],[_Res4Text]],FIND("[",Tasks[[#This Row],[_Res4Text]]&amp;"[")-1)),res_Initials,0),0)))</f>
        <v>0</v>
      </c>
      <c r="DS57" s="43" t="str">
        <f aca="false">IF(Tasks[[#This Row],[_Res1Text]]="","",IF(Tasks[[#This Row],[_Res1Row]]&gt;0,INDEX(res_Name,Tasks[[#This Row],[_Res1Row]]),TRIM(LEFT(Tasks[[#This Row],[_Res1Text]],FIND("[",Tasks[[#This Row],[_Res1Text]]&amp;"[")-1))))</f>
        <v/>
      </c>
      <c r="DT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3" t="n">
        <f aca="false">IF(NOT(Tasks[[#This Row],[_IsLeaf]]=1),0,(Tasks[[#This Row],[_Resource1]]&lt;&gt;"")+(Tasks[[#This Row],[_Res2]]&lt;&gt;"")+(Tasks[[#This Row],[_Res3]]&lt;&gt;"")+(Tasks[[#This Row],[_Res4]]&lt;&gt;""))</f>
        <v>0</v>
      </c>
      <c r="DV57" s="43" t="str">
        <f aca="false">IF(Tasks[[#This Row],[_Res2Text]]="","",IF(Tasks[[#This Row],[_Res2Row]]&gt;0,INDEX(res_Name,Tasks[[#This Row],[_Res2Row]]),TRIM(LEFT(Tasks[[#This Row],[_Res2Text]],FIND("[",Tasks[[#This Row],[_Res2Text]]&amp;"[")-1))))</f>
        <v/>
      </c>
      <c r="DW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3" t="n">
        <f aca="false">IF(OR(NOT(Tasks[[#This Row],[_IsLeaf]]=1),Tasks[[#This Row],[_Res2Row]]=0),0,N(Tasks[[#This Row],[_Days]])*HoursPerDay*IF(Tasks[[#This Row],[_Res2Units]]="",DefaultUnits,Tasks[[#This Row],[_Res2Units]]))</f>
        <v>0</v>
      </c>
      <c r="DY57" s="43" t="n">
        <f aca="false">IF(AND(AND(Tasks[[#This Row],[_IsLeaf]]=1,Tasks[[#This Row],[_LeafTotalWork]]&gt;0),Tasks[[#This Row],[_Res2Work]]&gt;0),Tasks[[#This Row],[_Res2Work]]/(Tasks[[#This Row],[_FinishWorkday]]-Tasks[[#This Row],[_StartWorkday]]+1),0)</f>
        <v>0</v>
      </c>
      <c r="DZ57" s="43" t="n">
        <f aca="false">Tasks[[#This Row],[_Res2WorkPerWD]]*MAX(0,Tasks[[#This Row],[_StartWorkday]]-1)</f>
        <v>0</v>
      </c>
      <c r="EA57" s="43" t="n">
        <f aca="false">Tasks[[#This Row],[_Res2Work]]*Tasks[[#This Row],[_LeafProgress]]</f>
        <v>0</v>
      </c>
      <c r="EB57" s="43" t="str">
        <f aca="false">IF(Tasks[[#This Row],[_Res3Text]]="","",IF(Tasks[[#This Row],[_Res3Row]]&gt;0,INDEX(res_Name,Tasks[[#This Row],[_Res3Row]]),TRIM(LEFT(Tasks[[#This Row],[_Res3Text]],FIND("[",Tasks[[#This Row],[_Res3Text]]&amp;"[")-1))))</f>
        <v/>
      </c>
      <c r="EC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3" t="n">
        <f aca="false">IF(OR(NOT(Tasks[[#This Row],[_IsLeaf]]=1),Tasks[[#This Row],[_Res3Row]]=0),0,N(Tasks[[#This Row],[_Days]])*HoursPerDay*IF(Tasks[[#This Row],[_Res3Units]]="",DefaultUnits,Tasks[[#This Row],[_Res3Units]]))</f>
        <v>0</v>
      </c>
      <c r="EE57" s="43" t="n">
        <f aca="false">IF(AND(AND(Tasks[[#This Row],[_IsLeaf]]=1,Tasks[[#This Row],[_LeafTotalWork]]&gt;0),Tasks[[#This Row],[_Res3Work]]&gt;0),Tasks[[#This Row],[_Res3Work]]/(Tasks[[#This Row],[_FinishWorkday]]-Tasks[[#This Row],[_StartWorkday]]+1),0)</f>
        <v>0</v>
      </c>
      <c r="EF57" s="43" t="n">
        <f aca="false">Tasks[[#This Row],[_Res3WorkPerWD]]*MAX(0,Tasks[[#This Row],[_StartWorkday]]-1)</f>
        <v>0</v>
      </c>
      <c r="EG57" s="43" t="n">
        <f aca="false">Tasks[[#This Row],[_Res3Work]]*Tasks[[#This Row],[_LeafProgress]]</f>
        <v>0</v>
      </c>
      <c r="EH57" s="43" t="str">
        <f aca="false">IF(Tasks[[#This Row],[_Res4Text]]="","",IF(Tasks[[#This Row],[_Res4Row]]&gt;0,INDEX(res_Name,Tasks[[#This Row],[_Res4Row]]),TRIM(LEFT(Tasks[[#This Row],[_Res4Text]],FIND("[",Tasks[[#This Row],[_Res4Text]]&amp;"[")-1))))</f>
        <v/>
      </c>
      <c r="EI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3" t="n">
        <f aca="false">IF(OR(NOT(Tasks[[#This Row],[_IsLeaf]]=1),Tasks[[#This Row],[_Res4Row]]=0),0,N(Tasks[[#This Row],[_Days]])*HoursPerDay*IF(Tasks[[#This Row],[_Res4Units]]="",DefaultUnits,Tasks[[#This Row],[_Res4Units]]))</f>
        <v>0</v>
      </c>
      <c r="EK57" s="43" t="n">
        <f aca="false">IF(AND(AND(Tasks[[#This Row],[_IsLeaf]]=1,Tasks[[#This Row],[_LeafTotalWork]]&gt;0),Tasks[[#This Row],[_Res4Work]]&gt;0),Tasks[[#This Row],[_Res4Work]]/(Tasks[[#This Row],[_FinishWorkday]]-Tasks[[#This Row],[_StartWorkday]]+1),0)</f>
        <v>0</v>
      </c>
      <c r="EL57" s="43" t="n">
        <f aca="false">Tasks[[#This Row],[_Res4WorkPerWD]]*MAX(0,Tasks[[#This Row],[_StartWorkday]]-1)</f>
        <v>0</v>
      </c>
      <c r="EM57" s="43" t="n">
        <f aca="false">Tasks[[#This Row],[_Res4Work]]*Tasks[[#This Row],[_LeafProgress]]</f>
        <v>0</v>
      </c>
      <c r="EN57" s="43" t="n">
        <f aca="false">IF(ISNUMBER(Tasks[[#This Row],[% Complete]]),Tasks[[#This Row],[% Complete]],IF(Tasks[[#This Row],[Stage]]="",0,IFERROR(INDEX(stg_Pct,MATCH(Tasks[[#This Row],[Stage]],stg_Name,0)),0)))</f>
        <v>0</v>
      </c>
      <c r="EO57" s="43" t="n">
        <f aca="false">IF(NOT(Tasks[[#This Row],[_IsLeaf]]=1),0,IF(N(Tasks[[#This Row],[Actual Finish]])&gt;0,1,MIN(1,Tasks[[#This Row],[_Pct]])))</f>
        <v>0</v>
      </c>
      <c r="EP57" s="43" t="n">
        <f aca="false">IF(OR(NOT(Tasks[[#This Row],[_IsLeaf]]=1),Tasks[[#This Row],[_Res1Row]]=0),0,N(Tasks[[#This Row],[_Days]])*HoursPerDay*IF(Tasks[[#This Row],[_Units1]]="",DefaultUnits,Tasks[[#This Row],[_Units1]]))</f>
        <v>0</v>
      </c>
      <c r="EQ57" s="43" t="n">
        <f aca="false">Tasks[[#This Row],[_LeafWork]]+Tasks[[#This Row],[_Res2Work]]+Tasks[[#This Row],[_Res3Work]]+Tasks[[#This Row],[_Res4Work]]</f>
        <v>0</v>
      </c>
      <c r="ER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3" t="n">
        <f aca="false">IF(NOT(Tasks[[#This Row],[_IsLeaf]]=1),0,MAX(_xlfn.MAXIFS(Tasks[_Row],Tasks[_Pred1UID],Tasks[[#This Row],[UID]]),_xlfn.MAXIFS(Tasks[_Row],Tasks[_Pred2UID],Tasks[[#This Row],[UID]]),_xlfn.MAXIFS(Tasks[_Row],Tasks[_Pred3UID],Tasks[[#This Row],[UID]]),_xlfn.MAXIFS(Tasks[_Row],Tasks[_Pred4UID],Tasks[[#This Row],[UID]])))</f>
        <v>0</v>
      </c>
      <c r="FA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91" t="str">
        <f aca="false">IF(NOT(Tasks[[#This Row],[_IsLeaf]]=1),"",IF(N(Tasks[[#This Row],[_Days]])&lt;=0,Tasks[[#This Row],[_LeafLateFinish]],WORKDAY.INTL(Tasks[[#This Row],[_LeafLateFinish]],-(Tasks[[#This Row],[_Days]]-1),WorkWeek,Holidays)))</f>
        <v/>
      </c>
      <c r="FD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7" s="90" t="b">
        <f aca="false">AND(Tasks[[#This Row],[_IsLeaf]]=1,Tasks[[#This Row],[_LeafProgress]]&lt;1,N(Tasks[[#This Row],[_LeafTotalSlack]])&lt;=CriticalSlackDays)</f>
        <v>0</v>
      </c>
      <c r="FF57" s="43" t="n">
        <f aca="false">IF(AND(Tasks[[#This Row],[_IsLeaf]]=1,Tasks[[#This Row],[_ConstraintCode]]=1,Tasks[[#This Row],[Mode]]&lt;&gt;"Manual",N(Tasks[[#This Row],[Actual Start]])=0),MAX(0,N(Tasks[[#This Row],[Free Slack]])),0)</f>
        <v>0</v>
      </c>
      <c r="FG57" s="91" t="str">
        <f aca="false">IF(NOT(Tasks[[#This Row],[_IsLeaf]]=1),"",IF(Tasks[[#This Row],[_AlapShift]]=0,Tasks[[#This Row],[_LeafCalcStart]],WORKDAY.INTL(Tasks[[#This Row],[_LeafCalcStart]],Tasks[[#This Row],[_AlapShift]],WorkWeek,Holidays)))</f>
        <v/>
      </c>
      <c r="FH57" s="91" t="str">
        <f aca="false">IF(NOT(Tasks[[#This Row],[_IsLeaf]]=1),"",IF(Tasks[[#This Row],[_AlapShift]]=0,Tasks[[#This Row],[_LeafCalcFinish]],WORKDAY.INTL(Tasks[[#This Row],[_LeafCalcFinish]],Tasks[[#This Row],[_AlapShift]],WorkWeek,Holidays)))</f>
        <v/>
      </c>
      <c r="FI57" s="91" t="str">
        <f aca="false">IF(NOT(Tasks[[#This Row],[_IsLeaf]]=1),"",IF(Tasks[[#This Row],[_AlapShift]]=0,Tasks[[#This Row],[_LeafFcstStart]],WORKDAY.INTL(Tasks[[#This Row],[_LeafFcstStart]],Tasks[[#This Row],[_AlapShift]],WorkWeek,Holidays)))</f>
        <v/>
      </c>
      <c r="FJ57" s="91" t="str">
        <f aca="false">IF(NOT(Tasks[[#This Row],[_IsLeaf]]=1),"",IF(Tasks[[#This Row],[_AlapShift]]=0,Tasks[[#This Row],[_LeafFcstFinish]],WORKDAY.INTL(Tasks[[#This Row],[_LeafFcstFinish]],Tasks[[#This Row],[_AlapShift]],WorkWeek,Holidays)))</f>
        <v/>
      </c>
      <c r="FK57" s="91" t="str">
        <f aca="false">IF(Tasks[[#This Row],[Task Name]]="","",IF(Tasks[[#This Row],[_IsSummary]],MIN(INDEX(Tasks[_ShownCalcStart],Tasks[[#This Row],[_Row]]+1):INDEX(Tasks[_ShownCalcStart],Tasks[[#This Row],[_Row]]+Tasks[[#This Row],[_Descendants]])),Tasks[[#This Row],[_ShownCalcStart]]))</f>
        <v/>
      </c>
      <c r="FL57" s="91" t="str">
        <f aca="false">IF(Tasks[[#This Row],[Task Name]]="","",IF(Tasks[[#This Row],[_IsSummary]],MAX(INDEX(Tasks[_ShownCalcFinish],Tasks[[#This Row],[_Row]]+1):INDEX(Tasks[_ShownCalcFinish],Tasks[[#This Row],[_Row]]+Tasks[[#This Row],[_Descendants]])),Tasks[[#This Row],[_ShownCalcFinish]]))</f>
        <v/>
      </c>
      <c r="FM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7" s="43" t="n">
        <f aca="false">IF(AND(Tasks[[#This Row],[_IsLeaf]]=1,Tasks[[#This Row],[_LeafTotalWork]]&gt;0),NETWORKDAYS.INTL(ProjectStart,Tasks[[#This Row],[_ShownFcstStart]],WorkWeek,Holidays),0)</f>
        <v>0</v>
      </c>
      <c r="FZ57" s="43" t="n">
        <f aca="false">IF(AND(Tasks[[#This Row],[_IsLeaf]]=1,Tasks[[#This Row],[_LeafTotalWork]]&gt;0),MAX(Tasks[[#This Row],[_StartWorkday]],NETWORKDAYS.INTL(ProjectStart,Tasks[[#This Row],[_ShownFcstFinish]],WorkWeek,Holidays)),0)</f>
        <v>0</v>
      </c>
      <c r="GA57" s="43" t="n">
        <f aca="false">IF(AND(Tasks[[#This Row],[_IsLeaf]]=1,Tasks[[#This Row],[_LeafTotalWork]]&gt;0),Tasks[[#This Row],[_LeafWork]]/(Tasks[[#This Row],[_FinishWorkday]]-Tasks[[#This Row],[_StartWorkday]]+1),0)</f>
        <v>0</v>
      </c>
      <c r="GB57" s="43" t="n">
        <f aca="false">Tasks[[#This Row],[_WorkPerWorkday]]*(Tasks[[#This Row],[_StartWorkday]]-1)</f>
        <v>-0</v>
      </c>
      <c r="GC57" s="43" t="n">
        <f aca="false">IF(Tasks[[#This Row],[_IsLeaf]]=1,MAX(N(Tasks[[#This Row],[_Days]]),0.1),0)</f>
        <v>0</v>
      </c>
      <c r="GD57" s="43" t="n">
        <f aca="false">Tasks[[#This Row],[_WeightDur]]*Tasks[[#This Row],[_LeafProgress]]</f>
        <v>0</v>
      </c>
      <c r="GE57" s="43" t="n">
        <f aca="false">Tasks[[#This Row],[_WeightDur]]*Tasks[[#This Row],[_PlannedPct]]</f>
        <v>0</v>
      </c>
      <c r="GF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3" t="str">
        <f aca="false">IF(AND(Tasks[[#This Row],[_IsLeaf]]=1,N(Tasks[[#This Row],[_Days]])=0,Tasks[[#This Row],[_LeafProgress]]&lt;1),Tasks[[#This Row],[_ShownFcstFinish]]+Tasks[[#This Row],[_Row]]/100000,"")</f>
        <v/>
      </c>
      <c r="GH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7" s="43" t="str">
        <f aca="false">IF(Tasks[[#This Row],[Task Name]]="","",LEFT(Tasks[[#This Row],[WBS]],FIND(".",Tasks[[#This Row],[WBS]]&amp;".")-1))</f>
        <v/>
      </c>
      <c r="GJ57" s="43" t="str">
        <f aca="false">IF(AND(Tasks[[#This Row],[Task Name]]&lt;&gt;"",Tasks[[#This Row],[_Level]]=1),Tasks[[#This Row],[_Row]],"")</f>
        <v/>
      </c>
      <c r="GK57" s="43" t="str">
        <f aca="false">IF(AND(Tasks[[#This Row],[_IsLeaf]]=1,N(Tasks[[#This Row],[_Days]])=0),Tasks[[#This Row],[Planned Finish]]+Tasks[[#This Row],[_Row]]/100000,"")</f>
        <v/>
      </c>
      <c r="GL57" s="43" t="str">
        <f aca="false">IF(AND(Tasks[[#This Row],[_IsLeaf]]=1,Tasks[[#This Row],[_LeafProgress]]&lt;1,OR(N(Tasks[[#This Row],[Finish Var]])&gt;0,Tasks[[#This Row],[Status]]="Late Start")),MAX(0,Tasks[[#This Row],[Finish Var]])+1-Tasks[[#This Row],[_Row]]/1000000,"")</f>
        <v/>
      </c>
      <c r="GM57" s="43" t="str">
        <f aca="false">IF(AND(Tasks[[#This Row],[_IsLeaf]]=1,N(Tasks[[#This Row],[Actual Start]])=0,Tasks[[#This Row],[_ShownFcstStart]]&gt;=StatusDate,Tasks[[#This Row],[_ShownFcstStart]]&lt;=LookaheadEnd),Tasks[[#This Row],[_ShownFcstStart]]+Tasks[[#This Row],[_Row]]/100000,"")</f>
        <v/>
      </c>
      <c r="GN57" s="43" t="str">
        <f aca="false">IF(AND(Tasks[[#This Row],[_IsLeaf]]=1,Tasks[[#This Row],[_LeafProgress]]&lt;1,Tasks[[#This Row],[_ShownFcstFinish]]&gt;=StatusDate,Tasks[[#This Row],[_ShownFcstFinish]]&lt;=LookaheadEnd),Tasks[[#This Row],[_ShownFcstFinish]]+Tasks[[#This Row],[_Row]]/100000,"")</f>
        <v/>
      </c>
      <c r="GO57" s="43" t="str">
        <f aca="false">IF(Tasks[[#This Row],[_LeafCritical]],Tasks[[#This Row],[_ShownFcstStart]]+Tasks[[#This Row],[_Row]]/100000,"")</f>
        <v/>
      </c>
      <c r="GP57" s="43" t="n">
        <f aca="false">Tasks[[#This Row],[_LeafWork]]*Tasks[[#This Row],[_LeafProgress]]</f>
        <v>0</v>
      </c>
      <c r="GQ57" s="91" t="str">
        <f aca="false">IF(AND(Tasks[[#This Row],[_IsLeaf]]=1,Tasks[[#This Row],[_LeafProgress]]&gt;=1),IF(N(Tasks[[#This Row],[Actual Finish]])&gt;0,Tasks[[#This Row],[Actual Finish]],Tasks[[#This Row],[_ShownFcstFinish]]),"")</f>
        <v/>
      </c>
      <c r="GR57" s="43" t="n">
        <f aca="false">IF(Tasks[[#This Row],[_IsLeaf]]=1,N(Tasks[[#This Row],[Story Points]]),0)</f>
        <v>0</v>
      </c>
      <c r="GS57" s="43" t="str">
        <f aca="false">""</f>
        <v/>
      </c>
      <c r="GT57" s="90" t="b">
        <f aca="false">IF(Tasks[[#This Row],[Task Name]]="",FALSE(),AND(Tasks[[#This Row],[_IsLeaf]]=1,N(Tasks[[#This Row],[_Days]])=0))</f>
        <v>0</v>
      </c>
      <c r="GU57" s="91" t="n">
        <f aca="false">IF(Tasks[[#This Row],[Task Name]]="",0,IF(AND(Tasks[[#This Row],[_IsLeaf]]=1,NOT(Tasks[[#This Row],[_IsMilestone]]),N(Tasks[[#This Row],[Progress]])&gt;0),Tasks[[#This Row],[Start]],0))</f>
        <v>0</v>
      </c>
      <c r="GV57" s="91" t="n">
        <f aca="false">IF(Tasks[[#This Row],[_DoneFrom]]=0,0,IF(Tasks[[#This Row],[Progress]]&gt;=1,Tasks[[#This Row],[Finish]],MAX(Tasks[[#This Row],[_DoneFrom]],Tasks[[#This Row],[Start]]+ROUND((Tasks[[#This Row],[Finish]]-Tasks[[#This Row],[Start]]+1)*Tasks[[#This Row],[Progress]],0)-1)))</f>
        <v>0</v>
      </c>
      <c r="GW57" s="91" t="n">
        <f aca="false">IF(Tasks[[#This Row],[Task Name]]="",0,IF(OR(NOT(Tasks[[#This Row],[_IsLeaf]]=1),Tasks[[#This Row],[_IsMilestone]],N(Tasks[[#This Row],[Progress]])&gt;=1),0,IF(Tasks[[#This Row],[_DoneTo]]&gt;0,Tasks[[#This Row],[_DoneTo]]+1,Tasks[[#This Row],[Start]])))</f>
        <v>0</v>
      </c>
      <c r="GX57" s="91" t="n">
        <f aca="false">IF(Tasks[[#This Row],[_RemFrom]]=0,0,Tasks[[#This Row],[Finish]])</f>
        <v>0</v>
      </c>
      <c r="GY57" s="90" t="b">
        <f aca="false">IF(Tasks[[#This Row],[Task Name]]="",FALSE(),OR(NOT(BaselineSet),N(Tasks[[#This Row],[Baseline Start]])&gt;0))</f>
        <v>0</v>
      </c>
      <c r="GZ5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92" t="str">
        <f aca="false">IF(Tasks[[#This Row],[_IsLeaf]]=1,Tasks[[#This Row],[_Row]],"")</f>
        <v/>
      </c>
      <c r="HD57" s="92" t="str">
        <f aca="false">IFERROR(INDEX(Tasks[UID],SMALL(Tasks[_PickKey],Tasks[[#This Row],[_Row]]))&amp;" "&amp;INDEX(Tasks[Task Name],SMALL(Tasks[_PickKey],Tasks[[#This Row],[_Row]])),"")</f>
        <v/>
      </c>
      <c r="HE57" s="43" t="str">
        <f aca="false">IF(Tasks[[#This Row],[Task Name]]="","",IF(Tasks[[#This Row],[_IsSummary]],NETWORKDAYS.INTL(Tasks[[#This Row],[Start]],Tasks[[#This Row],[Finish]],WorkWeek,Holidays),N(Tasks[[#This Row],[_Days]])))</f>
        <v/>
      </c>
      <c r="HF57" s="43" t="n">
        <f aca="false">IF(Tasks[[#This Row],[Expected]]="",0,((Tasks[[#This Row],[Pessimistic]]-Tasks[[#This Row],[Optimistic]])/6)^2)</f>
        <v>0</v>
      </c>
      <c r="HG57" s="43" t="n">
        <f aca="false">IF(Tasks[[#This Row],[Expected]]="",0,Tasks[[#This Row],[Expected]]-N(Tasks[[#This Row],[_Days]]))</f>
        <v>0</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4"/>
      <c r="U58" s="23"/>
      <c r="V58" s="84"/>
      <c r="W58" s="23"/>
      <c r="X58" s="84"/>
      <c r="Y58" s="23"/>
      <c r="Z58" s="84"/>
      <c r="AA58" s="23"/>
      <c r="AB58" s="23"/>
      <c r="AC58" s="7"/>
      <c r="AD58" s="7"/>
      <c r="AE58" s="63" t="str">
        <f aca="false">IF(Tasks[[#This Row],[Task Name]]="","",IF(Tasks[[#This Row],[_IsSummary]],MIN(INDEX(Tasks[_ShownFcstStart],Tasks[[#This Row],[_Row]]+1):INDEX(Tasks[_ShownFcstStart],Tasks[[#This Row],[_Row]]+Tasks[[#This Row],[_Descendants]])),Tasks[[#This Row],[_ShownFcstStart]]))</f>
        <v/>
      </c>
      <c r="AF58" s="63"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8" s="7"/>
      <c r="AK58" s="22"/>
      <c r="AL58" s="23"/>
      <c r="AM58" s="7"/>
      <c r="AN58" s="47"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3" t="str">
        <f aca="false">IF(Tasks[[#This Row],[Task Name]]="","",IF(N(Tasks[[#This Row],[Baseline Start]])&gt;0,Tasks[[#This Row],[Baseline Start]],Tasks[[#This Row],[_CalcStart]]))</f>
        <v/>
      </c>
      <c r="AR58" s="63" t="str">
        <f aca="false">IF(Tasks[[#This Row],[Task Name]]="","",IF(N(Tasks[[#This Row],[Baseline Finish]])&gt;0,Tasks[[#This Row],[Baseline Finish]],Tasks[[#This Row],[_CalcFinish]]))</f>
        <v/>
      </c>
      <c r="AS58" s="47" t="str">
        <f aca="false">IF(Tasks[[#This Row],[Task Name]]="","",IF(Tasks[[#This Row],[Start]]&gt;=Tasks[[#This Row],[Planned Start]],NETWORKDAYS.INTL(Tasks[[#This Row],[Planned Start]],Tasks[[#This Row],[Start]],WorkWeek,Holidays)-1,1-NETWORKDAYS.INTL(Tasks[[#This Row],[Start]],Tasks[[#This Row],[Planned Start]],WorkWeek,Holidays)))</f>
        <v/>
      </c>
      <c r="AT58" s="63" t="str">
        <f aca="false">IF(Tasks[[#This Row],[Task Name]]="","",IF(Tasks[[#This Row],[_IsSummary]],MIN(INDEX(Tasks[_LeafLateStart],Tasks[[#This Row],[_Row]]+1):INDEX(Tasks[_LeafLateStart],Tasks[[#This Row],[_Row]]+Tasks[[#This Row],[_Descendants]])),Tasks[[#This Row],[_LeafLateStart]]))</f>
        <v/>
      </c>
      <c r="AU58" s="63" t="str">
        <f aca="false">IF(Tasks[[#This Row],[Task Name]]="","",IF(Tasks[[#This Row],[_IsSummary]],MAX(INDEX(Tasks[_LeafLateFinish],Tasks[[#This Row],[_Row]]+1):INDEX(Tasks[_LeafLateFinish],Tasks[[#This Row],[_Row]]+Tasks[[#This Row],[_Descendants]])),Tasks[[#This Row],[_LeafLateFinish]]))</f>
        <v/>
      </c>
      <c r="AV58" s="47"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5"/>
      <c r="BA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6"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7"/>
      <c r="BJ58" s="22"/>
      <c r="BK58" s="47" t="str">
        <f aca="false">IF(OR(Tasks[[#This Row],[Task Name]]="",Tasks[[#This Row],[Baseline Duration]]=""),"",Tasks[[#This Row],[_SpanDays]]-N(Tasks[[#This Row],[Baseline Duration]]))</f>
        <v/>
      </c>
      <c r="BL58" s="86" t="str">
        <f aca="false">IF(OR(Tasks[[#This Row],[Task Name]]="",Tasks[[#This Row],[Baseline Work]]=""),"",Tasks[[#This Row],[Work]]-N(Tasks[[#This Row],[Baseline Work]]))</f>
        <v/>
      </c>
      <c r="BM58" s="63" t="str">
        <f aca="false">IF(Tasks[[#This Row],[Task Name]]="","",IF(OR(TakeBaseline="Yes",N(Tasks[[#This Row],[Baseline Start]])=0),Tasks[[#This Row],[Start]],Tasks[[#This Row],[Baseline Start]]))</f>
        <v/>
      </c>
      <c r="BN58" s="63" t="str">
        <f aca="false">IF(Tasks[[#This Row],[Task Name]]="","",IF(OR(TakeBaseline="Yes",N(Tasks[[#This Row],[Baseline Finish]])=0),Tasks[[#This Row],[Finish]],Tasks[[#This Row],[Baseline Finish]]))</f>
        <v/>
      </c>
      <c r="BO58" s="21" t="str">
        <f aca="false">IF(Tasks[[#This Row],[Task Name]]="","",IF(OR(TakeBaseline="Yes",N(Tasks[[#This Row],[Baseline Duration]])=0),Tasks[[#This Row],[_SpanDays]],Tasks[[#This Row],[Baseline Duration]]))</f>
        <v/>
      </c>
      <c r="BP58" s="86" t="str">
        <f aca="false">IF(Tasks[[#This Row],[Task Name]]="","",IF(OR(TakeBaseline="Yes",N(Tasks[[#This Row],[Baseline Work]])=0),Tasks[[#This Row],[Work]],Tasks[[#This Row],[Baseline Work]]))</f>
        <v/>
      </c>
      <c r="BQ58" s="7"/>
      <c r="BR58" s="7"/>
      <c r="BS58" s="22"/>
      <c r="BT58" s="88"/>
      <c r="BU58" s="23"/>
      <c r="BV58" s="23"/>
      <c r="BW58" s="23"/>
      <c r="BX58" s="89" t="str">
        <f aca="false">IF(AND(Tasks[[#This Row],[_IsLeaf]]=1,ISNUMBER(Tasks[[#This Row],[Optimistic]]),ISNUMBER(Tasks[[#This Row],[Pessimistic]])),ROUND((Tasks[[#This Row],[Optimistic]]+4*N(Tasks[[#This Row],[_Days]])+Tasks[[#This Row],[Pessimistic]])/6,1),"")</f>
        <v/>
      </c>
      <c r="BY58" s="87"/>
      <c r="BZ58" s="87"/>
      <c r="CA58" s="22"/>
      <c r="CB58" s="43" t="str">
        <f aca="false">IF(Tasks[[#This Row],[Task Name]]="","",MAX(1,N(Tasks[[#This Row],[Level]])))</f>
        <v/>
      </c>
      <c r="CC58" s="43" t="n">
        <f aca="false">ROW()-ROW(Tasks[[#Headers],[ID]])</f>
        <v>53</v>
      </c>
      <c r="CD58" s="43" t="n">
        <f aca="false">IF(OR(Tasks[[#This Row],[Task Name]]="",Tasks[[#This Row],[_Level]]&lt;=1),0,IFERROR(LOOKUP(2,1/(Tasks[[#Headers],[_Level]]:Tasks[[#This Row],[_Level]]=Tasks[[#This Row],[_Level]]-1),ROW(Tasks[[#Headers],[_Level]]:Tasks[[#This Row],[_Level]])),0))</f>
        <v>0</v>
      </c>
      <c r="CE58" s="43" t="n">
        <f aca="false">IFERROR(N(INDEX(Tasks[_Level],Tasks[[#This Row],[_Row]]+1)),0)</f>
        <v>0</v>
      </c>
      <c r="CF58" s="90" t="b">
        <f aca="false">AND(Tasks[[#This Row],[Task Name]]&lt;&gt;"",Tasks[[#This Row],[_NextLevel]]&gt;Tasks[[#This Row],[_Level]])</f>
        <v>0</v>
      </c>
      <c r="CG58" s="43" t="n">
        <f aca="false">IF(Tasks[[#This Row],[_IsSummary]],COUNTIF(Tasks[WBS],Tasks[[#This Row],[WBS]]&amp;".*"),0)</f>
        <v>0</v>
      </c>
      <c r="CH58" s="43" t="n">
        <f aca="false">IF(AND(Tasks[[#This Row],[Task Name]]&lt;&gt;"",NOT(Tasks[[#This Row],[_IsSummary]])),1,0)</f>
        <v>0</v>
      </c>
      <c r="CI58" s="43" t="n">
        <f aca="false">IF(N(Tasks[[#This Row],[_Pred1UID]])=0,0,IFERROR(MATCH(Tasks[[#This Row],[_Pred1UID]],Tasks[UID],0),-1))</f>
        <v>0</v>
      </c>
      <c r="CJ58" s="43" t="n">
        <f aca="false">IF(N(Tasks[[#This Row],[_Pred2UID]])=0,0,IFERROR(MATCH(Tasks[[#This Row],[_Pred2UID]],Tasks[UID],0),-1))</f>
        <v>0</v>
      </c>
      <c r="CK58" s="43" t="n">
        <f aca="false">IF(N(Tasks[[#This Row],[_Pred3UID]])=0,0,IFERROR(MATCH(Tasks[[#This Row],[_Pred3UID]],Tasks[UID],0),-1))</f>
        <v>0</v>
      </c>
      <c r="CL58" s="43" t="n">
        <f aca="false">IF(N(Tasks[[#This Row],[_Pred4UID]])=0,0,IFERROR(MATCH(Tasks[[#This Row],[_Pred4UID]],Tasks[UID],0),-1))</f>
        <v>0</v>
      </c>
      <c r="CM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8" s="91" t="n">
        <f aca="false">IF(OR(Tasks[[#This Row],[_ConstraintCode]]=2,Tasks[[#This Row],[_ConstraintCode]]=3,Tasks[[#This Row],[_ConstraintCode]]=4,Tasks[[#This Row],[_ConstraintCode]]=6),Tasks[[#This Row],[_ConstraintStart]],0)</f>
        <v>0</v>
      </c>
      <c r="CP58" s="91" t="n">
        <f aca="false">IF(OR(Tasks[[#This Row],[_ConstraintCode]]=2,Tasks[[#This Row],[_ConstraintCode]]=3,Tasks[[#This Row],[_ConstraintCode]]=5,Tasks[[#This Row],[_ConstraintCode]]=7),Tasks[[#This Row],[_ConstraintStart]],2958465)</f>
        <v>2958465</v>
      </c>
      <c r="CQ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91" t="str">
        <f aca="false">IF(NOT(Tasks[[#This Row],[_IsLeaf]]=1),"",IF(N(Tasks[[#This Row],[_Days]])&lt;=0,Tasks[[#This Row],[_LeafCalcStart]],WORKDAY.INTL(Tasks[[#This Row],[_LeafCalcStart]],Tasks[[#This Row],[_Days]]-1,WorkWeek,Holidays)))</f>
        <v/>
      </c>
      <c r="CS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3" t="str">
        <f aca="false">IF(Tasks[[#This Row],[_Predecessors]]="","",TRIM(MID(SUBSTITUTE(SUBSTITUTE(SUBSTITUTE(UPPER(Tasks[[#This Row],[_Predecessors]]),";",",")," ",""),",",REPT(" ",99)),1,99)))</f>
        <v/>
      </c>
      <c r="CV58" s="43" t="str">
        <f aca="false">IF(Tasks[[#This Row],[_Pred1Text]]="","",IFERROR(VALUE(LEFT(Tasks[[#This Row],[_Pred1Text]],MIN(FIND("F",Tasks[[#This Row],[_Pred1Text]]&amp;"F"),FIND("S",Tasks[[#This Row],[_Pred1Text]]&amp;"S"),FIND("+",Tasks[[#This Row],[_Pred1Text]]&amp;"+"),FIND("-",Tasks[[#This Row],[_Pred1Text]]&amp;"-"))-1)),""))</f>
        <v/>
      </c>
      <c r="CW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3" t="str">
        <f aca="false">IF(Tasks[[#This Row],[_Pred1Text]]="","",TRIM(MID(SUBSTITUTE(SUBSTITUTE(SUBSTITUTE(UPPER(Tasks[[#This Row],[_Predecessors]]),";",",")," ",""),",",REPT(" ",99)),100,99)))</f>
        <v/>
      </c>
      <c r="CZ58" s="43" t="str">
        <f aca="false">IF(Tasks[[#This Row],[_Pred2Text]]="","",IFERROR(VALUE(LEFT(Tasks[[#This Row],[_Pred2Text]],MIN(FIND("F",Tasks[[#This Row],[_Pred2Text]]&amp;"F"),FIND("S",Tasks[[#This Row],[_Pred2Text]]&amp;"S"),FIND("+",Tasks[[#This Row],[_Pred2Text]]&amp;"+"),FIND("-",Tasks[[#This Row],[_Pred2Text]]&amp;"-"))-1)),""))</f>
        <v/>
      </c>
      <c r="DA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3" t="str">
        <f aca="false">IF(Tasks[[#This Row],[_Pred2Text]]="","",TRIM(MID(SUBSTITUTE(SUBSTITUTE(SUBSTITUTE(UPPER(Tasks[[#This Row],[_Predecessors]]),";",",")," ",""),",",REPT(" ",99)),199,99)))</f>
        <v/>
      </c>
      <c r="DD58" s="43" t="str">
        <f aca="false">IF(Tasks[[#This Row],[_Pred3Text]]="","",IFERROR(VALUE(LEFT(Tasks[[#This Row],[_Pred3Text]],MIN(FIND("F",Tasks[[#This Row],[_Pred3Text]]&amp;"F"),FIND("S",Tasks[[#This Row],[_Pred3Text]]&amp;"S"),FIND("+",Tasks[[#This Row],[_Pred3Text]]&amp;"+"),FIND("-",Tasks[[#This Row],[_Pred3Text]]&amp;"-"))-1)),""))</f>
        <v/>
      </c>
      <c r="DE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3" t="str">
        <f aca="false">IF(Tasks[[#This Row],[_Pred3Text]]="","",TRIM(MID(SUBSTITUTE(SUBSTITUTE(SUBSTITUTE(UPPER(Tasks[[#This Row],[_Predecessors]]),";",",")," ",""),",",REPT(" ",99)),298,99)))</f>
        <v/>
      </c>
      <c r="DH58" s="43" t="str">
        <f aca="false">IF(Tasks[[#This Row],[_Pred4Text]]="","",IFERROR(VALUE(LEFT(Tasks[[#This Row],[_Pred4Text]],MIN(FIND("F",Tasks[[#This Row],[_Pred4Text]]&amp;"F"),FIND("S",Tasks[[#This Row],[_Pred4Text]]&amp;"S"),FIND("+",Tasks[[#This Row],[_Pred4Text]]&amp;"+"),FIND("-",Tasks[[#This Row],[_Pred4Text]]&amp;"-"))-1)),""))</f>
        <v/>
      </c>
      <c r="DI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3" t="str">
        <f aca="false">IF(OR(Tasks[[#This Row],[Task Name]]="",Tasks[[#This Row],[_Resources]]=""),"",TRIM(MID(SUBSTITUTE(Tasks[[#This Row],[_Resources]],",",REPT(" ",99)),1,99)))</f>
        <v/>
      </c>
      <c r="DL58" s="43" t="str">
        <f aca="false">IF(Tasks[[#This Row],[_Res1Text]]="","",TRIM(MID(SUBSTITUTE(Tasks[[#This Row],[_Resources]],",",REPT(" ",99)),100,99)))</f>
        <v/>
      </c>
      <c r="DM58" s="43" t="str">
        <f aca="false">IF(Tasks[[#This Row],[_Res2Text]]="","",TRIM(MID(SUBSTITUTE(Tasks[[#This Row],[_Resources]],",",REPT(" ",99)),199,99)))</f>
        <v/>
      </c>
      <c r="DN58" s="43" t="str">
        <f aca="false">IF(Tasks[[#This Row],[_Res3Text]]="","",TRIM(MID(SUBSTITUTE(Tasks[[#This Row],[_Resources]],",",REPT(" ",99)),298,99)))</f>
        <v/>
      </c>
      <c r="DO58" s="43" t="n">
        <f aca="false">IF(Tasks[[#This Row],[_Res1Text]]="",0,IFERROR(MATCH(TRIM(LEFT(Tasks[[#This Row],[_Res1Text]],FIND("[",Tasks[[#This Row],[_Res1Text]]&amp;"[")-1)),res_Name,0),IFERROR(MATCH(TRIM(LEFT(Tasks[[#This Row],[_Res1Text]],FIND("[",Tasks[[#This Row],[_Res1Text]]&amp;"[")-1)),res_Initials,0),0)))</f>
        <v>0</v>
      </c>
      <c r="DP58" s="43" t="n">
        <f aca="false">IF(Tasks[[#This Row],[_Res2Text]]="",0,IFERROR(MATCH(TRIM(LEFT(Tasks[[#This Row],[_Res2Text]],FIND("[",Tasks[[#This Row],[_Res2Text]]&amp;"[")-1)),res_Name,0),IFERROR(MATCH(TRIM(LEFT(Tasks[[#This Row],[_Res2Text]],FIND("[",Tasks[[#This Row],[_Res2Text]]&amp;"[")-1)),res_Initials,0),0)))</f>
        <v>0</v>
      </c>
      <c r="DQ58" s="43" t="n">
        <f aca="false">IF(Tasks[[#This Row],[_Res3Text]]="",0,IFERROR(MATCH(TRIM(LEFT(Tasks[[#This Row],[_Res3Text]],FIND("[",Tasks[[#This Row],[_Res3Text]]&amp;"[")-1)),res_Name,0),IFERROR(MATCH(TRIM(LEFT(Tasks[[#This Row],[_Res3Text]],FIND("[",Tasks[[#This Row],[_Res3Text]]&amp;"[")-1)),res_Initials,0),0)))</f>
        <v>0</v>
      </c>
      <c r="DR58" s="43" t="n">
        <f aca="false">IF(Tasks[[#This Row],[_Res4Text]]="",0,IFERROR(MATCH(TRIM(LEFT(Tasks[[#This Row],[_Res4Text]],FIND("[",Tasks[[#This Row],[_Res4Text]]&amp;"[")-1)),res_Name,0),IFERROR(MATCH(TRIM(LEFT(Tasks[[#This Row],[_Res4Text]],FIND("[",Tasks[[#This Row],[_Res4Text]]&amp;"[")-1)),res_Initials,0),0)))</f>
        <v>0</v>
      </c>
      <c r="DS58" s="43" t="str">
        <f aca="false">IF(Tasks[[#This Row],[_Res1Text]]="","",IF(Tasks[[#This Row],[_Res1Row]]&gt;0,INDEX(res_Name,Tasks[[#This Row],[_Res1Row]]),TRIM(LEFT(Tasks[[#This Row],[_Res1Text]],FIND("[",Tasks[[#This Row],[_Res1Text]]&amp;"[")-1))))</f>
        <v/>
      </c>
      <c r="DT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3" t="n">
        <f aca="false">IF(NOT(Tasks[[#This Row],[_IsLeaf]]=1),0,(Tasks[[#This Row],[_Resource1]]&lt;&gt;"")+(Tasks[[#This Row],[_Res2]]&lt;&gt;"")+(Tasks[[#This Row],[_Res3]]&lt;&gt;"")+(Tasks[[#This Row],[_Res4]]&lt;&gt;""))</f>
        <v>0</v>
      </c>
      <c r="DV58" s="43" t="str">
        <f aca="false">IF(Tasks[[#This Row],[_Res2Text]]="","",IF(Tasks[[#This Row],[_Res2Row]]&gt;0,INDEX(res_Name,Tasks[[#This Row],[_Res2Row]]),TRIM(LEFT(Tasks[[#This Row],[_Res2Text]],FIND("[",Tasks[[#This Row],[_Res2Text]]&amp;"[")-1))))</f>
        <v/>
      </c>
      <c r="DW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3" t="n">
        <f aca="false">IF(OR(NOT(Tasks[[#This Row],[_IsLeaf]]=1),Tasks[[#This Row],[_Res2Row]]=0),0,N(Tasks[[#This Row],[_Days]])*HoursPerDay*IF(Tasks[[#This Row],[_Res2Units]]="",DefaultUnits,Tasks[[#This Row],[_Res2Units]]))</f>
        <v>0</v>
      </c>
      <c r="DY58" s="43" t="n">
        <f aca="false">IF(AND(AND(Tasks[[#This Row],[_IsLeaf]]=1,Tasks[[#This Row],[_LeafTotalWork]]&gt;0),Tasks[[#This Row],[_Res2Work]]&gt;0),Tasks[[#This Row],[_Res2Work]]/(Tasks[[#This Row],[_FinishWorkday]]-Tasks[[#This Row],[_StartWorkday]]+1),0)</f>
        <v>0</v>
      </c>
      <c r="DZ58" s="43" t="n">
        <f aca="false">Tasks[[#This Row],[_Res2WorkPerWD]]*MAX(0,Tasks[[#This Row],[_StartWorkday]]-1)</f>
        <v>0</v>
      </c>
      <c r="EA58" s="43" t="n">
        <f aca="false">Tasks[[#This Row],[_Res2Work]]*Tasks[[#This Row],[_LeafProgress]]</f>
        <v>0</v>
      </c>
      <c r="EB58" s="43" t="str">
        <f aca="false">IF(Tasks[[#This Row],[_Res3Text]]="","",IF(Tasks[[#This Row],[_Res3Row]]&gt;0,INDEX(res_Name,Tasks[[#This Row],[_Res3Row]]),TRIM(LEFT(Tasks[[#This Row],[_Res3Text]],FIND("[",Tasks[[#This Row],[_Res3Text]]&amp;"[")-1))))</f>
        <v/>
      </c>
      <c r="EC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3" t="n">
        <f aca="false">IF(OR(NOT(Tasks[[#This Row],[_IsLeaf]]=1),Tasks[[#This Row],[_Res3Row]]=0),0,N(Tasks[[#This Row],[_Days]])*HoursPerDay*IF(Tasks[[#This Row],[_Res3Units]]="",DefaultUnits,Tasks[[#This Row],[_Res3Units]]))</f>
        <v>0</v>
      </c>
      <c r="EE58" s="43" t="n">
        <f aca="false">IF(AND(AND(Tasks[[#This Row],[_IsLeaf]]=1,Tasks[[#This Row],[_LeafTotalWork]]&gt;0),Tasks[[#This Row],[_Res3Work]]&gt;0),Tasks[[#This Row],[_Res3Work]]/(Tasks[[#This Row],[_FinishWorkday]]-Tasks[[#This Row],[_StartWorkday]]+1),0)</f>
        <v>0</v>
      </c>
      <c r="EF58" s="43" t="n">
        <f aca="false">Tasks[[#This Row],[_Res3WorkPerWD]]*MAX(0,Tasks[[#This Row],[_StartWorkday]]-1)</f>
        <v>0</v>
      </c>
      <c r="EG58" s="43" t="n">
        <f aca="false">Tasks[[#This Row],[_Res3Work]]*Tasks[[#This Row],[_LeafProgress]]</f>
        <v>0</v>
      </c>
      <c r="EH58" s="43" t="str">
        <f aca="false">IF(Tasks[[#This Row],[_Res4Text]]="","",IF(Tasks[[#This Row],[_Res4Row]]&gt;0,INDEX(res_Name,Tasks[[#This Row],[_Res4Row]]),TRIM(LEFT(Tasks[[#This Row],[_Res4Text]],FIND("[",Tasks[[#This Row],[_Res4Text]]&amp;"[")-1))))</f>
        <v/>
      </c>
      <c r="EI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3" t="n">
        <f aca="false">IF(OR(NOT(Tasks[[#This Row],[_IsLeaf]]=1),Tasks[[#This Row],[_Res4Row]]=0),0,N(Tasks[[#This Row],[_Days]])*HoursPerDay*IF(Tasks[[#This Row],[_Res4Units]]="",DefaultUnits,Tasks[[#This Row],[_Res4Units]]))</f>
        <v>0</v>
      </c>
      <c r="EK58" s="43" t="n">
        <f aca="false">IF(AND(AND(Tasks[[#This Row],[_IsLeaf]]=1,Tasks[[#This Row],[_LeafTotalWork]]&gt;0),Tasks[[#This Row],[_Res4Work]]&gt;0),Tasks[[#This Row],[_Res4Work]]/(Tasks[[#This Row],[_FinishWorkday]]-Tasks[[#This Row],[_StartWorkday]]+1),0)</f>
        <v>0</v>
      </c>
      <c r="EL58" s="43" t="n">
        <f aca="false">Tasks[[#This Row],[_Res4WorkPerWD]]*MAX(0,Tasks[[#This Row],[_StartWorkday]]-1)</f>
        <v>0</v>
      </c>
      <c r="EM58" s="43" t="n">
        <f aca="false">Tasks[[#This Row],[_Res4Work]]*Tasks[[#This Row],[_LeafProgress]]</f>
        <v>0</v>
      </c>
      <c r="EN58" s="43" t="n">
        <f aca="false">IF(ISNUMBER(Tasks[[#This Row],[% Complete]]),Tasks[[#This Row],[% Complete]],IF(Tasks[[#This Row],[Stage]]="",0,IFERROR(INDEX(stg_Pct,MATCH(Tasks[[#This Row],[Stage]],stg_Name,0)),0)))</f>
        <v>0</v>
      </c>
      <c r="EO58" s="43" t="n">
        <f aca="false">IF(NOT(Tasks[[#This Row],[_IsLeaf]]=1),0,IF(N(Tasks[[#This Row],[Actual Finish]])&gt;0,1,MIN(1,Tasks[[#This Row],[_Pct]])))</f>
        <v>0</v>
      </c>
      <c r="EP58" s="43" t="n">
        <f aca="false">IF(OR(NOT(Tasks[[#This Row],[_IsLeaf]]=1),Tasks[[#This Row],[_Res1Row]]=0),0,N(Tasks[[#This Row],[_Days]])*HoursPerDay*IF(Tasks[[#This Row],[_Units1]]="",DefaultUnits,Tasks[[#This Row],[_Units1]]))</f>
        <v>0</v>
      </c>
      <c r="EQ58" s="43" t="n">
        <f aca="false">Tasks[[#This Row],[_LeafWork]]+Tasks[[#This Row],[_Res2Work]]+Tasks[[#This Row],[_Res3Work]]+Tasks[[#This Row],[_Res4Work]]</f>
        <v>0</v>
      </c>
      <c r="ER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3" t="n">
        <f aca="false">IF(NOT(Tasks[[#This Row],[_IsLeaf]]=1),0,MAX(_xlfn.MAXIFS(Tasks[_Row],Tasks[_Pred1UID],Tasks[[#This Row],[UID]]),_xlfn.MAXIFS(Tasks[_Row],Tasks[_Pred2UID],Tasks[[#This Row],[UID]]),_xlfn.MAXIFS(Tasks[_Row],Tasks[_Pred3UID],Tasks[[#This Row],[UID]]),_xlfn.MAXIFS(Tasks[_Row],Tasks[_Pred4UID],Tasks[[#This Row],[UID]])))</f>
        <v>0</v>
      </c>
      <c r="FA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91" t="str">
        <f aca="false">IF(NOT(Tasks[[#This Row],[_IsLeaf]]=1),"",IF(N(Tasks[[#This Row],[_Days]])&lt;=0,Tasks[[#This Row],[_LeafLateFinish]],WORKDAY.INTL(Tasks[[#This Row],[_LeafLateFinish]],-(Tasks[[#This Row],[_Days]]-1),WorkWeek,Holidays)))</f>
        <v/>
      </c>
      <c r="FD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8" s="90" t="b">
        <f aca="false">AND(Tasks[[#This Row],[_IsLeaf]]=1,Tasks[[#This Row],[_LeafProgress]]&lt;1,N(Tasks[[#This Row],[_LeafTotalSlack]])&lt;=CriticalSlackDays)</f>
        <v>0</v>
      </c>
      <c r="FF58" s="43" t="n">
        <f aca="false">IF(AND(Tasks[[#This Row],[_IsLeaf]]=1,Tasks[[#This Row],[_ConstraintCode]]=1,Tasks[[#This Row],[Mode]]&lt;&gt;"Manual",N(Tasks[[#This Row],[Actual Start]])=0),MAX(0,N(Tasks[[#This Row],[Free Slack]])),0)</f>
        <v>0</v>
      </c>
      <c r="FG58" s="91" t="str">
        <f aca="false">IF(NOT(Tasks[[#This Row],[_IsLeaf]]=1),"",IF(Tasks[[#This Row],[_AlapShift]]=0,Tasks[[#This Row],[_LeafCalcStart]],WORKDAY.INTL(Tasks[[#This Row],[_LeafCalcStart]],Tasks[[#This Row],[_AlapShift]],WorkWeek,Holidays)))</f>
        <v/>
      </c>
      <c r="FH58" s="91" t="str">
        <f aca="false">IF(NOT(Tasks[[#This Row],[_IsLeaf]]=1),"",IF(Tasks[[#This Row],[_AlapShift]]=0,Tasks[[#This Row],[_LeafCalcFinish]],WORKDAY.INTL(Tasks[[#This Row],[_LeafCalcFinish]],Tasks[[#This Row],[_AlapShift]],WorkWeek,Holidays)))</f>
        <v/>
      </c>
      <c r="FI58" s="91" t="str">
        <f aca="false">IF(NOT(Tasks[[#This Row],[_IsLeaf]]=1),"",IF(Tasks[[#This Row],[_AlapShift]]=0,Tasks[[#This Row],[_LeafFcstStart]],WORKDAY.INTL(Tasks[[#This Row],[_LeafFcstStart]],Tasks[[#This Row],[_AlapShift]],WorkWeek,Holidays)))</f>
        <v/>
      </c>
      <c r="FJ58" s="91" t="str">
        <f aca="false">IF(NOT(Tasks[[#This Row],[_IsLeaf]]=1),"",IF(Tasks[[#This Row],[_AlapShift]]=0,Tasks[[#This Row],[_LeafFcstFinish]],WORKDAY.INTL(Tasks[[#This Row],[_LeafFcstFinish]],Tasks[[#This Row],[_AlapShift]],WorkWeek,Holidays)))</f>
        <v/>
      </c>
      <c r="FK58" s="91" t="str">
        <f aca="false">IF(Tasks[[#This Row],[Task Name]]="","",IF(Tasks[[#This Row],[_IsSummary]],MIN(INDEX(Tasks[_ShownCalcStart],Tasks[[#This Row],[_Row]]+1):INDEX(Tasks[_ShownCalcStart],Tasks[[#This Row],[_Row]]+Tasks[[#This Row],[_Descendants]])),Tasks[[#This Row],[_ShownCalcStart]]))</f>
        <v/>
      </c>
      <c r="FL58" s="91" t="str">
        <f aca="false">IF(Tasks[[#This Row],[Task Name]]="","",IF(Tasks[[#This Row],[_IsSummary]],MAX(INDEX(Tasks[_ShownCalcFinish],Tasks[[#This Row],[_Row]]+1):INDEX(Tasks[_ShownCalcFinish],Tasks[[#This Row],[_Row]]+Tasks[[#This Row],[_Descendants]])),Tasks[[#This Row],[_ShownCalcFinish]]))</f>
        <v/>
      </c>
      <c r="FM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8" s="43" t="n">
        <f aca="false">IF(AND(Tasks[[#This Row],[_IsLeaf]]=1,Tasks[[#This Row],[_LeafTotalWork]]&gt;0),NETWORKDAYS.INTL(ProjectStart,Tasks[[#This Row],[_ShownFcstStart]],WorkWeek,Holidays),0)</f>
        <v>0</v>
      </c>
      <c r="FZ58" s="43" t="n">
        <f aca="false">IF(AND(Tasks[[#This Row],[_IsLeaf]]=1,Tasks[[#This Row],[_LeafTotalWork]]&gt;0),MAX(Tasks[[#This Row],[_StartWorkday]],NETWORKDAYS.INTL(ProjectStart,Tasks[[#This Row],[_ShownFcstFinish]],WorkWeek,Holidays)),0)</f>
        <v>0</v>
      </c>
      <c r="GA58" s="43" t="n">
        <f aca="false">IF(AND(Tasks[[#This Row],[_IsLeaf]]=1,Tasks[[#This Row],[_LeafTotalWork]]&gt;0),Tasks[[#This Row],[_LeafWork]]/(Tasks[[#This Row],[_FinishWorkday]]-Tasks[[#This Row],[_StartWorkday]]+1),0)</f>
        <v>0</v>
      </c>
      <c r="GB58" s="43" t="n">
        <f aca="false">Tasks[[#This Row],[_WorkPerWorkday]]*(Tasks[[#This Row],[_StartWorkday]]-1)</f>
        <v>-0</v>
      </c>
      <c r="GC58" s="43" t="n">
        <f aca="false">IF(Tasks[[#This Row],[_IsLeaf]]=1,MAX(N(Tasks[[#This Row],[_Days]]),0.1),0)</f>
        <v>0</v>
      </c>
      <c r="GD58" s="43" t="n">
        <f aca="false">Tasks[[#This Row],[_WeightDur]]*Tasks[[#This Row],[_LeafProgress]]</f>
        <v>0</v>
      </c>
      <c r="GE58" s="43" t="n">
        <f aca="false">Tasks[[#This Row],[_WeightDur]]*Tasks[[#This Row],[_PlannedPct]]</f>
        <v>0</v>
      </c>
      <c r="GF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3" t="str">
        <f aca="false">IF(AND(Tasks[[#This Row],[_IsLeaf]]=1,N(Tasks[[#This Row],[_Days]])=0,Tasks[[#This Row],[_LeafProgress]]&lt;1),Tasks[[#This Row],[_ShownFcstFinish]]+Tasks[[#This Row],[_Row]]/100000,"")</f>
        <v/>
      </c>
      <c r="GH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8" s="43" t="str">
        <f aca="false">IF(Tasks[[#This Row],[Task Name]]="","",LEFT(Tasks[[#This Row],[WBS]],FIND(".",Tasks[[#This Row],[WBS]]&amp;".")-1))</f>
        <v/>
      </c>
      <c r="GJ58" s="43" t="str">
        <f aca="false">IF(AND(Tasks[[#This Row],[Task Name]]&lt;&gt;"",Tasks[[#This Row],[_Level]]=1),Tasks[[#This Row],[_Row]],"")</f>
        <v/>
      </c>
      <c r="GK58" s="43" t="str">
        <f aca="false">IF(AND(Tasks[[#This Row],[_IsLeaf]]=1,N(Tasks[[#This Row],[_Days]])=0),Tasks[[#This Row],[Planned Finish]]+Tasks[[#This Row],[_Row]]/100000,"")</f>
        <v/>
      </c>
      <c r="GL58" s="43" t="str">
        <f aca="false">IF(AND(Tasks[[#This Row],[_IsLeaf]]=1,Tasks[[#This Row],[_LeafProgress]]&lt;1,OR(N(Tasks[[#This Row],[Finish Var]])&gt;0,Tasks[[#This Row],[Status]]="Late Start")),MAX(0,Tasks[[#This Row],[Finish Var]])+1-Tasks[[#This Row],[_Row]]/1000000,"")</f>
        <v/>
      </c>
      <c r="GM58" s="43" t="str">
        <f aca="false">IF(AND(Tasks[[#This Row],[_IsLeaf]]=1,N(Tasks[[#This Row],[Actual Start]])=0,Tasks[[#This Row],[_ShownFcstStart]]&gt;=StatusDate,Tasks[[#This Row],[_ShownFcstStart]]&lt;=LookaheadEnd),Tasks[[#This Row],[_ShownFcstStart]]+Tasks[[#This Row],[_Row]]/100000,"")</f>
        <v/>
      </c>
      <c r="GN58" s="43" t="str">
        <f aca="false">IF(AND(Tasks[[#This Row],[_IsLeaf]]=1,Tasks[[#This Row],[_LeafProgress]]&lt;1,Tasks[[#This Row],[_ShownFcstFinish]]&gt;=StatusDate,Tasks[[#This Row],[_ShownFcstFinish]]&lt;=LookaheadEnd),Tasks[[#This Row],[_ShownFcstFinish]]+Tasks[[#This Row],[_Row]]/100000,"")</f>
        <v/>
      </c>
      <c r="GO58" s="43" t="str">
        <f aca="false">IF(Tasks[[#This Row],[_LeafCritical]],Tasks[[#This Row],[_ShownFcstStart]]+Tasks[[#This Row],[_Row]]/100000,"")</f>
        <v/>
      </c>
      <c r="GP58" s="43" t="n">
        <f aca="false">Tasks[[#This Row],[_LeafWork]]*Tasks[[#This Row],[_LeafProgress]]</f>
        <v>0</v>
      </c>
      <c r="GQ58" s="91" t="str">
        <f aca="false">IF(AND(Tasks[[#This Row],[_IsLeaf]]=1,Tasks[[#This Row],[_LeafProgress]]&gt;=1),IF(N(Tasks[[#This Row],[Actual Finish]])&gt;0,Tasks[[#This Row],[Actual Finish]],Tasks[[#This Row],[_ShownFcstFinish]]),"")</f>
        <v/>
      </c>
      <c r="GR58" s="43" t="n">
        <f aca="false">IF(Tasks[[#This Row],[_IsLeaf]]=1,N(Tasks[[#This Row],[Story Points]]),0)</f>
        <v>0</v>
      </c>
      <c r="GS58" s="43" t="str">
        <f aca="false">""</f>
        <v/>
      </c>
      <c r="GT58" s="90" t="b">
        <f aca="false">IF(Tasks[[#This Row],[Task Name]]="",FALSE(),AND(Tasks[[#This Row],[_IsLeaf]]=1,N(Tasks[[#This Row],[_Days]])=0))</f>
        <v>0</v>
      </c>
      <c r="GU58" s="91" t="n">
        <f aca="false">IF(Tasks[[#This Row],[Task Name]]="",0,IF(AND(Tasks[[#This Row],[_IsLeaf]]=1,NOT(Tasks[[#This Row],[_IsMilestone]]),N(Tasks[[#This Row],[Progress]])&gt;0),Tasks[[#This Row],[Start]],0))</f>
        <v>0</v>
      </c>
      <c r="GV58" s="91" t="n">
        <f aca="false">IF(Tasks[[#This Row],[_DoneFrom]]=0,0,IF(Tasks[[#This Row],[Progress]]&gt;=1,Tasks[[#This Row],[Finish]],MAX(Tasks[[#This Row],[_DoneFrom]],Tasks[[#This Row],[Start]]+ROUND((Tasks[[#This Row],[Finish]]-Tasks[[#This Row],[Start]]+1)*Tasks[[#This Row],[Progress]],0)-1)))</f>
        <v>0</v>
      </c>
      <c r="GW58" s="91" t="n">
        <f aca="false">IF(Tasks[[#This Row],[Task Name]]="",0,IF(OR(NOT(Tasks[[#This Row],[_IsLeaf]]=1),Tasks[[#This Row],[_IsMilestone]],N(Tasks[[#This Row],[Progress]])&gt;=1),0,IF(Tasks[[#This Row],[_DoneTo]]&gt;0,Tasks[[#This Row],[_DoneTo]]+1,Tasks[[#This Row],[Start]])))</f>
        <v>0</v>
      </c>
      <c r="GX58" s="91" t="n">
        <f aca="false">IF(Tasks[[#This Row],[_RemFrom]]=0,0,Tasks[[#This Row],[Finish]])</f>
        <v>0</v>
      </c>
      <c r="GY58" s="90" t="b">
        <f aca="false">IF(Tasks[[#This Row],[Task Name]]="",FALSE(),OR(NOT(BaselineSet),N(Tasks[[#This Row],[Baseline Start]])&gt;0))</f>
        <v>0</v>
      </c>
      <c r="GZ5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92" t="str">
        <f aca="false">IF(Tasks[[#This Row],[_IsLeaf]]=1,Tasks[[#This Row],[_Row]],"")</f>
        <v/>
      </c>
      <c r="HD58" s="92" t="str">
        <f aca="false">IFERROR(INDEX(Tasks[UID],SMALL(Tasks[_PickKey],Tasks[[#This Row],[_Row]]))&amp;" "&amp;INDEX(Tasks[Task Name],SMALL(Tasks[_PickKey],Tasks[[#This Row],[_Row]])),"")</f>
        <v/>
      </c>
      <c r="HE58" s="43" t="str">
        <f aca="false">IF(Tasks[[#This Row],[Task Name]]="","",IF(Tasks[[#This Row],[_IsSummary]],NETWORKDAYS.INTL(Tasks[[#This Row],[Start]],Tasks[[#This Row],[Finish]],WorkWeek,Holidays),N(Tasks[[#This Row],[_Days]])))</f>
        <v/>
      </c>
      <c r="HF58" s="43" t="n">
        <f aca="false">IF(Tasks[[#This Row],[Expected]]="",0,((Tasks[[#This Row],[Pessimistic]]-Tasks[[#This Row],[Optimistic]])/6)^2)</f>
        <v>0</v>
      </c>
      <c r="HG58" s="43" t="n">
        <f aca="false">IF(Tasks[[#This Row],[Expected]]="",0,Tasks[[#This Row],[Expected]]-N(Tasks[[#This Row],[_Days]]))</f>
        <v>0</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4"/>
      <c r="U59" s="23"/>
      <c r="V59" s="84"/>
      <c r="W59" s="23"/>
      <c r="X59" s="84"/>
      <c r="Y59" s="23"/>
      <c r="Z59" s="84"/>
      <c r="AA59" s="23"/>
      <c r="AB59" s="23"/>
      <c r="AC59" s="7"/>
      <c r="AD59" s="7"/>
      <c r="AE59" s="63" t="str">
        <f aca="false">IF(Tasks[[#This Row],[Task Name]]="","",IF(Tasks[[#This Row],[_IsSummary]],MIN(INDEX(Tasks[_ShownFcstStart],Tasks[[#This Row],[_Row]]+1):INDEX(Tasks[_ShownFcstStart],Tasks[[#This Row],[_Row]]+Tasks[[#This Row],[_Descendants]])),Tasks[[#This Row],[_ShownFcstStart]]))</f>
        <v/>
      </c>
      <c r="AF59" s="63"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9" s="7"/>
      <c r="AK59" s="22"/>
      <c r="AL59" s="23"/>
      <c r="AM59" s="7"/>
      <c r="AN59" s="47"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3" t="str">
        <f aca="false">IF(Tasks[[#This Row],[Task Name]]="","",IF(N(Tasks[[#This Row],[Baseline Start]])&gt;0,Tasks[[#This Row],[Baseline Start]],Tasks[[#This Row],[_CalcStart]]))</f>
        <v/>
      </c>
      <c r="AR59" s="63" t="str">
        <f aca="false">IF(Tasks[[#This Row],[Task Name]]="","",IF(N(Tasks[[#This Row],[Baseline Finish]])&gt;0,Tasks[[#This Row],[Baseline Finish]],Tasks[[#This Row],[_CalcFinish]]))</f>
        <v/>
      </c>
      <c r="AS59" s="47" t="str">
        <f aca="false">IF(Tasks[[#This Row],[Task Name]]="","",IF(Tasks[[#This Row],[Start]]&gt;=Tasks[[#This Row],[Planned Start]],NETWORKDAYS.INTL(Tasks[[#This Row],[Planned Start]],Tasks[[#This Row],[Start]],WorkWeek,Holidays)-1,1-NETWORKDAYS.INTL(Tasks[[#This Row],[Start]],Tasks[[#This Row],[Planned Start]],WorkWeek,Holidays)))</f>
        <v/>
      </c>
      <c r="AT59" s="63" t="str">
        <f aca="false">IF(Tasks[[#This Row],[Task Name]]="","",IF(Tasks[[#This Row],[_IsSummary]],MIN(INDEX(Tasks[_LeafLateStart],Tasks[[#This Row],[_Row]]+1):INDEX(Tasks[_LeafLateStart],Tasks[[#This Row],[_Row]]+Tasks[[#This Row],[_Descendants]])),Tasks[[#This Row],[_LeafLateStart]]))</f>
        <v/>
      </c>
      <c r="AU59" s="63" t="str">
        <f aca="false">IF(Tasks[[#This Row],[Task Name]]="","",IF(Tasks[[#This Row],[_IsSummary]],MAX(INDEX(Tasks[_LeafLateFinish],Tasks[[#This Row],[_Row]]+1):INDEX(Tasks[_LeafLateFinish],Tasks[[#This Row],[_Row]]+Tasks[[#This Row],[_Descendants]])),Tasks[[#This Row],[_LeafLateFinish]]))</f>
        <v/>
      </c>
      <c r="AV59" s="47"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5"/>
      <c r="BA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6"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7"/>
      <c r="BJ59" s="22"/>
      <c r="BK59" s="47" t="str">
        <f aca="false">IF(OR(Tasks[[#This Row],[Task Name]]="",Tasks[[#This Row],[Baseline Duration]]=""),"",Tasks[[#This Row],[_SpanDays]]-N(Tasks[[#This Row],[Baseline Duration]]))</f>
        <v/>
      </c>
      <c r="BL59" s="86" t="str">
        <f aca="false">IF(OR(Tasks[[#This Row],[Task Name]]="",Tasks[[#This Row],[Baseline Work]]=""),"",Tasks[[#This Row],[Work]]-N(Tasks[[#This Row],[Baseline Work]]))</f>
        <v/>
      </c>
      <c r="BM59" s="63" t="str">
        <f aca="false">IF(Tasks[[#This Row],[Task Name]]="","",IF(OR(TakeBaseline="Yes",N(Tasks[[#This Row],[Baseline Start]])=0),Tasks[[#This Row],[Start]],Tasks[[#This Row],[Baseline Start]]))</f>
        <v/>
      </c>
      <c r="BN59" s="63" t="str">
        <f aca="false">IF(Tasks[[#This Row],[Task Name]]="","",IF(OR(TakeBaseline="Yes",N(Tasks[[#This Row],[Baseline Finish]])=0),Tasks[[#This Row],[Finish]],Tasks[[#This Row],[Baseline Finish]]))</f>
        <v/>
      </c>
      <c r="BO59" s="21" t="str">
        <f aca="false">IF(Tasks[[#This Row],[Task Name]]="","",IF(OR(TakeBaseline="Yes",N(Tasks[[#This Row],[Baseline Duration]])=0),Tasks[[#This Row],[_SpanDays]],Tasks[[#This Row],[Baseline Duration]]))</f>
        <v/>
      </c>
      <c r="BP59" s="86" t="str">
        <f aca="false">IF(Tasks[[#This Row],[Task Name]]="","",IF(OR(TakeBaseline="Yes",N(Tasks[[#This Row],[Baseline Work]])=0),Tasks[[#This Row],[Work]],Tasks[[#This Row],[Baseline Work]]))</f>
        <v/>
      </c>
      <c r="BQ59" s="7"/>
      <c r="BR59" s="7"/>
      <c r="BS59" s="22"/>
      <c r="BT59" s="88"/>
      <c r="BU59" s="23"/>
      <c r="BV59" s="23"/>
      <c r="BW59" s="23"/>
      <c r="BX59" s="89" t="str">
        <f aca="false">IF(AND(Tasks[[#This Row],[_IsLeaf]]=1,ISNUMBER(Tasks[[#This Row],[Optimistic]]),ISNUMBER(Tasks[[#This Row],[Pessimistic]])),ROUND((Tasks[[#This Row],[Optimistic]]+4*N(Tasks[[#This Row],[_Days]])+Tasks[[#This Row],[Pessimistic]])/6,1),"")</f>
        <v/>
      </c>
      <c r="BY59" s="87"/>
      <c r="BZ59" s="87"/>
      <c r="CA59" s="22"/>
      <c r="CB59" s="43" t="str">
        <f aca="false">IF(Tasks[[#This Row],[Task Name]]="","",MAX(1,N(Tasks[[#This Row],[Level]])))</f>
        <v/>
      </c>
      <c r="CC59" s="43" t="n">
        <f aca="false">ROW()-ROW(Tasks[[#Headers],[ID]])</f>
        <v>54</v>
      </c>
      <c r="CD59" s="43" t="n">
        <f aca="false">IF(OR(Tasks[[#This Row],[Task Name]]="",Tasks[[#This Row],[_Level]]&lt;=1),0,IFERROR(LOOKUP(2,1/(Tasks[[#Headers],[_Level]]:Tasks[[#This Row],[_Level]]=Tasks[[#This Row],[_Level]]-1),ROW(Tasks[[#Headers],[_Level]]:Tasks[[#This Row],[_Level]])),0))</f>
        <v>0</v>
      </c>
      <c r="CE59" s="43" t="n">
        <f aca="false">IFERROR(N(INDEX(Tasks[_Level],Tasks[[#This Row],[_Row]]+1)),0)</f>
        <v>0</v>
      </c>
      <c r="CF59" s="90" t="b">
        <f aca="false">AND(Tasks[[#This Row],[Task Name]]&lt;&gt;"",Tasks[[#This Row],[_NextLevel]]&gt;Tasks[[#This Row],[_Level]])</f>
        <v>0</v>
      </c>
      <c r="CG59" s="43" t="n">
        <f aca="false">IF(Tasks[[#This Row],[_IsSummary]],COUNTIF(Tasks[WBS],Tasks[[#This Row],[WBS]]&amp;".*"),0)</f>
        <v>0</v>
      </c>
      <c r="CH59" s="43" t="n">
        <f aca="false">IF(AND(Tasks[[#This Row],[Task Name]]&lt;&gt;"",NOT(Tasks[[#This Row],[_IsSummary]])),1,0)</f>
        <v>0</v>
      </c>
      <c r="CI59" s="43" t="n">
        <f aca="false">IF(N(Tasks[[#This Row],[_Pred1UID]])=0,0,IFERROR(MATCH(Tasks[[#This Row],[_Pred1UID]],Tasks[UID],0),-1))</f>
        <v>0</v>
      </c>
      <c r="CJ59" s="43" t="n">
        <f aca="false">IF(N(Tasks[[#This Row],[_Pred2UID]])=0,0,IFERROR(MATCH(Tasks[[#This Row],[_Pred2UID]],Tasks[UID],0),-1))</f>
        <v>0</v>
      </c>
      <c r="CK59" s="43" t="n">
        <f aca="false">IF(N(Tasks[[#This Row],[_Pred3UID]])=0,0,IFERROR(MATCH(Tasks[[#This Row],[_Pred3UID]],Tasks[UID],0),-1))</f>
        <v>0</v>
      </c>
      <c r="CL59" s="43" t="n">
        <f aca="false">IF(N(Tasks[[#This Row],[_Pred4UID]])=0,0,IFERROR(MATCH(Tasks[[#This Row],[_Pred4UID]],Tasks[UID],0),-1))</f>
        <v>0</v>
      </c>
      <c r="CM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9" s="91" t="n">
        <f aca="false">IF(OR(Tasks[[#This Row],[_ConstraintCode]]=2,Tasks[[#This Row],[_ConstraintCode]]=3,Tasks[[#This Row],[_ConstraintCode]]=4,Tasks[[#This Row],[_ConstraintCode]]=6),Tasks[[#This Row],[_ConstraintStart]],0)</f>
        <v>0</v>
      </c>
      <c r="CP59" s="91" t="n">
        <f aca="false">IF(OR(Tasks[[#This Row],[_ConstraintCode]]=2,Tasks[[#This Row],[_ConstraintCode]]=3,Tasks[[#This Row],[_ConstraintCode]]=5,Tasks[[#This Row],[_ConstraintCode]]=7),Tasks[[#This Row],[_ConstraintStart]],2958465)</f>
        <v>2958465</v>
      </c>
      <c r="CQ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91" t="str">
        <f aca="false">IF(NOT(Tasks[[#This Row],[_IsLeaf]]=1),"",IF(N(Tasks[[#This Row],[_Days]])&lt;=0,Tasks[[#This Row],[_LeafCalcStart]],WORKDAY.INTL(Tasks[[#This Row],[_LeafCalcStart]],Tasks[[#This Row],[_Days]]-1,WorkWeek,Holidays)))</f>
        <v/>
      </c>
      <c r="CS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3" t="str">
        <f aca="false">IF(Tasks[[#This Row],[_Predecessors]]="","",TRIM(MID(SUBSTITUTE(SUBSTITUTE(SUBSTITUTE(UPPER(Tasks[[#This Row],[_Predecessors]]),";",",")," ",""),",",REPT(" ",99)),1,99)))</f>
        <v/>
      </c>
      <c r="CV59" s="43" t="str">
        <f aca="false">IF(Tasks[[#This Row],[_Pred1Text]]="","",IFERROR(VALUE(LEFT(Tasks[[#This Row],[_Pred1Text]],MIN(FIND("F",Tasks[[#This Row],[_Pred1Text]]&amp;"F"),FIND("S",Tasks[[#This Row],[_Pred1Text]]&amp;"S"),FIND("+",Tasks[[#This Row],[_Pred1Text]]&amp;"+"),FIND("-",Tasks[[#This Row],[_Pred1Text]]&amp;"-"))-1)),""))</f>
        <v/>
      </c>
      <c r="CW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3" t="str">
        <f aca="false">IF(Tasks[[#This Row],[_Pred1Text]]="","",TRIM(MID(SUBSTITUTE(SUBSTITUTE(SUBSTITUTE(UPPER(Tasks[[#This Row],[_Predecessors]]),";",",")," ",""),",",REPT(" ",99)),100,99)))</f>
        <v/>
      </c>
      <c r="CZ59" s="43" t="str">
        <f aca="false">IF(Tasks[[#This Row],[_Pred2Text]]="","",IFERROR(VALUE(LEFT(Tasks[[#This Row],[_Pred2Text]],MIN(FIND("F",Tasks[[#This Row],[_Pred2Text]]&amp;"F"),FIND("S",Tasks[[#This Row],[_Pred2Text]]&amp;"S"),FIND("+",Tasks[[#This Row],[_Pred2Text]]&amp;"+"),FIND("-",Tasks[[#This Row],[_Pred2Text]]&amp;"-"))-1)),""))</f>
        <v/>
      </c>
      <c r="DA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3" t="str">
        <f aca="false">IF(Tasks[[#This Row],[_Pred2Text]]="","",TRIM(MID(SUBSTITUTE(SUBSTITUTE(SUBSTITUTE(UPPER(Tasks[[#This Row],[_Predecessors]]),";",",")," ",""),",",REPT(" ",99)),199,99)))</f>
        <v/>
      </c>
      <c r="DD59" s="43" t="str">
        <f aca="false">IF(Tasks[[#This Row],[_Pred3Text]]="","",IFERROR(VALUE(LEFT(Tasks[[#This Row],[_Pred3Text]],MIN(FIND("F",Tasks[[#This Row],[_Pred3Text]]&amp;"F"),FIND("S",Tasks[[#This Row],[_Pred3Text]]&amp;"S"),FIND("+",Tasks[[#This Row],[_Pred3Text]]&amp;"+"),FIND("-",Tasks[[#This Row],[_Pred3Text]]&amp;"-"))-1)),""))</f>
        <v/>
      </c>
      <c r="DE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3" t="str">
        <f aca="false">IF(Tasks[[#This Row],[_Pred3Text]]="","",TRIM(MID(SUBSTITUTE(SUBSTITUTE(SUBSTITUTE(UPPER(Tasks[[#This Row],[_Predecessors]]),";",",")," ",""),",",REPT(" ",99)),298,99)))</f>
        <v/>
      </c>
      <c r="DH59" s="43" t="str">
        <f aca="false">IF(Tasks[[#This Row],[_Pred4Text]]="","",IFERROR(VALUE(LEFT(Tasks[[#This Row],[_Pred4Text]],MIN(FIND("F",Tasks[[#This Row],[_Pred4Text]]&amp;"F"),FIND("S",Tasks[[#This Row],[_Pred4Text]]&amp;"S"),FIND("+",Tasks[[#This Row],[_Pred4Text]]&amp;"+"),FIND("-",Tasks[[#This Row],[_Pred4Text]]&amp;"-"))-1)),""))</f>
        <v/>
      </c>
      <c r="DI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3" t="str">
        <f aca="false">IF(OR(Tasks[[#This Row],[Task Name]]="",Tasks[[#This Row],[_Resources]]=""),"",TRIM(MID(SUBSTITUTE(Tasks[[#This Row],[_Resources]],",",REPT(" ",99)),1,99)))</f>
        <v/>
      </c>
      <c r="DL59" s="43" t="str">
        <f aca="false">IF(Tasks[[#This Row],[_Res1Text]]="","",TRIM(MID(SUBSTITUTE(Tasks[[#This Row],[_Resources]],",",REPT(" ",99)),100,99)))</f>
        <v/>
      </c>
      <c r="DM59" s="43" t="str">
        <f aca="false">IF(Tasks[[#This Row],[_Res2Text]]="","",TRIM(MID(SUBSTITUTE(Tasks[[#This Row],[_Resources]],",",REPT(" ",99)),199,99)))</f>
        <v/>
      </c>
      <c r="DN59" s="43" t="str">
        <f aca="false">IF(Tasks[[#This Row],[_Res3Text]]="","",TRIM(MID(SUBSTITUTE(Tasks[[#This Row],[_Resources]],",",REPT(" ",99)),298,99)))</f>
        <v/>
      </c>
      <c r="DO59" s="43" t="n">
        <f aca="false">IF(Tasks[[#This Row],[_Res1Text]]="",0,IFERROR(MATCH(TRIM(LEFT(Tasks[[#This Row],[_Res1Text]],FIND("[",Tasks[[#This Row],[_Res1Text]]&amp;"[")-1)),res_Name,0),IFERROR(MATCH(TRIM(LEFT(Tasks[[#This Row],[_Res1Text]],FIND("[",Tasks[[#This Row],[_Res1Text]]&amp;"[")-1)),res_Initials,0),0)))</f>
        <v>0</v>
      </c>
      <c r="DP59" s="43" t="n">
        <f aca="false">IF(Tasks[[#This Row],[_Res2Text]]="",0,IFERROR(MATCH(TRIM(LEFT(Tasks[[#This Row],[_Res2Text]],FIND("[",Tasks[[#This Row],[_Res2Text]]&amp;"[")-1)),res_Name,0),IFERROR(MATCH(TRIM(LEFT(Tasks[[#This Row],[_Res2Text]],FIND("[",Tasks[[#This Row],[_Res2Text]]&amp;"[")-1)),res_Initials,0),0)))</f>
        <v>0</v>
      </c>
      <c r="DQ59" s="43" t="n">
        <f aca="false">IF(Tasks[[#This Row],[_Res3Text]]="",0,IFERROR(MATCH(TRIM(LEFT(Tasks[[#This Row],[_Res3Text]],FIND("[",Tasks[[#This Row],[_Res3Text]]&amp;"[")-1)),res_Name,0),IFERROR(MATCH(TRIM(LEFT(Tasks[[#This Row],[_Res3Text]],FIND("[",Tasks[[#This Row],[_Res3Text]]&amp;"[")-1)),res_Initials,0),0)))</f>
        <v>0</v>
      </c>
      <c r="DR59" s="43" t="n">
        <f aca="false">IF(Tasks[[#This Row],[_Res4Text]]="",0,IFERROR(MATCH(TRIM(LEFT(Tasks[[#This Row],[_Res4Text]],FIND("[",Tasks[[#This Row],[_Res4Text]]&amp;"[")-1)),res_Name,0),IFERROR(MATCH(TRIM(LEFT(Tasks[[#This Row],[_Res4Text]],FIND("[",Tasks[[#This Row],[_Res4Text]]&amp;"[")-1)),res_Initials,0),0)))</f>
        <v>0</v>
      </c>
      <c r="DS59" s="43" t="str">
        <f aca="false">IF(Tasks[[#This Row],[_Res1Text]]="","",IF(Tasks[[#This Row],[_Res1Row]]&gt;0,INDEX(res_Name,Tasks[[#This Row],[_Res1Row]]),TRIM(LEFT(Tasks[[#This Row],[_Res1Text]],FIND("[",Tasks[[#This Row],[_Res1Text]]&amp;"[")-1))))</f>
        <v/>
      </c>
      <c r="DT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3" t="n">
        <f aca="false">IF(NOT(Tasks[[#This Row],[_IsLeaf]]=1),0,(Tasks[[#This Row],[_Resource1]]&lt;&gt;"")+(Tasks[[#This Row],[_Res2]]&lt;&gt;"")+(Tasks[[#This Row],[_Res3]]&lt;&gt;"")+(Tasks[[#This Row],[_Res4]]&lt;&gt;""))</f>
        <v>0</v>
      </c>
      <c r="DV59" s="43" t="str">
        <f aca="false">IF(Tasks[[#This Row],[_Res2Text]]="","",IF(Tasks[[#This Row],[_Res2Row]]&gt;0,INDEX(res_Name,Tasks[[#This Row],[_Res2Row]]),TRIM(LEFT(Tasks[[#This Row],[_Res2Text]],FIND("[",Tasks[[#This Row],[_Res2Text]]&amp;"[")-1))))</f>
        <v/>
      </c>
      <c r="DW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3" t="n">
        <f aca="false">IF(OR(NOT(Tasks[[#This Row],[_IsLeaf]]=1),Tasks[[#This Row],[_Res2Row]]=0),0,N(Tasks[[#This Row],[_Days]])*HoursPerDay*IF(Tasks[[#This Row],[_Res2Units]]="",DefaultUnits,Tasks[[#This Row],[_Res2Units]]))</f>
        <v>0</v>
      </c>
      <c r="DY59" s="43" t="n">
        <f aca="false">IF(AND(AND(Tasks[[#This Row],[_IsLeaf]]=1,Tasks[[#This Row],[_LeafTotalWork]]&gt;0),Tasks[[#This Row],[_Res2Work]]&gt;0),Tasks[[#This Row],[_Res2Work]]/(Tasks[[#This Row],[_FinishWorkday]]-Tasks[[#This Row],[_StartWorkday]]+1),0)</f>
        <v>0</v>
      </c>
      <c r="DZ59" s="43" t="n">
        <f aca="false">Tasks[[#This Row],[_Res2WorkPerWD]]*MAX(0,Tasks[[#This Row],[_StartWorkday]]-1)</f>
        <v>0</v>
      </c>
      <c r="EA59" s="43" t="n">
        <f aca="false">Tasks[[#This Row],[_Res2Work]]*Tasks[[#This Row],[_LeafProgress]]</f>
        <v>0</v>
      </c>
      <c r="EB59" s="43" t="str">
        <f aca="false">IF(Tasks[[#This Row],[_Res3Text]]="","",IF(Tasks[[#This Row],[_Res3Row]]&gt;0,INDEX(res_Name,Tasks[[#This Row],[_Res3Row]]),TRIM(LEFT(Tasks[[#This Row],[_Res3Text]],FIND("[",Tasks[[#This Row],[_Res3Text]]&amp;"[")-1))))</f>
        <v/>
      </c>
      <c r="EC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3" t="n">
        <f aca="false">IF(OR(NOT(Tasks[[#This Row],[_IsLeaf]]=1),Tasks[[#This Row],[_Res3Row]]=0),0,N(Tasks[[#This Row],[_Days]])*HoursPerDay*IF(Tasks[[#This Row],[_Res3Units]]="",DefaultUnits,Tasks[[#This Row],[_Res3Units]]))</f>
        <v>0</v>
      </c>
      <c r="EE59" s="43" t="n">
        <f aca="false">IF(AND(AND(Tasks[[#This Row],[_IsLeaf]]=1,Tasks[[#This Row],[_LeafTotalWork]]&gt;0),Tasks[[#This Row],[_Res3Work]]&gt;0),Tasks[[#This Row],[_Res3Work]]/(Tasks[[#This Row],[_FinishWorkday]]-Tasks[[#This Row],[_StartWorkday]]+1),0)</f>
        <v>0</v>
      </c>
      <c r="EF59" s="43" t="n">
        <f aca="false">Tasks[[#This Row],[_Res3WorkPerWD]]*MAX(0,Tasks[[#This Row],[_StartWorkday]]-1)</f>
        <v>0</v>
      </c>
      <c r="EG59" s="43" t="n">
        <f aca="false">Tasks[[#This Row],[_Res3Work]]*Tasks[[#This Row],[_LeafProgress]]</f>
        <v>0</v>
      </c>
      <c r="EH59" s="43" t="str">
        <f aca="false">IF(Tasks[[#This Row],[_Res4Text]]="","",IF(Tasks[[#This Row],[_Res4Row]]&gt;0,INDEX(res_Name,Tasks[[#This Row],[_Res4Row]]),TRIM(LEFT(Tasks[[#This Row],[_Res4Text]],FIND("[",Tasks[[#This Row],[_Res4Text]]&amp;"[")-1))))</f>
        <v/>
      </c>
      <c r="EI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3" t="n">
        <f aca="false">IF(OR(NOT(Tasks[[#This Row],[_IsLeaf]]=1),Tasks[[#This Row],[_Res4Row]]=0),0,N(Tasks[[#This Row],[_Days]])*HoursPerDay*IF(Tasks[[#This Row],[_Res4Units]]="",DefaultUnits,Tasks[[#This Row],[_Res4Units]]))</f>
        <v>0</v>
      </c>
      <c r="EK59" s="43" t="n">
        <f aca="false">IF(AND(AND(Tasks[[#This Row],[_IsLeaf]]=1,Tasks[[#This Row],[_LeafTotalWork]]&gt;0),Tasks[[#This Row],[_Res4Work]]&gt;0),Tasks[[#This Row],[_Res4Work]]/(Tasks[[#This Row],[_FinishWorkday]]-Tasks[[#This Row],[_StartWorkday]]+1),0)</f>
        <v>0</v>
      </c>
      <c r="EL59" s="43" t="n">
        <f aca="false">Tasks[[#This Row],[_Res4WorkPerWD]]*MAX(0,Tasks[[#This Row],[_StartWorkday]]-1)</f>
        <v>0</v>
      </c>
      <c r="EM59" s="43" t="n">
        <f aca="false">Tasks[[#This Row],[_Res4Work]]*Tasks[[#This Row],[_LeafProgress]]</f>
        <v>0</v>
      </c>
      <c r="EN59" s="43" t="n">
        <f aca="false">IF(ISNUMBER(Tasks[[#This Row],[% Complete]]),Tasks[[#This Row],[% Complete]],IF(Tasks[[#This Row],[Stage]]="",0,IFERROR(INDEX(stg_Pct,MATCH(Tasks[[#This Row],[Stage]],stg_Name,0)),0)))</f>
        <v>0</v>
      </c>
      <c r="EO59" s="43" t="n">
        <f aca="false">IF(NOT(Tasks[[#This Row],[_IsLeaf]]=1),0,IF(N(Tasks[[#This Row],[Actual Finish]])&gt;0,1,MIN(1,Tasks[[#This Row],[_Pct]])))</f>
        <v>0</v>
      </c>
      <c r="EP59" s="43" t="n">
        <f aca="false">IF(OR(NOT(Tasks[[#This Row],[_IsLeaf]]=1),Tasks[[#This Row],[_Res1Row]]=0),0,N(Tasks[[#This Row],[_Days]])*HoursPerDay*IF(Tasks[[#This Row],[_Units1]]="",DefaultUnits,Tasks[[#This Row],[_Units1]]))</f>
        <v>0</v>
      </c>
      <c r="EQ59" s="43" t="n">
        <f aca="false">Tasks[[#This Row],[_LeafWork]]+Tasks[[#This Row],[_Res2Work]]+Tasks[[#This Row],[_Res3Work]]+Tasks[[#This Row],[_Res4Work]]</f>
        <v>0</v>
      </c>
      <c r="ER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3" t="n">
        <f aca="false">IF(NOT(Tasks[[#This Row],[_IsLeaf]]=1),0,MAX(_xlfn.MAXIFS(Tasks[_Row],Tasks[_Pred1UID],Tasks[[#This Row],[UID]]),_xlfn.MAXIFS(Tasks[_Row],Tasks[_Pred2UID],Tasks[[#This Row],[UID]]),_xlfn.MAXIFS(Tasks[_Row],Tasks[_Pred3UID],Tasks[[#This Row],[UID]]),_xlfn.MAXIFS(Tasks[_Row],Tasks[_Pred4UID],Tasks[[#This Row],[UID]])))</f>
        <v>0</v>
      </c>
      <c r="FA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91" t="str">
        <f aca="false">IF(NOT(Tasks[[#This Row],[_IsLeaf]]=1),"",IF(N(Tasks[[#This Row],[_Days]])&lt;=0,Tasks[[#This Row],[_LeafLateFinish]],WORKDAY.INTL(Tasks[[#This Row],[_LeafLateFinish]],-(Tasks[[#This Row],[_Days]]-1),WorkWeek,Holidays)))</f>
        <v/>
      </c>
      <c r="FD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9" s="90" t="b">
        <f aca="false">AND(Tasks[[#This Row],[_IsLeaf]]=1,Tasks[[#This Row],[_LeafProgress]]&lt;1,N(Tasks[[#This Row],[_LeafTotalSlack]])&lt;=CriticalSlackDays)</f>
        <v>0</v>
      </c>
      <c r="FF59" s="43" t="n">
        <f aca="false">IF(AND(Tasks[[#This Row],[_IsLeaf]]=1,Tasks[[#This Row],[_ConstraintCode]]=1,Tasks[[#This Row],[Mode]]&lt;&gt;"Manual",N(Tasks[[#This Row],[Actual Start]])=0),MAX(0,N(Tasks[[#This Row],[Free Slack]])),0)</f>
        <v>0</v>
      </c>
      <c r="FG59" s="91" t="str">
        <f aca="false">IF(NOT(Tasks[[#This Row],[_IsLeaf]]=1),"",IF(Tasks[[#This Row],[_AlapShift]]=0,Tasks[[#This Row],[_LeafCalcStart]],WORKDAY.INTL(Tasks[[#This Row],[_LeafCalcStart]],Tasks[[#This Row],[_AlapShift]],WorkWeek,Holidays)))</f>
        <v/>
      </c>
      <c r="FH59" s="91" t="str">
        <f aca="false">IF(NOT(Tasks[[#This Row],[_IsLeaf]]=1),"",IF(Tasks[[#This Row],[_AlapShift]]=0,Tasks[[#This Row],[_LeafCalcFinish]],WORKDAY.INTL(Tasks[[#This Row],[_LeafCalcFinish]],Tasks[[#This Row],[_AlapShift]],WorkWeek,Holidays)))</f>
        <v/>
      </c>
      <c r="FI59" s="91" t="str">
        <f aca="false">IF(NOT(Tasks[[#This Row],[_IsLeaf]]=1),"",IF(Tasks[[#This Row],[_AlapShift]]=0,Tasks[[#This Row],[_LeafFcstStart]],WORKDAY.INTL(Tasks[[#This Row],[_LeafFcstStart]],Tasks[[#This Row],[_AlapShift]],WorkWeek,Holidays)))</f>
        <v/>
      </c>
      <c r="FJ59" s="91" t="str">
        <f aca="false">IF(NOT(Tasks[[#This Row],[_IsLeaf]]=1),"",IF(Tasks[[#This Row],[_AlapShift]]=0,Tasks[[#This Row],[_LeafFcstFinish]],WORKDAY.INTL(Tasks[[#This Row],[_LeafFcstFinish]],Tasks[[#This Row],[_AlapShift]],WorkWeek,Holidays)))</f>
        <v/>
      </c>
      <c r="FK59" s="91" t="str">
        <f aca="false">IF(Tasks[[#This Row],[Task Name]]="","",IF(Tasks[[#This Row],[_IsSummary]],MIN(INDEX(Tasks[_ShownCalcStart],Tasks[[#This Row],[_Row]]+1):INDEX(Tasks[_ShownCalcStart],Tasks[[#This Row],[_Row]]+Tasks[[#This Row],[_Descendants]])),Tasks[[#This Row],[_ShownCalcStart]]))</f>
        <v/>
      </c>
      <c r="FL59" s="91" t="str">
        <f aca="false">IF(Tasks[[#This Row],[Task Name]]="","",IF(Tasks[[#This Row],[_IsSummary]],MAX(INDEX(Tasks[_ShownCalcFinish],Tasks[[#This Row],[_Row]]+1):INDEX(Tasks[_ShownCalcFinish],Tasks[[#This Row],[_Row]]+Tasks[[#This Row],[_Descendants]])),Tasks[[#This Row],[_ShownCalcFinish]]))</f>
        <v/>
      </c>
      <c r="FM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9" s="43" t="n">
        <f aca="false">IF(AND(Tasks[[#This Row],[_IsLeaf]]=1,Tasks[[#This Row],[_LeafTotalWork]]&gt;0),NETWORKDAYS.INTL(ProjectStart,Tasks[[#This Row],[_ShownFcstStart]],WorkWeek,Holidays),0)</f>
        <v>0</v>
      </c>
      <c r="FZ59" s="43" t="n">
        <f aca="false">IF(AND(Tasks[[#This Row],[_IsLeaf]]=1,Tasks[[#This Row],[_LeafTotalWork]]&gt;0),MAX(Tasks[[#This Row],[_StartWorkday]],NETWORKDAYS.INTL(ProjectStart,Tasks[[#This Row],[_ShownFcstFinish]],WorkWeek,Holidays)),0)</f>
        <v>0</v>
      </c>
      <c r="GA59" s="43" t="n">
        <f aca="false">IF(AND(Tasks[[#This Row],[_IsLeaf]]=1,Tasks[[#This Row],[_LeafTotalWork]]&gt;0),Tasks[[#This Row],[_LeafWork]]/(Tasks[[#This Row],[_FinishWorkday]]-Tasks[[#This Row],[_StartWorkday]]+1),0)</f>
        <v>0</v>
      </c>
      <c r="GB59" s="43" t="n">
        <f aca="false">Tasks[[#This Row],[_WorkPerWorkday]]*(Tasks[[#This Row],[_StartWorkday]]-1)</f>
        <v>-0</v>
      </c>
      <c r="GC59" s="43" t="n">
        <f aca="false">IF(Tasks[[#This Row],[_IsLeaf]]=1,MAX(N(Tasks[[#This Row],[_Days]]),0.1),0)</f>
        <v>0</v>
      </c>
      <c r="GD59" s="43" t="n">
        <f aca="false">Tasks[[#This Row],[_WeightDur]]*Tasks[[#This Row],[_LeafProgress]]</f>
        <v>0</v>
      </c>
      <c r="GE59" s="43" t="n">
        <f aca="false">Tasks[[#This Row],[_WeightDur]]*Tasks[[#This Row],[_PlannedPct]]</f>
        <v>0</v>
      </c>
      <c r="GF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3" t="str">
        <f aca="false">IF(AND(Tasks[[#This Row],[_IsLeaf]]=1,N(Tasks[[#This Row],[_Days]])=0,Tasks[[#This Row],[_LeafProgress]]&lt;1),Tasks[[#This Row],[_ShownFcstFinish]]+Tasks[[#This Row],[_Row]]/100000,"")</f>
        <v/>
      </c>
      <c r="GH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9" s="43" t="str">
        <f aca="false">IF(Tasks[[#This Row],[Task Name]]="","",LEFT(Tasks[[#This Row],[WBS]],FIND(".",Tasks[[#This Row],[WBS]]&amp;".")-1))</f>
        <v/>
      </c>
      <c r="GJ59" s="43" t="str">
        <f aca="false">IF(AND(Tasks[[#This Row],[Task Name]]&lt;&gt;"",Tasks[[#This Row],[_Level]]=1),Tasks[[#This Row],[_Row]],"")</f>
        <v/>
      </c>
      <c r="GK59" s="43" t="str">
        <f aca="false">IF(AND(Tasks[[#This Row],[_IsLeaf]]=1,N(Tasks[[#This Row],[_Days]])=0),Tasks[[#This Row],[Planned Finish]]+Tasks[[#This Row],[_Row]]/100000,"")</f>
        <v/>
      </c>
      <c r="GL59" s="43" t="str">
        <f aca="false">IF(AND(Tasks[[#This Row],[_IsLeaf]]=1,Tasks[[#This Row],[_LeafProgress]]&lt;1,OR(N(Tasks[[#This Row],[Finish Var]])&gt;0,Tasks[[#This Row],[Status]]="Late Start")),MAX(0,Tasks[[#This Row],[Finish Var]])+1-Tasks[[#This Row],[_Row]]/1000000,"")</f>
        <v/>
      </c>
      <c r="GM59" s="43" t="str">
        <f aca="false">IF(AND(Tasks[[#This Row],[_IsLeaf]]=1,N(Tasks[[#This Row],[Actual Start]])=0,Tasks[[#This Row],[_ShownFcstStart]]&gt;=StatusDate,Tasks[[#This Row],[_ShownFcstStart]]&lt;=LookaheadEnd),Tasks[[#This Row],[_ShownFcstStart]]+Tasks[[#This Row],[_Row]]/100000,"")</f>
        <v/>
      </c>
      <c r="GN59" s="43" t="str">
        <f aca="false">IF(AND(Tasks[[#This Row],[_IsLeaf]]=1,Tasks[[#This Row],[_LeafProgress]]&lt;1,Tasks[[#This Row],[_ShownFcstFinish]]&gt;=StatusDate,Tasks[[#This Row],[_ShownFcstFinish]]&lt;=LookaheadEnd),Tasks[[#This Row],[_ShownFcstFinish]]+Tasks[[#This Row],[_Row]]/100000,"")</f>
        <v/>
      </c>
      <c r="GO59" s="43" t="str">
        <f aca="false">IF(Tasks[[#This Row],[_LeafCritical]],Tasks[[#This Row],[_ShownFcstStart]]+Tasks[[#This Row],[_Row]]/100000,"")</f>
        <v/>
      </c>
      <c r="GP59" s="43" t="n">
        <f aca="false">Tasks[[#This Row],[_LeafWork]]*Tasks[[#This Row],[_LeafProgress]]</f>
        <v>0</v>
      </c>
      <c r="GQ59" s="91" t="str">
        <f aca="false">IF(AND(Tasks[[#This Row],[_IsLeaf]]=1,Tasks[[#This Row],[_LeafProgress]]&gt;=1),IF(N(Tasks[[#This Row],[Actual Finish]])&gt;0,Tasks[[#This Row],[Actual Finish]],Tasks[[#This Row],[_ShownFcstFinish]]),"")</f>
        <v/>
      </c>
      <c r="GR59" s="43" t="n">
        <f aca="false">IF(Tasks[[#This Row],[_IsLeaf]]=1,N(Tasks[[#This Row],[Story Points]]),0)</f>
        <v>0</v>
      </c>
      <c r="GS59" s="43" t="str">
        <f aca="false">""</f>
        <v/>
      </c>
      <c r="GT59" s="90" t="b">
        <f aca="false">IF(Tasks[[#This Row],[Task Name]]="",FALSE(),AND(Tasks[[#This Row],[_IsLeaf]]=1,N(Tasks[[#This Row],[_Days]])=0))</f>
        <v>0</v>
      </c>
      <c r="GU59" s="91" t="n">
        <f aca="false">IF(Tasks[[#This Row],[Task Name]]="",0,IF(AND(Tasks[[#This Row],[_IsLeaf]]=1,NOT(Tasks[[#This Row],[_IsMilestone]]),N(Tasks[[#This Row],[Progress]])&gt;0),Tasks[[#This Row],[Start]],0))</f>
        <v>0</v>
      </c>
      <c r="GV59" s="91" t="n">
        <f aca="false">IF(Tasks[[#This Row],[_DoneFrom]]=0,0,IF(Tasks[[#This Row],[Progress]]&gt;=1,Tasks[[#This Row],[Finish]],MAX(Tasks[[#This Row],[_DoneFrom]],Tasks[[#This Row],[Start]]+ROUND((Tasks[[#This Row],[Finish]]-Tasks[[#This Row],[Start]]+1)*Tasks[[#This Row],[Progress]],0)-1)))</f>
        <v>0</v>
      </c>
      <c r="GW59" s="91" t="n">
        <f aca="false">IF(Tasks[[#This Row],[Task Name]]="",0,IF(OR(NOT(Tasks[[#This Row],[_IsLeaf]]=1),Tasks[[#This Row],[_IsMilestone]],N(Tasks[[#This Row],[Progress]])&gt;=1),0,IF(Tasks[[#This Row],[_DoneTo]]&gt;0,Tasks[[#This Row],[_DoneTo]]+1,Tasks[[#This Row],[Start]])))</f>
        <v>0</v>
      </c>
      <c r="GX59" s="91" t="n">
        <f aca="false">IF(Tasks[[#This Row],[_RemFrom]]=0,0,Tasks[[#This Row],[Finish]])</f>
        <v>0</v>
      </c>
      <c r="GY59" s="90" t="b">
        <f aca="false">IF(Tasks[[#This Row],[Task Name]]="",FALSE(),OR(NOT(BaselineSet),N(Tasks[[#This Row],[Baseline Start]])&gt;0))</f>
        <v>0</v>
      </c>
      <c r="GZ5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92" t="str">
        <f aca="false">IF(Tasks[[#This Row],[_IsLeaf]]=1,Tasks[[#This Row],[_Row]],"")</f>
        <v/>
      </c>
      <c r="HD59" s="92" t="str">
        <f aca="false">IFERROR(INDEX(Tasks[UID],SMALL(Tasks[_PickKey],Tasks[[#This Row],[_Row]]))&amp;" "&amp;INDEX(Tasks[Task Name],SMALL(Tasks[_PickKey],Tasks[[#This Row],[_Row]])),"")</f>
        <v/>
      </c>
      <c r="HE59" s="43" t="str">
        <f aca="false">IF(Tasks[[#This Row],[Task Name]]="","",IF(Tasks[[#This Row],[_IsSummary]],NETWORKDAYS.INTL(Tasks[[#This Row],[Start]],Tasks[[#This Row],[Finish]],WorkWeek,Holidays),N(Tasks[[#This Row],[_Days]])))</f>
        <v/>
      </c>
      <c r="HF59" s="43" t="n">
        <f aca="false">IF(Tasks[[#This Row],[Expected]]="",0,((Tasks[[#This Row],[Pessimistic]]-Tasks[[#This Row],[Optimistic]])/6)^2)</f>
        <v>0</v>
      </c>
      <c r="HG59" s="43" t="n">
        <f aca="false">IF(Tasks[[#This Row],[Expected]]="",0,Tasks[[#This Row],[Expected]]-N(Tasks[[#This Row],[_Days]]))</f>
        <v>0</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4"/>
      <c r="U60" s="23"/>
      <c r="V60" s="84"/>
      <c r="W60" s="23"/>
      <c r="X60" s="84"/>
      <c r="Y60" s="23"/>
      <c r="Z60" s="84"/>
      <c r="AA60" s="23"/>
      <c r="AB60" s="23"/>
      <c r="AC60" s="7"/>
      <c r="AD60" s="7"/>
      <c r="AE60" s="63" t="str">
        <f aca="false">IF(Tasks[[#This Row],[Task Name]]="","",IF(Tasks[[#This Row],[_IsSummary]],MIN(INDEX(Tasks[_ShownFcstStart],Tasks[[#This Row],[_Row]]+1):INDEX(Tasks[_ShownFcstStart],Tasks[[#This Row],[_Row]]+Tasks[[#This Row],[_Descendants]])),Tasks[[#This Row],[_ShownFcstStart]]))</f>
        <v/>
      </c>
      <c r="AF60" s="63"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0" s="7"/>
      <c r="AK60" s="22"/>
      <c r="AL60" s="23"/>
      <c r="AM60" s="7"/>
      <c r="AN60" s="47"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3" t="str">
        <f aca="false">IF(Tasks[[#This Row],[Task Name]]="","",IF(N(Tasks[[#This Row],[Baseline Start]])&gt;0,Tasks[[#This Row],[Baseline Start]],Tasks[[#This Row],[_CalcStart]]))</f>
        <v/>
      </c>
      <c r="AR60" s="63" t="str">
        <f aca="false">IF(Tasks[[#This Row],[Task Name]]="","",IF(N(Tasks[[#This Row],[Baseline Finish]])&gt;0,Tasks[[#This Row],[Baseline Finish]],Tasks[[#This Row],[_CalcFinish]]))</f>
        <v/>
      </c>
      <c r="AS60" s="47" t="str">
        <f aca="false">IF(Tasks[[#This Row],[Task Name]]="","",IF(Tasks[[#This Row],[Start]]&gt;=Tasks[[#This Row],[Planned Start]],NETWORKDAYS.INTL(Tasks[[#This Row],[Planned Start]],Tasks[[#This Row],[Start]],WorkWeek,Holidays)-1,1-NETWORKDAYS.INTL(Tasks[[#This Row],[Start]],Tasks[[#This Row],[Planned Start]],WorkWeek,Holidays)))</f>
        <v/>
      </c>
      <c r="AT60" s="63" t="str">
        <f aca="false">IF(Tasks[[#This Row],[Task Name]]="","",IF(Tasks[[#This Row],[_IsSummary]],MIN(INDEX(Tasks[_LeafLateStart],Tasks[[#This Row],[_Row]]+1):INDEX(Tasks[_LeafLateStart],Tasks[[#This Row],[_Row]]+Tasks[[#This Row],[_Descendants]])),Tasks[[#This Row],[_LeafLateStart]]))</f>
        <v/>
      </c>
      <c r="AU60" s="63" t="str">
        <f aca="false">IF(Tasks[[#This Row],[Task Name]]="","",IF(Tasks[[#This Row],[_IsSummary]],MAX(INDEX(Tasks[_LeafLateFinish],Tasks[[#This Row],[_Row]]+1):INDEX(Tasks[_LeafLateFinish],Tasks[[#This Row],[_Row]]+Tasks[[#This Row],[_Descendants]])),Tasks[[#This Row],[_LeafLateFinish]]))</f>
        <v/>
      </c>
      <c r="AV60" s="47"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5"/>
      <c r="BA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6"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7"/>
      <c r="BJ60" s="22"/>
      <c r="BK60" s="47" t="str">
        <f aca="false">IF(OR(Tasks[[#This Row],[Task Name]]="",Tasks[[#This Row],[Baseline Duration]]=""),"",Tasks[[#This Row],[_SpanDays]]-N(Tasks[[#This Row],[Baseline Duration]]))</f>
        <v/>
      </c>
      <c r="BL60" s="86" t="str">
        <f aca="false">IF(OR(Tasks[[#This Row],[Task Name]]="",Tasks[[#This Row],[Baseline Work]]=""),"",Tasks[[#This Row],[Work]]-N(Tasks[[#This Row],[Baseline Work]]))</f>
        <v/>
      </c>
      <c r="BM60" s="63" t="str">
        <f aca="false">IF(Tasks[[#This Row],[Task Name]]="","",IF(OR(TakeBaseline="Yes",N(Tasks[[#This Row],[Baseline Start]])=0),Tasks[[#This Row],[Start]],Tasks[[#This Row],[Baseline Start]]))</f>
        <v/>
      </c>
      <c r="BN60" s="63" t="str">
        <f aca="false">IF(Tasks[[#This Row],[Task Name]]="","",IF(OR(TakeBaseline="Yes",N(Tasks[[#This Row],[Baseline Finish]])=0),Tasks[[#This Row],[Finish]],Tasks[[#This Row],[Baseline Finish]]))</f>
        <v/>
      </c>
      <c r="BO60" s="21" t="str">
        <f aca="false">IF(Tasks[[#This Row],[Task Name]]="","",IF(OR(TakeBaseline="Yes",N(Tasks[[#This Row],[Baseline Duration]])=0),Tasks[[#This Row],[_SpanDays]],Tasks[[#This Row],[Baseline Duration]]))</f>
        <v/>
      </c>
      <c r="BP60" s="86" t="str">
        <f aca="false">IF(Tasks[[#This Row],[Task Name]]="","",IF(OR(TakeBaseline="Yes",N(Tasks[[#This Row],[Baseline Work]])=0),Tasks[[#This Row],[Work]],Tasks[[#This Row],[Baseline Work]]))</f>
        <v/>
      </c>
      <c r="BQ60" s="7"/>
      <c r="BR60" s="7"/>
      <c r="BS60" s="22"/>
      <c r="BT60" s="88"/>
      <c r="BU60" s="23"/>
      <c r="BV60" s="23"/>
      <c r="BW60" s="23"/>
      <c r="BX60" s="89" t="str">
        <f aca="false">IF(AND(Tasks[[#This Row],[_IsLeaf]]=1,ISNUMBER(Tasks[[#This Row],[Optimistic]]),ISNUMBER(Tasks[[#This Row],[Pessimistic]])),ROUND((Tasks[[#This Row],[Optimistic]]+4*N(Tasks[[#This Row],[_Days]])+Tasks[[#This Row],[Pessimistic]])/6,1),"")</f>
        <v/>
      </c>
      <c r="BY60" s="87"/>
      <c r="BZ60" s="87"/>
      <c r="CA60" s="22"/>
      <c r="CB60" s="43" t="str">
        <f aca="false">IF(Tasks[[#This Row],[Task Name]]="","",MAX(1,N(Tasks[[#This Row],[Level]])))</f>
        <v/>
      </c>
      <c r="CC60" s="43" t="n">
        <f aca="false">ROW()-ROW(Tasks[[#Headers],[ID]])</f>
        <v>55</v>
      </c>
      <c r="CD60" s="43" t="n">
        <f aca="false">IF(OR(Tasks[[#This Row],[Task Name]]="",Tasks[[#This Row],[_Level]]&lt;=1),0,IFERROR(LOOKUP(2,1/(Tasks[[#Headers],[_Level]]:Tasks[[#This Row],[_Level]]=Tasks[[#This Row],[_Level]]-1),ROW(Tasks[[#Headers],[_Level]]:Tasks[[#This Row],[_Level]])),0))</f>
        <v>0</v>
      </c>
      <c r="CE60" s="43" t="n">
        <f aca="false">IFERROR(N(INDEX(Tasks[_Level],Tasks[[#This Row],[_Row]]+1)),0)</f>
        <v>0</v>
      </c>
      <c r="CF60" s="90" t="b">
        <f aca="false">AND(Tasks[[#This Row],[Task Name]]&lt;&gt;"",Tasks[[#This Row],[_NextLevel]]&gt;Tasks[[#This Row],[_Level]])</f>
        <v>0</v>
      </c>
      <c r="CG60" s="43" t="n">
        <f aca="false">IF(Tasks[[#This Row],[_IsSummary]],COUNTIF(Tasks[WBS],Tasks[[#This Row],[WBS]]&amp;".*"),0)</f>
        <v>0</v>
      </c>
      <c r="CH60" s="43" t="n">
        <f aca="false">IF(AND(Tasks[[#This Row],[Task Name]]&lt;&gt;"",NOT(Tasks[[#This Row],[_IsSummary]])),1,0)</f>
        <v>0</v>
      </c>
      <c r="CI60" s="43" t="n">
        <f aca="false">IF(N(Tasks[[#This Row],[_Pred1UID]])=0,0,IFERROR(MATCH(Tasks[[#This Row],[_Pred1UID]],Tasks[UID],0),-1))</f>
        <v>0</v>
      </c>
      <c r="CJ60" s="43" t="n">
        <f aca="false">IF(N(Tasks[[#This Row],[_Pred2UID]])=0,0,IFERROR(MATCH(Tasks[[#This Row],[_Pred2UID]],Tasks[UID],0),-1))</f>
        <v>0</v>
      </c>
      <c r="CK60" s="43" t="n">
        <f aca="false">IF(N(Tasks[[#This Row],[_Pred3UID]])=0,0,IFERROR(MATCH(Tasks[[#This Row],[_Pred3UID]],Tasks[UID],0),-1))</f>
        <v>0</v>
      </c>
      <c r="CL60" s="43" t="n">
        <f aca="false">IF(N(Tasks[[#This Row],[_Pred4UID]])=0,0,IFERROR(MATCH(Tasks[[#This Row],[_Pred4UID]],Tasks[UID],0),-1))</f>
        <v>0</v>
      </c>
      <c r="CM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0" s="91" t="n">
        <f aca="false">IF(OR(Tasks[[#This Row],[_ConstraintCode]]=2,Tasks[[#This Row],[_ConstraintCode]]=3,Tasks[[#This Row],[_ConstraintCode]]=4,Tasks[[#This Row],[_ConstraintCode]]=6),Tasks[[#This Row],[_ConstraintStart]],0)</f>
        <v>0</v>
      </c>
      <c r="CP60" s="91" t="n">
        <f aca="false">IF(OR(Tasks[[#This Row],[_ConstraintCode]]=2,Tasks[[#This Row],[_ConstraintCode]]=3,Tasks[[#This Row],[_ConstraintCode]]=5,Tasks[[#This Row],[_ConstraintCode]]=7),Tasks[[#This Row],[_ConstraintStart]],2958465)</f>
        <v>2958465</v>
      </c>
      <c r="CQ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91" t="str">
        <f aca="false">IF(NOT(Tasks[[#This Row],[_IsLeaf]]=1),"",IF(N(Tasks[[#This Row],[_Days]])&lt;=0,Tasks[[#This Row],[_LeafCalcStart]],WORKDAY.INTL(Tasks[[#This Row],[_LeafCalcStart]],Tasks[[#This Row],[_Days]]-1,WorkWeek,Holidays)))</f>
        <v/>
      </c>
      <c r="CS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3" t="str">
        <f aca="false">IF(Tasks[[#This Row],[_Predecessors]]="","",TRIM(MID(SUBSTITUTE(SUBSTITUTE(SUBSTITUTE(UPPER(Tasks[[#This Row],[_Predecessors]]),";",",")," ",""),",",REPT(" ",99)),1,99)))</f>
        <v/>
      </c>
      <c r="CV60" s="43" t="str">
        <f aca="false">IF(Tasks[[#This Row],[_Pred1Text]]="","",IFERROR(VALUE(LEFT(Tasks[[#This Row],[_Pred1Text]],MIN(FIND("F",Tasks[[#This Row],[_Pred1Text]]&amp;"F"),FIND("S",Tasks[[#This Row],[_Pred1Text]]&amp;"S"),FIND("+",Tasks[[#This Row],[_Pred1Text]]&amp;"+"),FIND("-",Tasks[[#This Row],[_Pred1Text]]&amp;"-"))-1)),""))</f>
        <v/>
      </c>
      <c r="CW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3" t="str">
        <f aca="false">IF(Tasks[[#This Row],[_Pred1Text]]="","",TRIM(MID(SUBSTITUTE(SUBSTITUTE(SUBSTITUTE(UPPER(Tasks[[#This Row],[_Predecessors]]),";",",")," ",""),",",REPT(" ",99)),100,99)))</f>
        <v/>
      </c>
      <c r="CZ60" s="43" t="str">
        <f aca="false">IF(Tasks[[#This Row],[_Pred2Text]]="","",IFERROR(VALUE(LEFT(Tasks[[#This Row],[_Pred2Text]],MIN(FIND("F",Tasks[[#This Row],[_Pred2Text]]&amp;"F"),FIND("S",Tasks[[#This Row],[_Pred2Text]]&amp;"S"),FIND("+",Tasks[[#This Row],[_Pred2Text]]&amp;"+"),FIND("-",Tasks[[#This Row],[_Pred2Text]]&amp;"-"))-1)),""))</f>
        <v/>
      </c>
      <c r="DA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3" t="str">
        <f aca="false">IF(Tasks[[#This Row],[_Pred2Text]]="","",TRIM(MID(SUBSTITUTE(SUBSTITUTE(SUBSTITUTE(UPPER(Tasks[[#This Row],[_Predecessors]]),";",",")," ",""),",",REPT(" ",99)),199,99)))</f>
        <v/>
      </c>
      <c r="DD60" s="43" t="str">
        <f aca="false">IF(Tasks[[#This Row],[_Pred3Text]]="","",IFERROR(VALUE(LEFT(Tasks[[#This Row],[_Pred3Text]],MIN(FIND("F",Tasks[[#This Row],[_Pred3Text]]&amp;"F"),FIND("S",Tasks[[#This Row],[_Pred3Text]]&amp;"S"),FIND("+",Tasks[[#This Row],[_Pred3Text]]&amp;"+"),FIND("-",Tasks[[#This Row],[_Pred3Text]]&amp;"-"))-1)),""))</f>
        <v/>
      </c>
      <c r="DE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3" t="str">
        <f aca="false">IF(Tasks[[#This Row],[_Pred3Text]]="","",TRIM(MID(SUBSTITUTE(SUBSTITUTE(SUBSTITUTE(UPPER(Tasks[[#This Row],[_Predecessors]]),";",",")," ",""),",",REPT(" ",99)),298,99)))</f>
        <v/>
      </c>
      <c r="DH60" s="43" t="str">
        <f aca="false">IF(Tasks[[#This Row],[_Pred4Text]]="","",IFERROR(VALUE(LEFT(Tasks[[#This Row],[_Pred4Text]],MIN(FIND("F",Tasks[[#This Row],[_Pred4Text]]&amp;"F"),FIND("S",Tasks[[#This Row],[_Pred4Text]]&amp;"S"),FIND("+",Tasks[[#This Row],[_Pred4Text]]&amp;"+"),FIND("-",Tasks[[#This Row],[_Pred4Text]]&amp;"-"))-1)),""))</f>
        <v/>
      </c>
      <c r="DI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3" t="str">
        <f aca="false">IF(OR(Tasks[[#This Row],[Task Name]]="",Tasks[[#This Row],[_Resources]]=""),"",TRIM(MID(SUBSTITUTE(Tasks[[#This Row],[_Resources]],",",REPT(" ",99)),1,99)))</f>
        <v/>
      </c>
      <c r="DL60" s="43" t="str">
        <f aca="false">IF(Tasks[[#This Row],[_Res1Text]]="","",TRIM(MID(SUBSTITUTE(Tasks[[#This Row],[_Resources]],",",REPT(" ",99)),100,99)))</f>
        <v/>
      </c>
      <c r="DM60" s="43" t="str">
        <f aca="false">IF(Tasks[[#This Row],[_Res2Text]]="","",TRIM(MID(SUBSTITUTE(Tasks[[#This Row],[_Resources]],",",REPT(" ",99)),199,99)))</f>
        <v/>
      </c>
      <c r="DN60" s="43" t="str">
        <f aca="false">IF(Tasks[[#This Row],[_Res3Text]]="","",TRIM(MID(SUBSTITUTE(Tasks[[#This Row],[_Resources]],",",REPT(" ",99)),298,99)))</f>
        <v/>
      </c>
      <c r="DO60" s="43" t="n">
        <f aca="false">IF(Tasks[[#This Row],[_Res1Text]]="",0,IFERROR(MATCH(TRIM(LEFT(Tasks[[#This Row],[_Res1Text]],FIND("[",Tasks[[#This Row],[_Res1Text]]&amp;"[")-1)),res_Name,0),IFERROR(MATCH(TRIM(LEFT(Tasks[[#This Row],[_Res1Text]],FIND("[",Tasks[[#This Row],[_Res1Text]]&amp;"[")-1)),res_Initials,0),0)))</f>
        <v>0</v>
      </c>
      <c r="DP60" s="43" t="n">
        <f aca="false">IF(Tasks[[#This Row],[_Res2Text]]="",0,IFERROR(MATCH(TRIM(LEFT(Tasks[[#This Row],[_Res2Text]],FIND("[",Tasks[[#This Row],[_Res2Text]]&amp;"[")-1)),res_Name,0),IFERROR(MATCH(TRIM(LEFT(Tasks[[#This Row],[_Res2Text]],FIND("[",Tasks[[#This Row],[_Res2Text]]&amp;"[")-1)),res_Initials,0),0)))</f>
        <v>0</v>
      </c>
      <c r="DQ60" s="43" t="n">
        <f aca="false">IF(Tasks[[#This Row],[_Res3Text]]="",0,IFERROR(MATCH(TRIM(LEFT(Tasks[[#This Row],[_Res3Text]],FIND("[",Tasks[[#This Row],[_Res3Text]]&amp;"[")-1)),res_Name,0),IFERROR(MATCH(TRIM(LEFT(Tasks[[#This Row],[_Res3Text]],FIND("[",Tasks[[#This Row],[_Res3Text]]&amp;"[")-1)),res_Initials,0),0)))</f>
        <v>0</v>
      </c>
      <c r="DR60" s="43" t="n">
        <f aca="false">IF(Tasks[[#This Row],[_Res4Text]]="",0,IFERROR(MATCH(TRIM(LEFT(Tasks[[#This Row],[_Res4Text]],FIND("[",Tasks[[#This Row],[_Res4Text]]&amp;"[")-1)),res_Name,0),IFERROR(MATCH(TRIM(LEFT(Tasks[[#This Row],[_Res4Text]],FIND("[",Tasks[[#This Row],[_Res4Text]]&amp;"[")-1)),res_Initials,0),0)))</f>
        <v>0</v>
      </c>
      <c r="DS60" s="43" t="str">
        <f aca="false">IF(Tasks[[#This Row],[_Res1Text]]="","",IF(Tasks[[#This Row],[_Res1Row]]&gt;0,INDEX(res_Name,Tasks[[#This Row],[_Res1Row]]),TRIM(LEFT(Tasks[[#This Row],[_Res1Text]],FIND("[",Tasks[[#This Row],[_Res1Text]]&amp;"[")-1))))</f>
        <v/>
      </c>
      <c r="DT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3" t="n">
        <f aca="false">IF(NOT(Tasks[[#This Row],[_IsLeaf]]=1),0,(Tasks[[#This Row],[_Resource1]]&lt;&gt;"")+(Tasks[[#This Row],[_Res2]]&lt;&gt;"")+(Tasks[[#This Row],[_Res3]]&lt;&gt;"")+(Tasks[[#This Row],[_Res4]]&lt;&gt;""))</f>
        <v>0</v>
      </c>
      <c r="DV60" s="43" t="str">
        <f aca="false">IF(Tasks[[#This Row],[_Res2Text]]="","",IF(Tasks[[#This Row],[_Res2Row]]&gt;0,INDEX(res_Name,Tasks[[#This Row],[_Res2Row]]),TRIM(LEFT(Tasks[[#This Row],[_Res2Text]],FIND("[",Tasks[[#This Row],[_Res2Text]]&amp;"[")-1))))</f>
        <v/>
      </c>
      <c r="DW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3" t="n">
        <f aca="false">IF(OR(NOT(Tasks[[#This Row],[_IsLeaf]]=1),Tasks[[#This Row],[_Res2Row]]=0),0,N(Tasks[[#This Row],[_Days]])*HoursPerDay*IF(Tasks[[#This Row],[_Res2Units]]="",DefaultUnits,Tasks[[#This Row],[_Res2Units]]))</f>
        <v>0</v>
      </c>
      <c r="DY60" s="43" t="n">
        <f aca="false">IF(AND(AND(Tasks[[#This Row],[_IsLeaf]]=1,Tasks[[#This Row],[_LeafTotalWork]]&gt;0),Tasks[[#This Row],[_Res2Work]]&gt;0),Tasks[[#This Row],[_Res2Work]]/(Tasks[[#This Row],[_FinishWorkday]]-Tasks[[#This Row],[_StartWorkday]]+1),0)</f>
        <v>0</v>
      </c>
      <c r="DZ60" s="43" t="n">
        <f aca="false">Tasks[[#This Row],[_Res2WorkPerWD]]*MAX(0,Tasks[[#This Row],[_StartWorkday]]-1)</f>
        <v>0</v>
      </c>
      <c r="EA60" s="43" t="n">
        <f aca="false">Tasks[[#This Row],[_Res2Work]]*Tasks[[#This Row],[_LeafProgress]]</f>
        <v>0</v>
      </c>
      <c r="EB60" s="43" t="str">
        <f aca="false">IF(Tasks[[#This Row],[_Res3Text]]="","",IF(Tasks[[#This Row],[_Res3Row]]&gt;0,INDEX(res_Name,Tasks[[#This Row],[_Res3Row]]),TRIM(LEFT(Tasks[[#This Row],[_Res3Text]],FIND("[",Tasks[[#This Row],[_Res3Text]]&amp;"[")-1))))</f>
        <v/>
      </c>
      <c r="EC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3" t="n">
        <f aca="false">IF(OR(NOT(Tasks[[#This Row],[_IsLeaf]]=1),Tasks[[#This Row],[_Res3Row]]=0),0,N(Tasks[[#This Row],[_Days]])*HoursPerDay*IF(Tasks[[#This Row],[_Res3Units]]="",DefaultUnits,Tasks[[#This Row],[_Res3Units]]))</f>
        <v>0</v>
      </c>
      <c r="EE60" s="43" t="n">
        <f aca="false">IF(AND(AND(Tasks[[#This Row],[_IsLeaf]]=1,Tasks[[#This Row],[_LeafTotalWork]]&gt;0),Tasks[[#This Row],[_Res3Work]]&gt;0),Tasks[[#This Row],[_Res3Work]]/(Tasks[[#This Row],[_FinishWorkday]]-Tasks[[#This Row],[_StartWorkday]]+1),0)</f>
        <v>0</v>
      </c>
      <c r="EF60" s="43" t="n">
        <f aca="false">Tasks[[#This Row],[_Res3WorkPerWD]]*MAX(0,Tasks[[#This Row],[_StartWorkday]]-1)</f>
        <v>0</v>
      </c>
      <c r="EG60" s="43" t="n">
        <f aca="false">Tasks[[#This Row],[_Res3Work]]*Tasks[[#This Row],[_LeafProgress]]</f>
        <v>0</v>
      </c>
      <c r="EH60" s="43" t="str">
        <f aca="false">IF(Tasks[[#This Row],[_Res4Text]]="","",IF(Tasks[[#This Row],[_Res4Row]]&gt;0,INDEX(res_Name,Tasks[[#This Row],[_Res4Row]]),TRIM(LEFT(Tasks[[#This Row],[_Res4Text]],FIND("[",Tasks[[#This Row],[_Res4Text]]&amp;"[")-1))))</f>
        <v/>
      </c>
      <c r="EI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3" t="n">
        <f aca="false">IF(OR(NOT(Tasks[[#This Row],[_IsLeaf]]=1),Tasks[[#This Row],[_Res4Row]]=0),0,N(Tasks[[#This Row],[_Days]])*HoursPerDay*IF(Tasks[[#This Row],[_Res4Units]]="",DefaultUnits,Tasks[[#This Row],[_Res4Units]]))</f>
        <v>0</v>
      </c>
      <c r="EK60" s="43" t="n">
        <f aca="false">IF(AND(AND(Tasks[[#This Row],[_IsLeaf]]=1,Tasks[[#This Row],[_LeafTotalWork]]&gt;0),Tasks[[#This Row],[_Res4Work]]&gt;0),Tasks[[#This Row],[_Res4Work]]/(Tasks[[#This Row],[_FinishWorkday]]-Tasks[[#This Row],[_StartWorkday]]+1),0)</f>
        <v>0</v>
      </c>
      <c r="EL60" s="43" t="n">
        <f aca="false">Tasks[[#This Row],[_Res4WorkPerWD]]*MAX(0,Tasks[[#This Row],[_StartWorkday]]-1)</f>
        <v>0</v>
      </c>
      <c r="EM60" s="43" t="n">
        <f aca="false">Tasks[[#This Row],[_Res4Work]]*Tasks[[#This Row],[_LeafProgress]]</f>
        <v>0</v>
      </c>
      <c r="EN60" s="43" t="n">
        <f aca="false">IF(ISNUMBER(Tasks[[#This Row],[% Complete]]),Tasks[[#This Row],[% Complete]],IF(Tasks[[#This Row],[Stage]]="",0,IFERROR(INDEX(stg_Pct,MATCH(Tasks[[#This Row],[Stage]],stg_Name,0)),0)))</f>
        <v>0</v>
      </c>
      <c r="EO60" s="43" t="n">
        <f aca="false">IF(NOT(Tasks[[#This Row],[_IsLeaf]]=1),0,IF(N(Tasks[[#This Row],[Actual Finish]])&gt;0,1,MIN(1,Tasks[[#This Row],[_Pct]])))</f>
        <v>0</v>
      </c>
      <c r="EP60" s="43" t="n">
        <f aca="false">IF(OR(NOT(Tasks[[#This Row],[_IsLeaf]]=1),Tasks[[#This Row],[_Res1Row]]=0),0,N(Tasks[[#This Row],[_Days]])*HoursPerDay*IF(Tasks[[#This Row],[_Units1]]="",DefaultUnits,Tasks[[#This Row],[_Units1]]))</f>
        <v>0</v>
      </c>
      <c r="EQ60" s="43" t="n">
        <f aca="false">Tasks[[#This Row],[_LeafWork]]+Tasks[[#This Row],[_Res2Work]]+Tasks[[#This Row],[_Res3Work]]+Tasks[[#This Row],[_Res4Work]]</f>
        <v>0</v>
      </c>
      <c r="ER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3" t="n">
        <f aca="false">IF(NOT(Tasks[[#This Row],[_IsLeaf]]=1),0,MAX(_xlfn.MAXIFS(Tasks[_Row],Tasks[_Pred1UID],Tasks[[#This Row],[UID]]),_xlfn.MAXIFS(Tasks[_Row],Tasks[_Pred2UID],Tasks[[#This Row],[UID]]),_xlfn.MAXIFS(Tasks[_Row],Tasks[_Pred3UID],Tasks[[#This Row],[UID]]),_xlfn.MAXIFS(Tasks[_Row],Tasks[_Pred4UID],Tasks[[#This Row],[UID]])))</f>
        <v>0</v>
      </c>
      <c r="FA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91" t="str">
        <f aca="false">IF(NOT(Tasks[[#This Row],[_IsLeaf]]=1),"",IF(N(Tasks[[#This Row],[_Days]])&lt;=0,Tasks[[#This Row],[_LeafLateFinish]],WORKDAY.INTL(Tasks[[#This Row],[_LeafLateFinish]],-(Tasks[[#This Row],[_Days]]-1),WorkWeek,Holidays)))</f>
        <v/>
      </c>
      <c r="FD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0" s="90" t="b">
        <f aca="false">AND(Tasks[[#This Row],[_IsLeaf]]=1,Tasks[[#This Row],[_LeafProgress]]&lt;1,N(Tasks[[#This Row],[_LeafTotalSlack]])&lt;=CriticalSlackDays)</f>
        <v>0</v>
      </c>
      <c r="FF60" s="43" t="n">
        <f aca="false">IF(AND(Tasks[[#This Row],[_IsLeaf]]=1,Tasks[[#This Row],[_ConstraintCode]]=1,Tasks[[#This Row],[Mode]]&lt;&gt;"Manual",N(Tasks[[#This Row],[Actual Start]])=0),MAX(0,N(Tasks[[#This Row],[Free Slack]])),0)</f>
        <v>0</v>
      </c>
      <c r="FG60" s="91" t="str">
        <f aca="false">IF(NOT(Tasks[[#This Row],[_IsLeaf]]=1),"",IF(Tasks[[#This Row],[_AlapShift]]=0,Tasks[[#This Row],[_LeafCalcStart]],WORKDAY.INTL(Tasks[[#This Row],[_LeafCalcStart]],Tasks[[#This Row],[_AlapShift]],WorkWeek,Holidays)))</f>
        <v/>
      </c>
      <c r="FH60" s="91" t="str">
        <f aca="false">IF(NOT(Tasks[[#This Row],[_IsLeaf]]=1),"",IF(Tasks[[#This Row],[_AlapShift]]=0,Tasks[[#This Row],[_LeafCalcFinish]],WORKDAY.INTL(Tasks[[#This Row],[_LeafCalcFinish]],Tasks[[#This Row],[_AlapShift]],WorkWeek,Holidays)))</f>
        <v/>
      </c>
      <c r="FI60" s="91" t="str">
        <f aca="false">IF(NOT(Tasks[[#This Row],[_IsLeaf]]=1),"",IF(Tasks[[#This Row],[_AlapShift]]=0,Tasks[[#This Row],[_LeafFcstStart]],WORKDAY.INTL(Tasks[[#This Row],[_LeafFcstStart]],Tasks[[#This Row],[_AlapShift]],WorkWeek,Holidays)))</f>
        <v/>
      </c>
      <c r="FJ60" s="91" t="str">
        <f aca="false">IF(NOT(Tasks[[#This Row],[_IsLeaf]]=1),"",IF(Tasks[[#This Row],[_AlapShift]]=0,Tasks[[#This Row],[_LeafFcstFinish]],WORKDAY.INTL(Tasks[[#This Row],[_LeafFcstFinish]],Tasks[[#This Row],[_AlapShift]],WorkWeek,Holidays)))</f>
        <v/>
      </c>
      <c r="FK60" s="91" t="str">
        <f aca="false">IF(Tasks[[#This Row],[Task Name]]="","",IF(Tasks[[#This Row],[_IsSummary]],MIN(INDEX(Tasks[_ShownCalcStart],Tasks[[#This Row],[_Row]]+1):INDEX(Tasks[_ShownCalcStart],Tasks[[#This Row],[_Row]]+Tasks[[#This Row],[_Descendants]])),Tasks[[#This Row],[_ShownCalcStart]]))</f>
        <v/>
      </c>
      <c r="FL60" s="91" t="str">
        <f aca="false">IF(Tasks[[#This Row],[Task Name]]="","",IF(Tasks[[#This Row],[_IsSummary]],MAX(INDEX(Tasks[_ShownCalcFinish],Tasks[[#This Row],[_Row]]+1):INDEX(Tasks[_ShownCalcFinish],Tasks[[#This Row],[_Row]]+Tasks[[#This Row],[_Descendants]])),Tasks[[#This Row],[_ShownCalcFinish]]))</f>
        <v/>
      </c>
      <c r="FM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0" s="43" t="n">
        <f aca="false">IF(AND(Tasks[[#This Row],[_IsLeaf]]=1,Tasks[[#This Row],[_LeafTotalWork]]&gt;0),NETWORKDAYS.INTL(ProjectStart,Tasks[[#This Row],[_ShownFcstStart]],WorkWeek,Holidays),0)</f>
        <v>0</v>
      </c>
      <c r="FZ60" s="43" t="n">
        <f aca="false">IF(AND(Tasks[[#This Row],[_IsLeaf]]=1,Tasks[[#This Row],[_LeafTotalWork]]&gt;0),MAX(Tasks[[#This Row],[_StartWorkday]],NETWORKDAYS.INTL(ProjectStart,Tasks[[#This Row],[_ShownFcstFinish]],WorkWeek,Holidays)),0)</f>
        <v>0</v>
      </c>
      <c r="GA60" s="43" t="n">
        <f aca="false">IF(AND(Tasks[[#This Row],[_IsLeaf]]=1,Tasks[[#This Row],[_LeafTotalWork]]&gt;0),Tasks[[#This Row],[_LeafWork]]/(Tasks[[#This Row],[_FinishWorkday]]-Tasks[[#This Row],[_StartWorkday]]+1),0)</f>
        <v>0</v>
      </c>
      <c r="GB60" s="43" t="n">
        <f aca="false">Tasks[[#This Row],[_WorkPerWorkday]]*(Tasks[[#This Row],[_StartWorkday]]-1)</f>
        <v>-0</v>
      </c>
      <c r="GC60" s="43" t="n">
        <f aca="false">IF(Tasks[[#This Row],[_IsLeaf]]=1,MAX(N(Tasks[[#This Row],[_Days]]),0.1),0)</f>
        <v>0</v>
      </c>
      <c r="GD60" s="43" t="n">
        <f aca="false">Tasks[[#This Row],[_WeightDur]]*Tasks[[#This Row],[_LeafProgress]]</f>
        <v>0</v>
      </c>
      <c r="GE60" s="43" t="n">
        <f aca="false">Tasks[[#This Row],[_WeightDur]]*Tasks[[#This Row],[_PlannedPct]]</f>
        <v>0</v>
      </c>
      <c r="GF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3" t="str">
        <f aca="false">IF(AND(Tasks[[#This Row],[_IsLeaf]]=1,N(Tasks[[#This Row],[_Days]])=0,Tasks[[#This Row],[_LeafProgress]]&lt;1),Tasks[[#This Row],[_ShownFcstFinish]]+Tasks[[#This Row],[_Row]]/100000,"")</f>
        <v/>
      </c>
      <c r="GH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0" s="43" t="str">
        <f aca="false">IF(Tasks[[#This Row],[Task Name]]="","",LEFT(Tasks[[#This Row],[WBS]],FIND(".",Tasks[[#This Row],[WBS]]&amp;".")-1))</f>
        <v/>
      </c>
      <c r="GJ60" s="43" t="str">
        <f aca="false">IF(AND(Tasks[[#This Row],[Task Name]]&lt;&gt;"",Tasks[[#This Row],[_Level]]=1),Tasks[[#This Row],[_Row]],"")</f>
        <v/>
      </c>
      <c r="GK60" s="43" t="str">
        <f aca="false">IF(AND(Tasks[[#This Row],[_IsLeaf]]=1,N(Tasks[[#This Row],[_Days]])=0),Tasks[[#This Row],[Planned Finish]]+Tasks[[#This Row],[_Row]]/100000,"")</f>
        <v/>
      </c>
      <c r="GL60" s="43" t="str">
        <f aca="false">IF(AND(Tasks[[#This Row],[_IsLeaf]]=1,Tasks[[#This Row],[_LeafProgress]]&lt;1,OR(N(Tasks[[#This Row],[Finish Var]])&gt;0,Tasks[[#This Row],[Status]]="Late Start")),MAX(0,Tasks[[#This Row],[Finish Var]])+1-Tasks[[#This Row],[_Row]]/1000000,"")</f>
        <v/>
      </c>
      <c r="GM60" s="43" t="str">
        <f aca="false">IF(AND(Tasks[[#This Row],[_IsLeaf]]=1,N(Tasks[[#This Row],[Actual Start]])=0,Tasks[[#This Row],[_ShownFcstStart]]&gt;=StatusDate,Tasks[[#This Row],[_ShownFcstStart]]&lt;=LookaheadEnd),Tasks[[#This Row],[_ShownFcstStart]]+Tasks[[#This Row],[_Row]]/100000,"")</f>
        <v/>
      </c>
      <c r="GN60" s="43" t="str">
        <f aca="false">IF(AND(Tasks[[#This Row],[_IsLeaf]]=1,Tasks[[#This Row],[_LeafProgress]]&lt;1,Tasks[[#This Row],[_ShownFcstFinish]]&gt;=StatusDate,Tasks[[#This Row],[_ShownFcstFinish]]&lt;=LookaheadEnd),Tasks[[#This Row],[_ShownFcstFinish]]+Tasks[[#This Row],[_Row]]/100000,"")</f>
        <v/>
      </c>
      <c r="GO60" s="43" t="str">
        <f aca="false">IF(Tasks[[#This Row],[_LeafCritical]],Tasks[[#This Row],[_ShownFcstStart]]+Tasks[[#This Row],[_Row]]/100000,"")</f>
        <v/>
      </c>
      <c r="GP60" s="43" t="n">
        <f aca="false">Tasks[[#This Row],[_LeafWork]]*Tasks[[#This Row],[_LeafProgress]]</f>
        <v>0</v>
      </c>
      <c r="GQ60" s="91" t="str">
        <f aca="false">IF(AND(Tasks[[#This Row],[_IsLeaf]]=1,Tasks[[#This Row],[_LeafProgress]]&gt;=1),IF(N(Tasks[[#This Row],[Actual Finish]])&gt;0,Tasks[[#This Row],[Actual Finish]],Tasks[[#This Row],[_ShownFcstFinish]]),"")</f>
        <v/>
      </c>
      <c r="GR60" s="43" t="n">
        <f aca="false">IF(Tasks[[#This Row],[_IsLeaf]]=1,N(Tasks[[#This Row],[Story Points]]),0)</f>
        <v>0</v>
      </c>
      <c r="GS60" s="43" t="str">
        <f aca="false">""</f>
        <v/>
      </c>
      <c r="GT60" s="90" t="b">
        <f aca="false">IF(Tasks[[#This Row],[Task Name]]="",FALSE(),AND(Tasks[[#This Row],[_IsLeaf]]=1,N(Tasks[[#This Row],[_Days]])=0))</f>
        <v>0</v>
      </c>
      <c r="GU60" s="91" t="n">
        <f aca="false">IF(Tasks[[#This Row],[Task Name]]="",0,IF(AND(Tasks[[#This Row],[_IsLeaf]]=1,NOT(Tasks[[#This Row],[_IsMilestone]]),N(Tasks[[#This Row],[Progress]])&gt;0),Tasks[[#This Row],[Start]],0))</f>
        <v>0</v>
      </c>
      <c r="GV60" s="91" t="n">
        <f aca="false">IF(Tasks[[#This Row],[_DoneFrom]]=0,0,IF(Tasks[[#This Row],[Progress]]&gt;=1,Tasks[[#This Row],[Finish]],MAX(Tasks[[#This Row],[_DoneFrom]],Tasks[[#This Row],[Start]]+ROUND((Tasks[[#This Row],[Finish]]-Tasks[[#This Row],[Start]]+1)*Tasks[[#This Row],[Progress]],0)-1)))</f>
        <v>0</v>
      </c>
      <c r="GW60" s="91" t="n">
        <f aca="false">IF(Tasks[[#This Row],[Task Name]]="",0,IF(OR(NOT(Tasks[[#This Row],[_IsLeaf]]=1),Tasks[[#This Row],[_IsMilestone]],N(Tasks[[#This Row],[Progress]])&gt;=1),0,IF(Tasks[[#This Row],[_DoneTo]]&gt;0,Tasks[[#This Row],[_DoneTo]]+1,Tasks[[#This Row],[Start]])))</f>
        <v>0</v>
      </c>
      <c r="GX60" s="91" t="n">
        <f aca="false">IF(Tasks[[#This Row],[_RemFrom]]=0,0,Tasks[[#This Row],[Finish]])</f>
        <v>0</v>
      </c>
      <c r="GY60" s="90" t="b">
        <f aca="false">IF(Tasks[[#This Row],[Task Name]]="",FALSE(),OR(NOT(BaselineSet),N(Tasks[[#This Row],[Baseline Start]])&gt;0))</f>
        <v>0</v>
      </c>
      <c r="GZ6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92" t="str">
        <f aca="false">IF(Tasks[[#This Row],[_IsLeaf]]=1,Tasks[[#This Row],[_Row]],"")</f>
        <v/>
      </c>
      <c r="HD60" s="92" t="str">
        <f aca="false">IFERROR(INDEX(Tasks[UID],SMALL(Tasks[_PickKey],Tasks[[#This Row],[_Row]]))&amp;" "&amp;INDEX(Tasks[Task Name],SMALL(Tasks[_PickKey],Tasks[[#This Row],[_Row]])),"")</f>
        <v/>
      </c>
      <c r="HE60" s="43" t="str">
        <f aca="false">IF(Tasks[[#This Row],[Task Name]]="","",IF(Tasks[[#This Row],[_IsSummary]],NETWORKDAYS.INTL(Tasks[[#This Row],[Start]],Tasks[[#This Row],[Finish]],WorkWeek,Holidays),N(Tasks[[#This Row],[_Days]])))</f>
        <v/>
      </c>
      <c r="HF60" s="43" t="n">
        <f aca="false">IF(Tasks[[#This Row],[Expected]]="",0,((Tasks[[#This Row],[Pessimistic]]-Tasks[[#This Row],[Optimistic]])/6)^2)</f>
        <v>0</v>
      </c>
      <c r="HG60" s="43" t="n">
        <f aca="false">IF(Tasks[[#This Row],[Expected]]="",0,Tasks[[#This Row],[Expected]]-N(Tasks[[#This Row],[_Days]]))</f>
        <v>0</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4"/>
      <c r="U61" s="23"/>
      <c r="V61" s="84"/>
      <c r="W61" s="23"/>
      <c r="X61" s="84"/>
      <c r="Y61" s="23"/>
      <c r="Z61" s="84"/>
      <c r="AA61" s="23"/>
      <c r="AB61" s="23"/>
      <c r="AC61" s="7"/>
      <c r="AD61" s="7"/>
      <c r="AE61" s="63" t="str">
        <f aca="false">IF(Tasks[[#This Row],[Task Name]]="","",IF(Tasks[[#This Row],[_IsSummary]],MIN(INDEX(Tasks[_ShownFcstStart],Tasks[[#This Row],[_Row]]+1):INDEX(Tasks[_ShownFcstStart],Tasks[[#This Row],[_Row]]+Tasks[[#This Row],[_Descendants]])),Tasks[[#This Row],[_ShownFcstStart]]))</f>
        <v/>
      </c>
      <c r="AF61" s="63"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1" s="7"/>
      <c r="AK61" s="22"/>
      <c r="AL61" s="23"/>
      <c r="AM61" s="7"/>
      <c r="AN61" s="47"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3" t="str">
        <f aca="false">IF(Tasks[[#This Row],[Task Name]]="","",IF(N(Tasks[[#This Row],[Baseline Start]])&gt;0,Tasks[[#This Row],[Baseline Start]],Tasks[[#This Row],[_CalcStart]]))</f>
        <v/>
      </c>
      <c r="AR61" s="63" t="str">
        <f aca="false">IF(Tasks[[#This Row],[Task Name]]="","",IF(N(Tasks[[#This Row],[Baseline Finish]])&gt;0,Tasks[[#This Row],[Baseline Finish]],Tasks[[#This Row],[_CalcFinish]]))</f>
        <v/>
      </c>
      <c r="AS61" s="47" t="str">
        <f aca="false">IF(Tasks[[#This Row],[Task Name]]="","",IF(Tasks[[#This Row],[Start]]&gt;=Tasks[[#This Row],[Planned Start]],NETWORKDAYS.INTL(Tasks[[#This Row],[Planned Start]],Tasks[[#This Row],[Start]],WorkWeek,Holidays)-1,1-NETWORKDAYS.INTL(Tasks[[#This Row],[Start]],Tasks[[#This Row],[Planned Start]],WorkWeek,Holidays)))</f>
        <v/>
      </c>
      <c r="AT61" s="63" t="str">
        <f aca="false">IF(Tasks[[#This Row],[Task Name]]="","",IF(Tasks[[#This Row],[_IsSummary]],MIN(INDEX(Tasks[_LeafLateStart],Tasks[[#This Row],[_Row]]+1):INDEX(Tasks[_LeafLateStart],Tasks[[#This Row],[_Row]]+Tasks[[#This Row],[_Descendants]])),Tasks[[#This Row],[_LeafLateStart]]))</f>
        <v/>
      </c>
      <c r="AU61" s="63" t="str">
        <f aca="false">IF(Tasks[[#This Row],[Task Name]]="","",IF(Tasks[[#This Row],[_IsSummary]],MAX(INDEX(Tasks[_LeafLateFinish],Tasks[[#This Row],[_Row]]+1):INDEX(Tasks[_LeafLateFinish],Tasks[[#This Row],[_Row]]+Tasks[[#This Row],[_Descendants]])),Tasks[[#This Row],[_LeafLateFinish]]))</f>
        <v/>
      </c>
      <c r="AV61" s="47"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5"/>
      <c r="BA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6"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7"/>
      <c r="BJ61" s="22"/>
      <c r="BK61" s="47" t="str">
        <f aca="false">IF(OR(Tasks[[#This Row],[Task Name]]="",Tasks[[#This Row],[Baseline Duration]]=""),"",Tasks[[#This Row],[_SpanDays]]-N(Tasks[[#This Row],[Baseline Duration]]))</f>
        <v/>
      </c>
      <c r="BL61" s="86" t="str">
        <f aca="false">IF(OR(Tasks[[#This Row],[Task Name]]="",Tasks[[#This Row],[Baseline Work]]=""),"",Tasks[[#This Row],[Work]]-N(Tasks[[#This Row],[Baseline Work]]))</f>
        <v/>
      </c>
      <c r="BM61" s="63" t="str">
        <f aca="false">IF(Tasks[[#This Row],[Task Name]]="","",IF(OR(TakeBaseline="Yes",N(Tasks[[#This Row],[Baseline Start]])=0),Tasks[[#This Row],[Start]],Tasks[[#This Row],[Baseline Start]]))</f>
        <v/>
      </c>
      <c r="BN61" s="63" t="str">
        <f aca="false">IF(Tasks[[#This Row],[Task Name]]="","",IF(OR(TakeBaseline="Yes",N(Tasks[[#This Row],[Baseline Finish]])=0),Tasks[[#This Row],[Finish]],Tasks[[#This Row],[Baseline Finish]]))</f>
        <v/>
      </c>
      <c r="BO61" s="21" t="str">
        <f aca="false">IF(Tasks[[#This Row],[Task Name]]="","",IF(OR(TakeBaseline="Yes",N(Tasks[[#This Row],[Baseline Duration]])=0),Tasks[[#This Row],[_SpanDays]],Tasks[[#This Row],[Baseline Duration]]))</f>
        <v/>
      </c>
      <c r="BP61" s="86" t="str">
        <f aca="false">IF(Tasks[[#This Row],[Task Name]]="","",IF(OR(TakeBaseline="Yes",N(Tasks[[#This Row],[Baseline Work]])=0),Tasks[[#This Row],[Work]],Tasks[[#This Row],[Baseline Work]]))</f>
        <v/>
      </c>
      <c r="BQ61" s="7"/>
      <c r="BR61" s="7"/>
      <c r="BS61" s="22"/>
      <c r="BT61" s="88"/>
      <c r="BU61" s="23"/>
      <c r="BV61" s="23"/>
      <c r="BW61" s="23"/>
      <c r="BX61" s="89" t="str">
        <f aca="false">IF(AND(Tasks[[#This Row],[_IsLeaf]]=1,ISNUMBER(Tasks[[#This Row],[Optimistic]]),ISNUMBER(Tasks[[#This Row],[Pessimistic]])),ROUND((Tasks[[#This Row],[Optimistic]]+4*N(Tasks[[#This Row],[_Days]])+Tasks[[#This Row],[Pessimistic]])/6,1),"")</f>
        <v/>
      </c>
      <c r="BY61" s="87"/>
      <c r="BZ61" s="87"/>
      <c r="CA61" s="22"/>
      <c r="CB61" s="43" t="str">
        <f aca="false">IF(Tasks[[#This Row],[Task Name]]="","",MAX(1,N(Tasks[[#This Row],[Level]])))</f>
        <v/>
      </c>
      <c r="CC61" s="43" t="n">
        <f aca="false">ROW()-ROW(Tasks[[#Headers],[ID]])</f>
        <v>56</v>
      </c>
      <c r="CD61" s="43" t="n">
        <f aca="false">IF(OR(Tasks[[#This Row],[Task Name]]="",Tasks[[#This Row],[_Level]]&lt;=1),0,IFERROR(LOOKUP(2,1/(Tasks[[#Headers],[_Level]]:Tasks[[#This Row],[_Level]]=Tasks[[#This Row],[_Level]]-1),ROW(Tasks[[#Headers],[_Level]]:Tasks[[#This Row],[_Level]])),0))</f>
        <v>0</v>
      </c>
      <c r="CE61" s="43" t="n">
        <f aca="false">IFERROR(N(INDEX(Tasks[_Level],Tasks[[#This Row],[_Row]]+1)),0)</f>
        <v>0</v>
      </c>
      <c r="CF61" s="90" t="b">
        <f aca="false">AND(Tasks[[#This Row],[Task Name]]&lt;&gt;"",Tasks[[#This Row],[_NextLevel]]&gt;Tasks[[#This Row],[_Level]])</f>
        <v>0</v>
      </c>
      <c r="CG61" s="43" t="n">
        <f aca="false">IF(Tasks[[#This Row],[_IsSummary]],COUNTIF(Tasks[WBS],Tasks[[#This Row],[WBS]]&amp;".*"),0)</f>
        <v>0</v>
      </c>
      <c r="CH61" s="43" t="n">
        <f aca="false">IF(AND(Tasks[[#This Row],[Task Name]]&lt;&gt;"",NOT(Tasks[[#This Row],[_IsSummary]])),1,0)</f>
        <v>0</v>
      </c>
      <c r="CI61" s="43" t="n">
        <f aca="false">IF(N(Tasks[[#This Row],[_Pred1UID]])=0,0,IFERROR(MATCH(Tasks[[#This Row],[_Pred1UID]],Tasks[UID],0),-1))</f>
        <v>0</v>
      </c>
      <c r="CJ61" s="43" t="n">
        <f aca="false">IF(N(Tasks[[#This Row],[_Pred2UID]])=0,0,IFERROR(MATCH(Tasks[[#This Row],[_Pred2UID]],Tasks[UID],0),-1))</f>
        <v>0</v>
      </c>
      <c r="CK61" s="43" t="n">
        <f aca="false">IF(N(Tasks[[#This Row],[_Pred3UID]])=0,0,IFERROR(MATCH(Tasks[[#This Row],[_Pred3UID]],Tasks[UID],0),-1))</f>
        <v>0</v>
      </c>
      <c r="CL61" s="43" t="n">
        <f aca="false">IF(N(Tasks[[#This Row],[_Pred4UID]])=0,0,IFERROR(MATCH(Tasks[[#This Row],[_Pred4UID]],Tasks[UID],0),-1))</f>
        <v>0</v>
      </c>
      <c r="CM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1" s="91" t="n">
        <f aca="false">IF(OR(Tasks[[#This Row],[_ConstraintCode]]=2,Tasks[[#This Row],[_ConstraintCode]]=3,Tasks[[#This Row],[_ConstraintCode]]=4,Tasks[[#This Row],[_ConstraintCode]]=6),Tasks[[#This Row],[_ConstraintStart]],0)</f>
        <v>0</v>
      </c>
      <c r="CP61" s="91" t="n">
        <f aca="false">IF(OR(Tasks[[#This Row],[_ConstraintCode]]=2,Tasks[[#This Row],[_ConstraintCode]]=3,Tasks[[#This Row],[_ConstraintCode]]=5,Tasks[[#This Row],[_ConstraintCode]]=7),Tasks[[#This Row],[_ConstraintStart]],2958465)</f>
        <v>2958465</v>
      </c>
      <c r="CQ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91" t="str">
        <f aca="false">IF(NOT(Tasks[[#This Row],[_IsLeaf]]=1),"",IF(N(Tasks[[#This Row],[_Days]])&lt;=0,Tasks[[#This Row],[_LeafCalcStart]],WORKDAY.INTL(Tasks[[#This Row],[_LeafCalcStart]],Tasks[[#This Row],[_Days]]-1,WorkWeek,Holidays)))</f>
        <v/>
      </c>
      <c r="CS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3" t="str">
        <f aca="false">IF(Tasks[[#This Row],[_Predecessors]]="","",TRIM(MID(SUBSTITUTE(SUBSTITUTE(SUBSTITUTE(UPPER(Tasks[[#This Row],[_Predecessors]]),";",",")," ",""),",",REPT(" ",99)),1,99)))</f>
        <v/>
      </c>
      <c r="CV61" s="43" t="str">
        <f aca="false">IF(Tasks[[#This Row],[_Pred1Text]]="","",IFERROR(VALUE(LEFT(Tasks[[#This Row],[_Pred1Text]],MIN(FIND("F",Tasks[[#This Row],[_Pred1Text]]&amp;"F"),FIND("S",Tasks[[#This Row],[_Pred1Text]]&amp;"S"),FIND("+",Tasks[[#This Row],[_Pred1Text]]&amp;"+"),FIND("-",Tasks[[#This Row],[_Pred1Text]]&amp;"-"))-1)),""))</f>
        <v/>
      </c>
      <c r="CW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3" t="str">
        <f aca="false">IF(Tasks[[#This Row],[_Pred1Text]]="","",TRIM(MID(SUBSTITUTE(SUBSTITUTE(SUBSTITUTE(UPPER(Tasks[[#This Row],[_Predecessors]]),";",",")," ",""),",",REPT(" ",99)),100,99)))</f>
        <v/>
      </c>
      <c r="CZ61" s="43" t="str">
        <f aca="false">IF(Tasks[[#This Row],[_Pred2Text]]="","",IFERROR(VALUE(LEFT(Tasks[[#This Row],[_Pred2Text]],MIN(FIND("F",Tasks[[#This Row],[_Pred2Text]]&amp;"F"),FIND("S",Tasks[[#This Row],[_Pred2Text]]&amp;"S"),FIND("+",Tasks[[#This Row],[_Pred2Text]]&amp;"+"),FIND("-",Tasks[[#This Row],[_Pred2Text]]&amp;"-"))-1)),""))</f>
        <v/>
      </c>
      <c r="DA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3" t="str">
        <f aca="false">IF(Tasks[[#This Row],[_Pred2Text]]="","",TRIM(MID(SUBSTITUTE(SUBSTITUTE(SUBSTITUTE(UPPER(Tasks[[#This Row],[_Predecessors]]),";",",")," ",""),",",REPT(" ",99)),199,99)))</f>
        <v/>
      </c>
      <c r="DD61" s="43" t="str">
        <f aca="false">IF(Tasks[[#This Row],[_Pred3Text]]="","",IFERROR(VALUE(LEFT(Tasks[[#This Row],[_Pred3Text]],MIN(FIND("F",Tasks[[#This Row],[_Pred3Text]]&amp;"F"),FIND("S",Tasks[[#This Row],[_Pred3Text]]&amp;"S"),FIND("+",Tasks[[#This Row],[_Pred3Text]]&amp;"+"),FIND("-",Tasks[[#This Row],[_Pred3Text]]&amp;"-"))-1)),""))</f>
        <v/>
      </c>
      <c r="DE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3" t="str">
        <f aca="false">IF(Tasks[[#This Row],[_Pred3Text]]="","",TRIM(MID(SUBSTITUTE(SUBSTITUTE(SUBSTITUTE(UPPER(Tasks[[#This Row],[_Predecessors]]),";",",")," ",""),",",REPT(" ",99)),298,99)))</f>
        <v/>
      </c>
      <c r="DH61" s="43" t="str">
        <f aca="false">IF(Tasks[[#This Row],[_Pred4Text]]="","",IFERROR(VALUE(LEFT(Tasks[[#This Row],[_Pred4Text]],MIN(FIND("F",Tasks[[#This Row],[_Pred4Text]]&amp;"F"),FIND("S",Tasks[[#This Row],[_Pred4Text]]&amp;"S"),FIND("+",Tasks[[#This Row],[_Pred4Text]]&amp;"+"),FIND("-",Tasks[[#This Row],[_Pred4Text]]&amp;"-"))-1)),""))</f>
        <v/>
      </c>
      <c r="DI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3" t="str">
        <f aca="false">IF(OR(Tasks[[#This Row],[Task Name]]="",Tasks[[#This Row],[_Resources]]=""),"",TRIM(MID(SUBSTITUTE(Tasks[[#This Row],[_Resources]],",",REPT(" ",99)),1,99)))</f>
        <v/>
      </c>
      <c r="DL61" s="43" t="str">
        <f aca="false">IF(Tasks[[#This Row],[_Res1Text]]="","",TRIM(MID(SUBSTITUTE(Tasks[[#This Row],[_Resources]],",",REPT(" ",99)),100,99)))</f>
        <v/>
      </c>
      <c r="DM61" s="43" t="str">
        <f aca="false">IF(Tasks[[#This Row],[_Res2Text]]="","",TRIM(MID(SUBSTITUTE(Tasks[[#This Row],[_Resources]],",",REPT(" ",99)),199,99)))</f>
        <v/>
      </c>
      <c r="DN61" s="43" t="str">
        <f aca="false">IF(Tasks[[#This Row],[_Res3Text]]="","",TRIM(MID(SUBSTITUTE(Tasks[[#This Row],[_Resources]],",",REPT(" ",99)),298,99)))</f>
        <v/>
      </c>
      <c r="DO61" s="43" t="n">
        <f aca="false">IF(Tasks[[#This Row],[_Res1Text]]="",0,IFERROR(MATCH(TRIM(LEFT(Tasks[[#This Row],[_Res1Text]],FIND("[",Tasks[[#This Row],[_Res1Text]]&amp;"[")-1)),res_Name,0),IFERROR(MATCH(TRIM(LEFT(Tasks[[#This Row],[_Res1Text]],FIND("[",Tasks[[#This Row],[_Res1Text]]&amp;"[")-1)),res_Initials,0),0)))</f>
        <v>0</v>
      </c>
      <c r="DP61" s="43" t="n">
        <f aca="false">IF(Tasks[[#This Row],[_Res2Text]]="",0,IFERROR(MATCH(TRIM(LEFT(Tasks[[#This Row],[_Res2Text]],FIND("[",Tasks[[#This Row],[_Res2Text]]&amp;"[")-1)),res_Name,0),IFERROR(MATCH(TRIM(LEFT(Tasks[[#This Row],[_Res2Text]],FIND("[",Tasks[[#This Row],[_Res2Text]]&amp;"[")-1)),res_Initials,0),0)))</f>
        <v>0</v>
      </c>
      <c r="DQ61" s="43" t="n">
        <f aca="false">IF(Tasks[[#This Row],[_Res3Text]]="",0,IFERROR(MATCH(TRIM(LEFT(Tasks[[#This Row],[_Res3Text]],FIND("[",Tasks[[#This Row],[_Res3Text]]&amp;"[")-1)),res_Name,0),IFERROR(MATCH(TRIM(LEFT(Tasks[[#This Row],[_Res3Text]],FIND("[",Tasks[[#This Row],[_Res3Text]]&amp;"[")-1)),res_Initials,0),0)))</f>
        <v>0</v>
      </c>
      <c r="DR61" s="43" t="n">
        <f aca="false">IF(Tasks[[#This Row],[_Res4Text]]="",0,IFERROR(MATCH(TRIM(LEFT(Tasks[[#This Row],[_Res4Text]],FIND("[",Tasks[[#This Row],[_Res4Text]]&amp;"[")-1)),res_Name,0),IFERROR(MATCH(TRIM(LEFT(Tasks[[#This Row],[_Res4Text]],FIND("[",Tasks[[#This Row],[_Res4Text]]&amp;"[")-1)),res_Initials,0),0)))</f>
        <v>0</v>
      </c>
      <c r="DS61" s="43" t="str">
        <f aca="false">IF(Tasks[[#This Row],[_Res1Text]]="","",IF(Tasks[[#This Row],[_Res1Row]]&gt;0,INDEX(res_Name,Tasks[[#This Row],[_Res1Row]]),TRIM(LEFT(Tasks[[#This Row],[_Res1Text]],FIND("[",Tasks[[#This Row],[_Res1Text]]&amp;"[")-1))))</f>
        <v/>
      </c>
      <c r="DT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3" t="n">
        <f aca="false">IF(NOT(Tasks[[#This Row],[_IsLeaf]]=1),0,(Tasks[[#This Row],[_Resource1]]&lt;&gt;"")+(Tasks[[#This Row],[_Res2]]&lt;&gt;"")+(Tasks[[#This Row],[_Res3]]&lt;&gt;"")+(Tasks[[#This Row],[_Res4]]&lt;&gt;""))</f>
        <v>0</v>
      </c>
      <c r="DV61" s="43" t="str">
        <f aca="false">IF(Tasks[[#This Row],[_Res2Text]]="","",IF(Tasks[[#This Row],[_Res2Row]]&gt;0,INDEX(res_Name,Tasks[[#This Row],[_Res2Row]]),TRIM(LEFT(Tasks[[#This Row],[_Res2Text]],FIND("[",Tasks[[#This Row],[_Res2Text]]&amp;"[")-1))))</f>
        <v/>
      </c>
      <c r="DW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3" t="n">
        <f aca="false">IF(OR(NOT(Tasks[[#This Row],[_IsLeaf]]=1),Tasks[[#This Row],[_Res2Row]]=0),0,N(Tasks[[#This Row],[_Days]])*HoursPerDay*IF(Tasks[[#This Row],[_Res2Units]]="",DefaultUnits,Tasks[[#This Row],[_Res2Units]]))</f>
        <v>0</v>
      </c>
      <c r="DY61" s="43" t="n">
        <f aca="false">IF(AND(AND(Tasks[[#This Row],[_IsLeaf]]=1,Tasks[[#This Row],[_LeafTotalWork]]&gt;0),Tasks[[#This Row],[_Res2Work]]&gt;0),Tasks[[#This Row],[_Res2Work]]/(Tasks[[#This Row],[_FinishWorkday]]-Tasks[[#This Row],[_StartWorkday]]+1),0)</f>
        <v>0</v>
      </c>
      <c r="DZ61" s="43" t="n">
        <f aca="false">Tasks[[#This Row],[_Res2WorkPerWD]]*MAX(0,Tasks[[#This Row],[_StartWorkday]]-1)</f>
        <v>0</v>
      </c>
      <c r="EA61" s="43" t="n">
        <f aca="false">Tasks[[#This Row],[_Res2Work]]*Tasks[[#This Row],[_LeafProgress]]</f>
        <v>0</v>
      </c>
      <c r="EB61" s="43" t="str">
        <f aca="false">IF(Tasks[[#This Row],[_Res3Text]]="","",IF(Tasks[[#This Row],[_Res3Row]]&gt;0,INDEX(res_Name,Tasks[[#This Row],[_Res3Row]]),TRIM(LEFT(Tasks[[#This Row],[_Res3Text]],FIND("[",Tasks[[#This Row],[_Res3Text]]&amp;"[")-1))))</f>
        <v/>
      </c>
      <c r="EC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3" t="n">
        <f aca="false">IF(OR(NOT(Tasks[[#This Row],[_IsLeaf]]=1),Tasks[[#This Row],[_Res3Row]]=0),0,N(Tasks[[#This Row],[_Days]])*HoursPerDay*IF(Tasks[[#This Row],[_Res3Units]]="",DefaultUnits,Tasks[[#This Row],[_Res3Units]]))</f>
        <v>0</v>
      </c>
      <c r="EE61" s="43" t="n">
        <f aca="false">IF(AND(AND(Tasks[[#This Row],[_IsLeaf]]=1,Tasks[[#This Row],[_LeafTotalWork]]&gt;0),Tasks[[#This Row],[_Res3Work]]&gt;0),Tasks[[#This Row],[_Res3Work]]/(Tasks[[#This Row],[_FinishWorkday]]-Tasks[[#This Row],[_StartWorkday]]+1),0)</f>
        <v>0</v>
      </c>
      <c r="EF61" s="43" t="n">
        <f aca="false">Tasks[[#This Row],[_Res3WorkPerWD]]*MAX(0,Tasks[[#This Row],[_StartWorkday]]-1)</f>
        <v>0</v>
      </c>
      <c r="EG61" s="43" t="n">
        <f aca="false">Tasks[[#This Row],[_Res3Work]]*Tasks[[#This Row],[_LeafProgress]]</f>
        <v>0</v>
      </c>
      <c r="EH61" s="43" t="str">
        <f aca="false">IF(Tasks[[#This Row],[_Res4Text]]="","",IF(Tasks[[#This Row],[_Res4Row]]&gt;0,INDEX(res_Name,Tasks[[#This Row],[_Res4Row]]),TRIM(LEFT(Tasks[[#This Row],[_Res4Text]],FIND("[",Tasks[[#This Row],[_Res4Text]]&amp;"[")-1))))</f>
        <v/>
      </c>
      <c r="EI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3" t="n">
        <f aca="false">IF(OR(NOT(Tasks[[#This Row],[_IsLeaf]]=1),Tasks[[#This Row],[_Res4Row]]=0),0,N(Tasks[[#This Row],[_Days]])*HoursPerDay*IF(Tasks[[#This Row],[_Res4Units]]="",DefaultUnits,Tasks[[#This Row],[_Res4Units]]))</f>
        <v>0</v>
      </c>
      <c r="EK61" s="43" t="n">
        <f aca="false">IF(AND(AND(Tasks[[#This Row],[_IsLeaf]]=1,Tasks[[#This Row],[_LeafTotalWork]]&gt;0),Tasks[[#This Row],[_Res4Work]]&gt;0),Tasks[[#This Row],[_Res4Work]]/(Tasks[[#This Row],[_FinishWorkday]]-Tasks[[#This Row],[_StartWorkday]]+1),0)</f>
        <v>0</v>
      </c>
      <c r="EL61" s="43" t="n">
        <f aca="false">Tasks[[#This Row],[_Res4WorkPerWD]]*MAX(0,Tasks[[#This Row],[_StartWorkday]]-1)</f>
        <v>0</v>
      </c>
      <c r="EM61" s="43" t="n">
        <f aca="false">Tasks[[#This Row],[_Res4Work]]*Tasks[[#This Row],[_LeafProgress]]</f>
        <v>0</v>
      </c>
      <c r="EN61" s="43" t="n">
        <f aca="false">IF(ISNUMBER(Tasks[[#This Row],[% Complete]]),Tasks[[#This Row],[% Complete]],IF(Tasks[[#This Row],[Stage]]="",0,IFERROR(INDEX(stg_Pct,MATCH(Tasks[[#This Row],[Stage]],stg_Name,0)),0)))</f>
        <v>0</v>
      </c>
      <c r="EO61" s="43" t="n">
        <f aca="false">IF(NOT(Tasks[[#This Row],[_IsLeaf]]=1),0,IF(N(Tasks[[#This Row],[Actual Finish]])&gt;0,1,MIN(1,Tasks[[#This Row],[_Pct]])))</f>
        <v>0</v>
      </c>
      <c r="EP61" s="43" t="n">
        <f aca="false">IF(OR(NOT(Tasks[[#This Row],[_IsLeaf]]=1),Tasks[[#This Row],[_Res1Row]]=0),0,N(Tasks[[#This Row],[_Days]])*HoursPerDay*IF(Tasks[[#This Row],[_Units1]]="",DefaultUnits,Tasks[[#This Row],[_Units1]]))</f>
        <v>0</v>
      </c>
      <c r="EQ61" s="43" t="n">
        <f aca="false">Tasks[[#This Row],[_LeafWork]]+Tasks[[#This Row],[_Res2Work]]+Tasks[[#This Row],[_Res3Work]]+Tasks[[#This Row],[_Res4Work]]</f>
        <v>0</v>
      </c>
      <c r="ER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3" t="n">
        <f aca="false">IF(NOT(Tasks[[#This Row],[_IsLeaf]]=1),0,MAX(_xlfn.MAXIFS(Tasks[_Row],Tasks[_Pred1UID],Tasks[[#This Row],[UID]]),_xlfn.MAXIFS(Tasks[_Row],Tasks[_Pred2UID],Tasks[[#This Row],[UID]]),_xlfn.MAXIFS(Tasks[_Row],Tasks[_Pred3UID],Tasks[[#This Row],[UID]]),_xlfn.MAXIFS(Tasks[_Row],Tasks[_Pred4UID],Tasks[[#This Row],[UID]])))</f>
        <v>0</v>
      </c>
      <c r="FA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91" t="str">
        <f aca="false">IF(NOT(Tasks[[#This Row],[_IsLeaf]]=1),"",IF(N(Tasks[[#This Row],[_Days]])&lt;=0,Tasks[[#This Row],[_LeafLateFinish]],WORKDAY.INTL(Tasks[[#This Row],[_LeafLateFinish]],-(Tasks[[#This Row],[_Days]]-1),WorkWeek,Holidays)))</f>
        <v/>
      </c>
      <c r="FD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1" s="90" t="b">
        <f aca="false">AND(Tasks[[#This Row],[_IsLeaf]]=1,Tasks[[#This Row],[_LeafProgress]]&lt;1,N(Tasks[[#This Row],[_LeafTotalSlack]])&lt;=CriticalSlackDays)</f>
        <v>0</v>
      </c>
      <c r="FF61" s="43" t="n">
        <f aca="false">IF(AND(Tasks[[#This Row],[_IsLeaf]]=1,Tasks[[#This Row],[_ConstraintCode]]=1,Tasks[[#This Row],[Mode]]&lt;&gt;"Manual",N(Tasks[[#This Row],[Actual Start]])=0),MAX(0,N(Tasks[[#This Row],[Free Slack]])),0)</f>
        <v>0</v>
      </c>
      <c r="FG61" s="91" t="str">
        <f aca="false">IF(NOT(Tasks[[#This Row],[_IsLeaf]]=1),"",IF(Tasks[[#This Row],[_AlapShift]]=0,Tasks[[#This Row],[_LeafCalcStart]],WORKDAY.INTL(Tasks[[#This Row],[_LeafCalcStart]],Tasks[[#This Row],[_AlapShift]],WorkWeek,Holidays)))</f>
        <v/>
      </c>
      <c r="FH61" s="91" t="str">
        <f aca="false">IF(NOT(Tasks[[#This Row],[_IsLeaf]]=1),"",IF(Tasks[[#This Row],[_AlapShift]]=0,Tasks[[#This Row],[_LeafCalcFinish]],WORKDAY.INTL(Tasks[[#This Row],[_LeafCalcFinish]],Tasks[[#This Row],[_AlapShift]],WorkWeek,Holidays)))</f>
        <v/>
      </c>
      <c r="FI61" s="91" t="str">
        <f aca="false">IF(NOT(Tasks[[#This Row],[_IsLeaf]]=1),"",IF(Tasks[[#This Row],[_AlapShift]]=0,Tasks[[#This Row],[_LeafFcstStart]],WORKDAY.INTL(Tasks[[#This Row],[_LeafFcstStart]],Tasks[[#This Row],[_AlapShift]],WorkWeek,Holidays)))</f>
        <v/>
      </c>
      <c r="FJ61" s="91" t="str">
        <f aca="false">IF(NOT(Tasks[[#This Row],[_IsLeaf]]=1),"",IF(Tasks[[#This Row],[_AlapShift]]=0,Tasks[[#This Row],[_LeafFcstFinish]],WORKDAY.INTL(Tasks[[#This Row],[_LeafFcstFinish]],Tasks[[#This Row],[_AlapShift]],WorkWeek,Holidays)))</f>
        <v/>
      </c>
      <c r="FK61" s="91" t="str">
        <f aca="false">IF(Tasks[[#This Row],[Task Name]]="","",IF(Tasks[[#This Row],[_IsSummary]],MIN(INDEX(Tasks[_ShownCalcStart],Tasks[[#This Row],[_Row]]+1):INDEX(Tasks[_ShownCalcStart],Tasks[[#This Row],[_Row]]+Tasks[[#This Row],[_Descendants]])),Tasks[[#This Row],[_ShownCalcStart]]))</f>
        <v/>
      </c>
      <c r="FL61" s="91" t="str">
        <f aca="false">IF(Tasks[[#This Row],[Task Name]]="","",IF(Tasks[[#This Row],[_IsSummary]],MAX(INDEX(Tasks[_ShownCalcFinish],Tasks[[#This Row],[_Row]]+1):INDEX(Tasks[_ShownCalcFinish],Tasks[[#This Row],[_Row]]+Tasks[[#This Row],[_Descendants]])),Tasks[[#This Row],[_ShownCalcFinish]]))</f>
        <v/>
      </c>
      <c r="FM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1" s="43" t="n">
        <f aca="false">IF(AND(Tasks[[#This Row],[_IsLeaf]]=1,Tasks[[#This Row],[_LeafTotalWork]]&gt;0),NETWORKDAYS.INTL(ProjectStart,Tasks[[#This Row],[_ShownFcstStart]],WorkWeek,Holidays),0)</f>
        <v>0</v>
      </c>
      <c r="FZ61" s="43" t="n">
        <f aca="false">IF(AND(Tasks[[#This Row],[_IsLeaf]]=1,Tasks[[#This Row],[_LeafTotalWork]]&gt;0),MAX(Tasks[[#This Row],[_StartWorkday]],NETWORKDAYS.INTL(ProjectStart,Tasks[[#This Row],[_ShownFcstFinish]],WorkWeek,Holidays)),0)</f>
        <v>0</v>
      </c>
      <c r="GA61" s="43" t="n">
        <f aca="false">IF(AND(Tasks[[#This Row],[_IsLeaf]]=1,Tasks[[#This Row],[_LeafTotalWork]]&gt;0),Tasks[[#This Row],[_LeafWork]]/(Tasks[[#This Row],[_FinishWorkday]]-Tasks[[#This Row],[_StartWorkday]]+1),0)</f>
        <v>0</v>
      </c>
      <c r="GB61" s="43" t="n">
        <f aca="false">Tasks[[#This Row],[_WorkPerWorkday]]*(Tasks[[#This Row],[_StartWorkday]]-1)</f>
        <v>-0</v>
      </c>
      <c r="GC61" s="43" t="n">
        <f aca="false">IF(Tasks[[#This Row],[_IsLeaf]]=1,MAX(N(Tasks[[#This Row],[_Days]]),0.1),0)</f>
        <v>0</v>
      </c>
      <c r="GD61" s="43" t="n">
        <f aca="false">Tasks[[#This Row],[_WeightDur]]*Tasks[[#This Row],[_LeafProgress]]</f>
        <v>0</v>
      </c>
      <c r="GE61" s="43" t="n">
        <f aca="false">Tasks[[#This Row],[_WeightDur]]*Tasks[[#This Row],[_PlannedPct]]</f>
        <v>0</v>
      </c>
      <c r="GF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3" t="str">
        <f aca="false">IF(AND(Tasks[[#This Row],[_IsLeaf]]=1,N(Tasks[[#This Row],[_Days]])=0,Tasks[[#This Row],[_LeafProgress]]&lt;1),Tasks[[#This Row],[_ShownFcstFinish]]+Tasks[[#This Row],[_Row]]/100000,"")</f>
        <v/>
      </c>
      <c r="GH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1" s="43" t="str">
        <f aca="false">IF(Tasks[[#This Row],[Task Name]]="","",LEFT(Tasks[[#This Row],[WBS]],FIND(".",Tasks[[#This Row],[WBS]]&amp;".")-1))</f>
        <v/>
      </c>
      <c r="GJ61" s="43" t="str">
        <f aca="false">IF(AND(Tasks[[#This Row],[Task Name]]&lt;&gt;"",Tasks[[#This Row],[_Level]]=1),Tasks[[#This Row],[_Row]],"")</f>
        <v/>
      </c>
      <c r="GK61" s="43" t="str">
        <f aca="false">IF(AND(Tasks[[#This Row],[_IsLeaf]]=1,N(Tasks[[#This Row],[_Days]])=0),Tasks[[#This Row],[Planned Finish]]+Tasks[[#This Row],[_Row]]/100000,"")</f>
        <v/>
      </c>
      <c r="GL61" s="43" t="str">
        <f aca="false">IF(AND(Tasks[[#This Row],[_IsLeaf]]=1,Tasks[[#This Row],[_LeafProgress]]&lt;1,OR(N(Tasks[[#This Row],[Finish Var]])&gt;0,Tasks[[#This Row],[Status]]="Late Start")),MAX(0,Tasks[[#This Row],[Finish Var]])+1-Tasks[[#This Row],[_Row]]/1000000,"")</f>
        <v/>
      </c>
      <c r="GM61" s="43" t="str">
        <f aca="false">IF(AND(Tasks[[#This Row],[_IsLeaf]]=1,N(Tasks[[#This Row],[Actual Start]])=0,Tasks[[#This Row],[_ShownFcstStart]]&gt;=StatusDate,Tasks[[#This Row],[_ShownFcstStart]]&lt;=LookaheadEnd),Tasks[[#This Row],[_ShownFcstStart]]+Tasks[[#This Row],[_Row]]/100000,"")</f>
        <v/>
      </c>
      <c r="GN61" s="43" t="str">
        <f aca="false">IF(AND(Tasks[[#This Row],[_IsLeaf]]=1,Tasks[[#This Row],[_LeafProgress]]&lt;1,Tasks[[#This Row],[_ShownFcstFinish]]&gt;=StatusDate,Tasks[[#This Row],[_ShownFcstFinish]]&lt;=LookaheadEnd),Tasks[[#This Row],[_ShownFcstFinish]]+Tasks[[#This Row],[_Row]]/100000,"")</f>
        <v/>
      </c>
      <c r="GO61" s="43" t="str">
        <f aca="false">IF(Tasks[[#This Row],[_LeafCritical]],Tasks[[#This Row],[_ShownFcstStart]]+Tasks[[#This Row],[_Row]]/100000,"")</f>
        <v/>
      </c>
      <c r="GP61" s="43" t="n">
        <f aca="false">Tasks[[#This Row],[_LeafWork]]*Tasks[[#This Row],[_LeafProgress]]</f>
        <v>0</v>
      </c>
      <c r="GQ61" s="91" t="str">
        <f aca="false">IF(AND(Tasks[[#This Row],[_IsLeaf]]=1,Tasks[[#This Row],[_LeafProgress]]&gt;=1),IF(N(Tasks[[#This Row],[Actual Finish]])&gt;0,Tasks[[#This Row],[Actual Finish]],Tasks[[#This Row],[_ShownFcstFinish]]),"")</f>
        <v/>
      </c>
      <c r="GR61" s="43" t="n">
        <f aca="false">IF(Tasks[[#This Row],[_IsLeaf]]=1,N(Tasks[[#This Row],[Story Points]]),0)</f>
        <v>0</v>
      </c>
      <c r="GS61" s="43" t="str">
        <f aca="false">""</f>
        <v/>
      </c>
      <c r="GT61" s="90" t="b">
        <f aca="false">IF(Tasks[[#This Row],[Task Name]]="",FALSE(),AND(Tasks[[#This Row],[_IsLeaf]]=1,N(Tasks[[#This Row],[_Days]])=0))</f>
        <v>0</v>
      </c>
      <c r="GU61" s="91" t="n">
        <f aca="false">IF(Tasks[[#This Row],[Task Name]]="",0,IF(AND(Tasks[[#This Row],[_IsLeaf]]=1,NOT(Tasks[[#This Row],[_IsMilestone]]),N(Tasks[[#This Row],[Progress]])&gt;0),Tasks[[#This Row],[Start]],0))</f>
        <v>0</v>
      </c>
      <c r="GV61" s="91" t="n">
        <f aca="false">IF(Tasks[[#This Row],[_DoneFrom]]=0,0,IF(Tasks[[#This Row],[Progress]]&gt;=1,Tasks[[#This Row],[Finish]],MAX(Tasks[[#This Row],[_DoneFrom]],Tasks[[#This Row],[Start]]+ROUND((Tasks[[#This Row],[Finish]]-Tasks[[#This Row],[Start]]+1)*Tasks[[#This Row],[Progress]],0)-1)))</f>
        <v>0</v>
      </c>
      <c r="GW61" s="91" t="n">
        <f aca="false">IF(Tasks[[#This Row],[Task Name]]="",0,IF(OR(NOT(Tasks[[#This Row],[_IsLeaf]]=1),Tasks[[#This Row],[_IsMilestone]],N(Tasks[[#This Row],[Progress]])&gt;=1),0,IF(Tasks[[#This Row],[_DoneTo]]&gt;0,Tasks[[#This Row],[_DoneTo]]+1,Tasks[[#This Row],[Start]])))</f>
        <v>0</v>
      </c>
      <c r="GX61" s="91" t="n">
        <f aca="false">IF(Tasks[[#This Row],[_RemFrom]]=0,0,Tasks[[#This Row],[Finish]])</f>
        <v>0</v>
      </c>
      <c r="GY61" s="90" t="b">
        <f aca="false">IF(Tasks[[#This Row],[Task Name]]="",FALSE(),OR(NOT(BaselineSet),N(Tasks[[#This Row],[Baseline Start]])&gt;0))</f>
        <v>0</v>
      </c>
      <c r="GZ6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92" t="str">
        <f aca="false">IF(Tasks[[#This Row],[_IsLeaf]]=1,Tasks[[#This Row],[_Row]],"")</f>
        <v/>
      </c>
      <c r="HD61" s="92" t="str">
        <f aca="false">IFERROR(INDEX(Tasks[UID],SMALL(Tasks[_PickKey],Tasks[[#This Row],[_Row]]))&amp;" "&amp;INDEX(Tasks[Task Name],SMALL(Tasks[_PickKey],Tasks[[#This Row],[_Row]])),"")</f>
        <v/>
      </c>
      <c r="HE61" s="43" t="str">
        <f aca="false">IF(Tasks[[#This Row],[Task Name]]="","",IF(Tasks[[#This Row],[_IsSummary]],NETWORKDAYS.INTL(Tasks[[#This Row],[Start]],Tasks[[#This Row],[Finish]],WorkWeek,Holidays),N(Tasks[[#This Row],[_Days]])))</f>
        <v/>
      </c>
      <c r="HF61" s="43" t="n">
        <f aca="false">IF(Tasks[[#This Row],[Expected]]="",0,((Tasks[[#This Row],[Pessimistic]]-Tasks[[#This Row],[Optimistic]])/6)^2)</f>
        <v>0</v>
      </c>
      <c r="HG61" s="43" t="n">
        <f aca="false">IF(Tasks[[#This Row],[Expected]]="",0,Tasks[[#This Row],[Expected]]-N(Tasks[[#This Row],[_Days]]))</f>
        <v>0</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4"/>
      <c r="U62" s="23"/>
      <c r="V62" s="84"/>
      <c r="W62" s="23"/>
      <c r="X62" s="84"/>
      <c r="Y62" s="23"/>
      <c r="Z62" s="84"/>
      <c r="AA62" s="23"/>
      <c r="AB62" s="23"/>
      <c r="AC62" s="7"/>
      <c r="AD62" s="7"/>
      <c r="AE62" s="63" t="str">
        <f aca="false">IF(Tasks[[#This Row],[Task Name]]="","",IF(Tasks[[#This Row],[_IsSummary]],MIN(INDEX(Tasks[_ShownFcstStart],Tasks[[#This Row],[_Row]]+1):INDEX(Tasks[_ShownFcstStart],Tasks[[#This Row],[_Row]]+Tasks[[#This Row],[_Descendants]])),Tasks[[#This Row],[_ShownFcstStart]]))</f>
        <v/>
      </c>
      <c r="AF62" s="63"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2" s="7"/>
      <c r="AK62" s="22"/>
      <c r="AL62" s="23"/>
      <c r="AM62" s="7"/>
      <c r="AN62" s="47"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3" t="str">
        <f aca="false">IF(Tasks[[#This Row],[Task Name]]="","",IF(N(Tasks[[#This Row],[Baseline Start]])&gt;0,Tasks[[#This Row],[Baseline Start]],Tasks[[#This Row],[_CalcStart]]))</f>
        <v/>
      </c>
      <c r="AR62" s="63" t="str">
        <f aca="false">IF(Tasks[[#This Row],[Task Name]]="","",IF(N(Tasks[[#This Row],[Baseline Finish]])&gt;0,Tasks[[#This Row],[Baseline Finish]],Tasks[[#This Row],[_CalcFinish]]))</f>
        <v/>
      </c>
      <c r="AS62" s="47" t="str">
        <f aca="false">IF(Tasks[[#This Row],[Task Name]]="","",IF(Tasks[[#This Row],[Start]]&gt;=Tasks[[#This Row],[Planned Start]],NETWORKDAYS.INTL(Tasks[[#This Row],[Planned Start]],Tasks[[#This Row],[Start]],WorkWeek,Holidays)-1,1-NETWORKDAYS.INTL(Tasks[[#This Row],[Start]],Tasks[[#This Row],[Planned Start]],WorkWeek,Holidays)))</f>
        <v/>
      </c>
      <c r="AT62" s="63" t="str">
        <f aca="false">IF(Tasks[[#This Row],[Task Name]]="","",IF(Tasks[[#This Row],[_IsSummary]],MIN(INDEX(Tasks[_LeafLateStart],Tasks[[#This Row],[_Row]]+1):INDEX(Tasks[_LeafLateStart],Tasks[[#This Row],[_Row]]+Tasks[[#This Row],[_Descendants]])),Tasks[[#This Row],[_LeafLateStart]]))</f>
        <v/>
      </c>
      <c r="AU62" s="63" t="str">
        <f aca="false">IF(Tasks[[#This Row],[Task Name]]="","",IF(Tasks[[#This Row],[_IsSummary]],MAX(INDEX(Tasks[_LeafLateFinish],Tasks[[#This Row],[_Row]]+1):INDEX(Tasks[_LeafLateFinish],Tasks[[#This Row],[_Row]]+Tasks[[#This Row],[_Descendants]])),Tasks[[#This Row],[_LeafLateFinish]]))</f>
        <v/>
      </c>
      <c r="AV62" s="47"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5"/>
      <c r="BA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6"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7"/>
      <c r="BJ62" s="22"/>
      <c r="BK62" s="47" t="str">
        <f aca="false">IF(OR(Tasks[[#This Row],[Task Name]]="",Tasks[[#This Row],[Baseline Duration]]=""),"",Tasks[[#This Row],[_SpanDays]]-N(Tasks[[#This Row],[Baseline Duration]]))</f>
        <v/>
      </c>
      <c r="BL62" s="86" t="str">
        <f aca="false">IF(OR(Tasks[[#This Row],[Task Name]]="",Tasks[[#This Row],[Baseline Work]]=""),"",Tasks[[#This Row],[Work]]-N(Tasks[[#This Row],[Baseline Work]]))</f>
        <v/>
      </c>
      <c r="BM62" s="63" t="str">
        <f aca="false">IF(Tasks[[#This Row],[Task Name]]="","",IF(OR(TakeBaseline="Yes",N(Tasks[[#This Row],[Baseline Start]])=0),Tasks[[#This Row],[Start]],Tasks[[#This Row],[Baseline Start]]))</f>
        <v/>
      </c>
      <c r="BN62" s="63" t="str">
        <f aca="false">IF(Tasks[[#This Row],[Task Name]]="","",IF(OR(TakeBaseline="Yes",N(Tasks[[#This Row],[Baseline Finish]])=0),Tasks[[#This Row],[Finish]],Tasks[[#This Row],[Baseline Finish]]))</f>
        <v/>
      </c>
      <c r="BO62" s="21" t="str">
        <f aca="false">IF(Tasks[[#This Row],[Task Name]]="","",IF(OR(TakeBaseline="Yes",N(Tasks[[#This Row],[Baseline Duration]])=0),Tasks[[#This Row],[_SpanDays]],Tasks[[#This Row],[Baseline Duration]]))</f>
        <v/>
      </c>
      <c r="BP62" s="86" t="str">
        <f aca="false">IF(Tasks[[#This Row],[Task Name]]="","",IF(OR(TakeBaseline="Yes",N(Tasks[[#This Row],[Baseline Work]])=0),Tasks[[#This Row],[Work]],Tasks[[#This Row],[Baseline Work]]))</f>
        <v/>
      </c>
      <c r="BQ62" s="7"/>
      <c r="BR62" s="7"/>
      <c r="BS62" s="22"/>
      <c r="BT62" s="88"/>
      <c r="BU62" s="23"/>
      <c r="BV62" s="23"/>
      <c r="BW62" s="23"/>
      <c r="BX62" s="89" t="str">
        <f aca="false">IF(AND(Tasks[[#This Row],[_IsLeaf]]=1,ISNUMBER(Tasks[[#This Row],[Optimistic]]),ISNUMBER(Tasks[[#This Row],[Pessimistic]])),ROUND((Tasks[[#This Row],[Optimistic]]+4*N(Tasks[[#This Row],[_Days]])+Tasks[[#This Row],[Pessimistic]])/6,1),"")</f>
        <v/>
      </c>
      <c r="BY62" s="87"/>
      <c r="BZ62" s="87"/>
      <c r="CA62" s="22"/>
      <c r="CB62" s="43" t="str">
        <f aca="false">IF(Tasks[[#This Row],[Task Name]]="","",MAX(1,N(Tasks[[#This Row],[Level]])))</f>
        <v/>
      </c>
      <c r="CC62" s="43" t="n">
        <f aca="false">ROW()-ROW(Tasks[[#Headers],[ID]])</f>
        <v>57</v>
      </c>
      <c r="CD62" s="43" t="n">
        <f aca="false">IF(OR(Tasks[[#This Row],[Task Name]]="",Tasks[[#This Row],[_Level]]&lt;=1),0,IFERROR(LOOKUP(2,1/(Tasks[[#Headers],[_Level]]:Tasks[[#This Row],[_Level]]=Tasks[[#This Row],[_Level]]-1),ROW(Tasks[[#Headers],[_Level]]:Tasks[[#This Row],[_Level]])),0))</f>
        <v>0</v>
      </c>
      <c r="CE62" s="43" t="n">
        <f aca="false">IFERROR(N(INDEX(Tasks[_Level],Tasks[[#This Row],[_Row]]+1)),0)</f>
        <v>0</v>
      </c>
      <c r="CF62" s="90" t="b">
        <f aca="false">AND(Tasks[[#This Row],[Task Name]]&lt;&gt;"",Tasks[[#This Row],[_NextLevel]]&gt;Tasks[[#This Row],[_Level]])</f>
        <v>0</v>
      </c>
      <c r="CG62" s="43" t="n">
        <f aca="false">IF(Tasks[[#This Row],[_IsSummary]],COUNTIF(Tasks[WBS],Tasks[[#This Row],[WBS]]&amp;".*"),0)</f>
        <v>0</v>
      </c>
      <c r="CH62" s="43" t="n">
        <f aca="false">IF(AND(Tasks[[#This Row],[Task Name]]&lt;&gt;"",NOT(Tasks[[#This Row],[_IsSummary]])),1,0)</f>
        <v>0</v>
      </c>
      <c r="CI62" s="43" t="n">
        <f aca="false">IF(N(Tasks[[#This Row],[_Pred1UID]])=0,0,IFERROR(MATCH(Tasks[[#This Row],[_Pred1UID]],Tasks[UID],0),-1))</f>
        <v>0</v>
      </c>
      <c r="CJ62" s="43" t="n">
        <f aca="false">IF(N(Tasks[[#This Row],[_Pred2UID]])=0,0,IFERROR(MATCH(Tasks[[#This Row],[_Pred2UID]],Tasks[UID],0),-1))</f>
        <v>0</v>
      </c>
      <c r="CK62" s="43" t="n">
        <f aca="false">IF(N(Tasks[[#This Row],[_Pred3UID]])=0,0,IFERROR(MATCH(Tasks[[#This Row],[_Pred3UID]],Tasks[UID],0),-1))</f>
        <v>0</v>
      </c>
      <c r="CL62" s="43" t="n">
        <f aca="false">IF(N(Tasks[[#This Row],[_Pred4UID]])=0,0,IFERROR(MATCH(Tasks[[#This Row],[_Pred4UID]],Tasks[UID],0),-1))</f>
        <v>0</v>
      </c>
      <c r="CM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2" s="91" t="n">
        <f aca="false">IF(OR(Tasks[[#This Row],[_ConstraintCode]]=2,Tasks[[#This Row],[_ConstraintCode]]=3,Tasks[[#This Row],[_ConstraintCode]]=4,Tasks[[#This Row],[_ConstraintCode]]=6),Tasks[[#This Row],[_ConstraintStart]],0)</f>
        <v>0</v>
      </c>
      <c r="CP62" s="91" t="n">
        <f aca="false">IF(OR(Tasks[[#This Row],[_ConstraintCode]]=2,Tasks[[#This Row],[_ConstraintCode]]=3,Tasks[[#This Row],[_ConstraintCode]]=5,Tasks[[#This Row],[_ConstraintCode]]=7),Tasks[[#This Row],[_ConstraintStart]],2958465)</f>
        <v>2958465</v>
      </c>
      <c r="CQ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91" t="str">
        <f aca="false">IF(NOT(Tasks[[#This Row],[_IsLeaf]]=1),"",IF(N(Tasks[[#This Row],[_Days]])&lt;=0,Tasks[[#This Row],[_LeafCalcStart]],WORKDAY.INTL(Tasks[[#This Row],[_LeafCalcStart]],Tasks[[#This Row],[_Days]]-1,WorkWeek,Holidays)))</f>
        <v/>
      </c>
      <c r="CS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3" t="str">
        <f aca="false">IF(Tasks[[#This Row],[_Predecessors]]="","",TRIM(MID(SUBSTITUTE(SUBSTITUTE(SUBSTITUTE(UPPER(Tasks[[#This Row],[_Predecessors]]),";",",")," ",""),",",REPT(" ",99)),1,99)))</f>
        <v/>
      </c>
      <c r="CV62" s="43" t="str">
        <f aca="false">IF(Tasks[[#This Row],[_Pred1Text]]="","",IFERROR(VALUE(LEFT(Tasks[[#This Row],[_Pred1Text]],MIN(FIND("F",Tasks[[#This Row],[_Pred1Text]]&amp;"F"),FIND("S",Tasks[[#This Row],[_Pred1Text]]&amp;"S"),FIND("+",Tasks[[#This Row],[_Pred1Text]]&amp;"+"),FIND("-",Tasks[[#This Row],[_Pred1Text]]&amp;"-"))-1)),""))</f>
        <v/>
      </c>
      <c r="CW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3" t="str">
        <f aca="false">IF(Tasks[[#This Row],[_Pred1Text]]="","",TRIM(MID(SUBSTITUTE(SUBSTITUTE(SUBSTITUTE(UPPER(Tasks[[#This Row],[_Predecessors]]),";",",")," ",""),",",REPT(" ",99)),100,99)))</f>
        <v/>
      </c>
      <c r="CZ62" s="43" t="str">
        <f aca="false">IF(Tasks[[#This Row],[_Pred2Text]]="","",IFERROR(VALUE(LEFT(Tasks[[#This Row],[_Pred2Text]],MIN(FIND("F",Tasks[[#This Row],[_Pred2Text]]&amp;"F"),FIND("S",Tasks[[#This Row],[_Pred2Text]]&amp;"S"),FIND("+",Tasks[[#This Row],[_Pred2Text]]&amp;"+"),FIND("-",Tasks[[#This Row],[_Pred2Text]]&amp;"-"))-1)),""))</f>
        <v/>
      </c>
      <c r="DA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3" t="str">
        <f aca="false">IF(Tasks[[#This Row],[_Pred2Text]]="","",TRIM(MID(SUBSTITUTE(SUBSTITUTE(SUBSTITUTE(UPPER(Tasks[[#This Row],[_Predecessors]]),";",",")," ",""),",",REPT(" ",99)),199,99)))</f>
        <v/>
      </c>
      <c r="DD62" s="43" t="str">
        <f aca="false">IF(Tasks[[#This Row],[_Pred3Text]]="","",IFERROR(VALUE(LEFT(Tasks[[#This Row],[_Pred3Text]],MIN(FIND("F",Tasks[[#This Row],[_Pred3Text]]&amp;"F"),FIND("S",Tasks[[#This Row],[_Pred3Text]]&amp;"S"),FIND("+",Tasks[[#This Row],[_Pred3Text]]&amp;"+"),FIND("-",Tasks[[#This Row],[_Pred3Text]]&amp;"-"))-1)),""))</f>
        <v/>
      </c>
      <c r="DE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3" t="str">
        <f aca="false">IF(Tasks[[#This Row],[_Pred3Text]]="","",TRIM(MID(SUBSTITUTE(SUBSTITUTE(SUBSTITUTE(UPPER(Tasks[[#This Row],[_Predecessors]]),";",",")," ",""),",",REPT(" ",99)),298,99)))</f>
        <v/>
      </c>
      <c r="DH62" s="43" t="str">
        <f aca="false">IF(Tasks[[#This Row],[_Pred4Text]]="","",IFERROR(VALUE(LEFT(Tasks[[#This Row],[_Pred4Text]],MIN(FIND("F",Tasks[[#This Row],[_Pred4Text]]&amp;"F"),FIND("S",Tasks[[#This Row],[_Pred4Text]]&amp;"S"),FIND("+",Tasks[[#This Row],[_Pred4Text]]&amp;"+"),FIND("-",Tasks[[#This Row],[_Pred4Text]]&amp;"-"))-1)),""))</f>
        <v/>
      </c>
      <c r="DI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3" t="str">
        <f aca="false">IF(OR(Tasks[[#This Row],[Task Name]]="",Tasks[[#This Row],[_Resources]]=""),"",TRIM(MID(SUBSTITUTE(Tasks[[#This Row],[_Resources]],",",REPT(" ",99)),1,99)))</f>
        <v/>
      </c>
      <c r="DL62" s="43" t="str">
        <f aca="false">IF(Tasks[[#This Row],[_Res1Text]]="","",TRIM(MID(SUBSTITUTE(Tasks[[#This Row],[_Resources]],",",REPT(" ",99)),100,99)))</f>
        <v/>
      </c>
      <c r="DM62" s="43" t="str">
        <f aca="false">IF(Tasks[[#This Row],[_Res2Text]]="","",TRIM(MID(SUBSTITUTE(Tasks[[#This Row],[_Resources]],",",REPT(" ",99)),199,99)))</f>
        <v/>
      </c>
      <c r="DN62" s="43" t="str">
        <f aca="false">IF(Tasks[[#This Row],[_Res3Text]]="","",TRIM(MID(SUBSTITUTE(Tasks[[#This Row],[_Resources]],",",REPT(" ",99)),298,99)))</f>
        <v/>
      </c>
      <c r="DO62" s="43" t="n">
        <f aca="false">IF(Tasks[[#This Row],[_Res1Text]]="",0,IFERROR(MATCH(TRIM(LEFT(Tasks[[#This Row],[_Res1Text]],FIND("[",Tasks[[#This Row],[_Res1Text]]&amp;"[")-1)),res_Name,0),IFERROR(MATCH(TRIM(LEFT(Tasks[[#This Row],[_Res1Text]],FIND("[",Tasks[[#This Row],[_Res1Text]]&amp;"[")-1)),res_Initials,0),0)))</f>
        <v>0</v>
      </c>
      <c r="DP62" s="43" t="n">
        <f aca="false">IF(Tasks[[#This Row],[_Res2Text]]="",0,IFERROR(MATCH(TRIM(LEFT(Tasks[[#This Row],[_Res2Text]],FIND("[",Tasks[[#This Row],[_Res2Text]]&amp;"[")-1)),res_Name,0),IFERROR(MATCH(TRIM(LEFT(Tasks[[#This Row],[_Res2Text]],FIND("[",Tasks[[#This Row],[_Res2Text]]&amp;"[")-1)),res_Initials,0),0)))</f>
        <v>0</v>
      </c>
      <c r="DQ62" s="43" t="n">
        <f aca="false">IF(Tasks[[#This Row],[_Res3Text]]="",0,IFERROR(MATCH(TRIM(LEFT(Tasks[[#This Row],[_Res3Text]],FIND("[",Tasks[[#This Row],[_Res3Text]]&amp;"[")-1)),res_Name,0),IFERROR(MATCH(TRIM(LEFT(Tasks[[#This Row],[_Res3Text]],FIND("[",Tasks[[#This Row],[_Res3Text]]&amp;"[")-1)),res_Initials,0),0)))</f>
        <v>0</v>
      </c>
      <c r="DR62" s="43" t="n">
        <f aca="false">IF(Tasks[[#This Row],[_Res4Text]]="",0,IFERROR(MATCH(TRIM(LEFT(Tasks[[#This Row],[_Res4Text]],FIND("[",Tasks[[#This Row],[_Res4Text]]&amp;"[")-1)),res_Name,0),IFERROR(MATCH(TRIM(LEFT(Tasks[[#This Row],[_Res4Text]],FIND("[",Tasks[[#This Row],[_Res4Text]]&amp;"[")-1)),res_Initials,0),0)))</f>
        <v>0</v>
      </c>
      <c r="DS62" s="43" t="str">
        <f aca="false">IF(Tasks[[#This Row],[_Res1Text]]="","",IF(Tasks[[#This Row],[_Res1Row]]&gt;0,INDEX(res_Name,Tasks[[#This Row],[_Res1Row]]),TRIM(LEFT(Tasks[[#This Row],[_Res1Text]],FIND("[",Tasks[[#This Row],[_Res1Text]]&amp;"[")-1))))</f>
        <v/>
      </c>
      <c r="DT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3" t="n">
        <f aca="false">IF(NOT(Tasks[[#This Row],[_IsLeaf]]=1),0,(Tasks[[#This Row],[_Resource1]]&lt;&gt;"")+(Tasks[[#This Row],[_Res2]]&lt;&gt;"")+(Tasks[[#This Row],[_Res3]]&lt;&gt;"")+(Tasks[[#This Row],[_Res4]]&lt;&gt;""))</f>
        <v>0</v>
      </c>
      <c r="DV62" s="43" t="str">
        <f aca="false">IF(Tasks[[#This Row],[_Res2Text]]="","",IF(Tasks[[#This Row],[_Res2Row]]&gt;0,INDEX(res_Name,Tasks[[#This Row],[_Res2Row]]),TRIM(LEFT(Tasks[[#This Row],[_Res2Text]],FIND("[",Tasks[[#This Row],[_Res2Text]]&amp;"[")-1))))</f>
        <v/>
      </c>
      <c r="DW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3" t="n">
        <f aca="false">IF(OR(NOT(Tasks[[#This Row],[_IsLeaf]]=1),Tasks[[#This Row],[_Res2Row]]=0),0,N(Tasks[[#This Row],[_Days]])*HoursPerDay*IF(Tasks[[#This Row],[_Res2Units]]="",DefaultUnits,Tasks[[#This Row],[_Res2Units]]))</f>
        <v>0</v>
      </c>
      <c r="DY62" s="43" t="n">
        <f aca="false">IF(AND(AND(Tasks[[#This Row],[_IsLeaf]]=1,Tasks[[#This Row],[_LeafTotalWork]]&gt;0),Tasks[[#This Row],[_Res2Work]]&gt;0),Tasks[[#This Row],[_Res2Work]]/(Tasks[[#This Row],[_FinishWorkday]]-Tasks[[#This Row],[_StartWorkday]]+1),0)</f>
        <v>0</v>
      </c>
      <c r="DZ62" s="43" t="n">
        <f aca="false">Tasks[[#This Row],[_Res2WorkPerWD]]*MAX(0,Tasks[[#This Row],[_StartWorkday]]-1)</f>
        <v>0</v>
      </c>
      <c r="EA62" s="43" t="n">
        <f aca="false">Tasks[[#This Row],[_Res2Work]]*Tasks[[#This Row],[_LeafProgress]]</f>
        <v>0</v>
      </c>
      <c r="EB62" s="43" t="str">
        <f aca="false">IF(Tasks[[#This Row],[_Res3Text]]="","",IF(Tasks[[#This Row],[_Res3Row]]&gt;0,INDEX(res_Name,Tasks[[#This Row],[_Res3Row]]),TRIM(LEFT(Tasks[[#This Row],[_Res3Text]],FIND("[",Tasks[[#This Row],[_Res3Text]]&amp;"[")-1))))</f>
        <v/>
      </c>
      <c r="EC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3" t="n">
        <f aca="false">IF(OR(NOT(Tasks[[#This Row],[_IsLeaf]]=1),Tasks[[#This Row],[_Res3Row]]=0),0,N(Tasks[[#This Row],[_Days]])*HoursPerDay*IF(Tasks[[#This Row],[_Res3Units]]="",DefaultUnits,Tasks[[#This Row],[_Res3Units]]))</f>
        <v>0</v>
      </c>
      <c r="EE62" s="43" t="n">
        <f aca="false">IF(AND(AND(Tasks[[#This Row],[_IsLeaf]]=1,Tasks[[#This Row],[_LeafTotalWork]]&gt;0),Tasks[[#This Row],[_Res3Work]]&gt;0),Tasks[[#This Row],[_Res3Work]]/(Tasks[[#This Row],[_FinishWorkday]]-Tasks[[#This Row],[_StartWorkday]]+1),0)</f>
        <v>0</v>
      </c>
      <c r="EF62" s="43" t="n">
        <f aca="false">Tasks[[#This Row],[_Res3WorkPerWD]]*MAX(0,Tasks[[#This Row],[_StartWorkday]]-1)</f>
        <v>0</v>
      </c>
      <c r="EG62" s="43" t="n">
        <f aca="false">Tasks[[#This Row],[_Res3Work]]*Tasks[[#This Row],[_LeafProgress]]</f>
        <v>0</v>
      </c>
      <c r="EH62" s="43" t="str">
        <f aca="false">IF(Tasks[[#This Row],[_Res4Text]]="","",IF(Tasks[[#This Row],[_Res4Row]]&gt;0,INDEX(res_Name,Tasks[[#This Row],[_Res4Row]]),TRIM(LEFT(Tasks[[#This Row],[_Res4Text]],FIND("[",Tasks[[#This Row],[_Res4Text]]&amp;"[")-1))))</f>
        <v/>
      </c>
      <c r="EI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3" t="n">
        <f aca="false">IF(OR(NOT(Tasks[[#This Row],[_IsLeaf]]=1),Tasks[[#This Row],[_Res4Row]]=0),0,N(Tasks[[#This Row],[_Days]])*HoursPerDay*IF(Tasks[[#This Row],[_Res4Units]]="",DefaultUnits,Tasks[[#This Row],[_Res4Units]]))</f>
        <v>0</v>
      </c>
      <c r="EK62" s="43" t="n">
        <f aca="false">IF(AND(AND(Tasks[[#This Row],[_IsLeaf]]=1,Tasks[[#This Row],[_LeafTotalWork]]&gt;0),Tasks[[#This Row],[_Res4Work]]&gt;0),Tasks[[#This Row],[_Res4Work]]/(Tasks[[#This Row],[_FinishWorkday]]-Tasks[[#This Row],[_StartWorkday]]+1),0)</f>
        <v>0</v>
      </c>
      <c r="EL62" s="43" t="n">
        <f aca="false">Tasks[[#This Row],[_Res4WorkPerWD]]*MAX(0,Tasks[[#This Row],[_StartWorkday]]-1)</f>
        <v>0</v>
      </c>
      <c r="EM62" s="43" t="n">
        <f aca="false">Tasks[[#This Row],[_Res4Work]]*Tasks[[#This Row],[_LeafProgress]]</f>
        <v>0</v>
      </c>
      <c r="EN62" s="43" t="n">
        <f aca="false">IF(ISNUMBER(Tasks[[#This Row],[% Complete]]),Tasks[[#This Row],[% Complete]],IF(Tasks[[#This Row],[Stage]]="",0,IFERROR(INDEX(stg_Pct,MATCH(Tasks[[#This Row],[Stage]],stg_Name,0)),0)))</f>
        <v>0</v>
      </c>
      <c r="EO62" s="43" t="n">
        <f aca="false">IF(NOT(Tasks[[#This Row],[_IsLeaf]]=1),0,IF(N(Tasks[[#This Row],[Actual Finish]])&gt;0,1,MIN(1,Tasks[[#This Row],[_Pct]])))</f>
        <v>0</v>
      </c>
      <c r="EP62" s="43" t="n">
        <f aca="false">IF(OR(NOT(Tasks[[#This Row],[_IsLeaf]]=1),Tasks[[#This Row],[_Res1Row]]=0),0,N(Tasks[[#This Row],[_Days]])*HoursPerDay*IF(Tasks[[#This Row],[_Units1]]="",DefaultUnits,Tasks[[#This Row],[_Units1]]))</f>
        <v>0</v>
      </c>
      <c r="EQ62" s="43" t="n">
        <f aca="false">Tasks[[#This Row],[_LeafWork]]+Tasks[[#This Row],[_Res2Work]]+Tasks[[#This Row],[_Res3Work]]+Tasks[[#This Row],[_Res4Work]]</f>
        <v>0</v>
      </c>
      <c r="ER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3" t="n">
        <f aca="false">IF(NOT(Tasks[[#This Row],[_IsLeaf]]=1),0,MAX(_xlfn.MAXIFS(Tasks[_Row],Tasks[_Pred1UID],Tasks[[#This Row],[UID]]),_xlfn.MAXIFS(Tasks[_Row],Tasks[_Pred2UID],Tasks[[#This Row],[UID]]),_xlfn.MAXIFS(Tasks[_Row],Tasks[_Pred3UID],Tasks[[#This Row],[UID]]),_xlfn.MAXIFS(Tasks[_Row],Tasks[_Pred4UID],Tasks[[#This Row],[UID]])))</f>
        <v>0</v>
      </c>
      <c r="FA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91" t="str">
        <f aca="false">IF(NOT(Tasks[[#This Row],[_IsLeaf]]=1),"",IF(N(Tasks[[#This Row],[_Days]])&lt;=0,Tasks[[#This Row],[_LeafLateFinish]],WORKDAY.INTL(Tasks[[#This Row],[_LeafLateFinish]],-(Tasks[[#This Row],[_Days]]-1),WorkWeek,Holidays)))</f>
        <v/>
      </c>
      <c r="FD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2" s="90" t="b">
        <f aca="false">AND(Tasks[[#This Row],[_IsLeaf]]=1,Tasks[[#This Row],[_LeafProgress]]&lt;1,N(Tasks[[#This Row],[_LeafTotalSlack]])&lt;=CriticalSlackDays)</f>
        <v>0</v>
      </c>
      <c r="FF62" s="43" t="n">
        <f aca="false">IF(AND(Tasks[[#This Row],[_IsLeaf]]=1,Tasks[[#This Row],[_ConstraintCode]]=1,Tasks[[#This Row],[Mode]]&lt;&gt;"Manual",N(Tasks[[#This Row],[Actual Start]])=0),MAX(0,N(Tasks[[#This Row],[Free Slack]])),0)</f>
        <v>0</v>
      </c>
      <c r="FG62" s="91" t="str">
        <f aca="false">IF(NOT(Tasks[[#This Row],[_IsLeaf]]=1),"",IF(Tasks[[#This Row],[_AlapShift]]=0,Tasks[[#This Row],[_LeafCalcStart]],WORKDAY.INTL(Tasks[[#This Row],[_LeafCalcStart]],Tasks[[#This Row],[_AlapShift]],WorkWeek,Holidays)))</f>
        <v/>
      </c>
      <c r="FH62" s="91" t="str">
        <f aca="false">IF(NOT(Tasks[[#This Row],[_IsLeaf]]=1),"",IF(Tasks[[#This Row],[_AlapShift]]=0,Tasks[[#This Row],[_LeafCalcFinish]],WORKDAY.INTL(Tasks[[#This Row],[_LeafCalcFinish]],Tasks[[#This Row],[_AlapShift]],WorkWeek,Holidays)))</f>
        <v/>
      </c>
      <c r="FI62" s="91" t="str">
        <f aca="false">IF(NOT(Tasks[[#This Row],[_IsLeaf]]=1),"",IF(Tasks[[#This Row],[_AlapShift]]=0,Tasks[[#This Row],[_LeafFcstStart]],WORKDAY.INTL(Tasks[[#This Row],[_LeafFcstStart]],Tasks[[#This Row],[_AlapShift]],WorkWeek,Holidays)))</f>
        <v/>
      </c>
      <c r="FJ62" s="91" t="str">
        <f aca="false">IF(NOT(Tasks[[#This Row],[_IsLeaf]]=1),"",IF(Tasks[[#This Row],[_AlapShift]]=0,Tasks[[#This Row],[_LeafFcstFinish]],WORKDAY.INTL(Tasks[[#This Row],[_LeafFcstFinish]],Tasks[[#This Row],[_AlapShift]],WorkWeek,Holidays)))</f>
        <v/>
      </c>
      <c r="FK62" s="91" t="str">
        <f aca="false">IF(Tasks[[#This Row],[Task Name]]="","",IF(Tasks[[#This Row],[_IsSummary]],MIN(INDEX(Tasks[_ShownCalcStart],Tasks[[#This Row],[_Row]]+1):INDEX(Tasks[_ShownCalcStart],Tasks[[#This Row],[_Row]]+Tasks[[#This Row],[_Descendants]])),Tasks[[#This Row],[_ShownCalcStart]]))</f>
        <v/>
      </c>
      <c r="FL62" s="91" t="str">
        <f aca="false">IF(Tasks[[#This Row],[Task Name]]="","",IF(Tasks[[#This Row],[_IsSummary]],MAX(INDEX(Tasks[_ShownCalcFinish],Tasks[[#This Row],[_Row]]+1):INDEX(Tasks[_ShownCalcFinish],Tasks[[#This Row],[_Row]]+Tasks[[#This Row],[_Descendants]])),Tasks[[#This Row],[_ShownCalcFinish]]))</f>
        <v/>
      </c>
      <c r="FM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2" s="43" t="n">
        <f aca="false">IF(AND(Tasks[[#This Row],[_IsLeaf]]=1,Tasks[[#This Row],[_LeafTotalWork]]&gt;0),NETWORKDAYS.INTL(ProjectStart,Tasks[[#This Row],[_ShownFcstStart]],WorkWeek,Holidays),0)</f>
        <v>0</v>
      </c>
      <c r="FZ62" s="43" t="n">
        <f aca="false">IF(AND(Tasks[[#This Row],[_IsLeaf]]=1,Tasks[[#This Row],[_LeafTotalWork]]&gt;0),MAX(Tasks[[#This Row],[_StartWorkday]],NETWORKDAYS.INTL(ProjectStart,Tasks[[#This Row],[_ShownFcstFinish]],WorkWeek,Holidays)),0)</f>
        <v>0</v>
      </c>
      <c r="GA62" s="43" t="n">
        <f aca="false">IF(AND(Tasks[[#This Row],[_IsLeaf]]=1,Tasks[[#This Row],[_LeafTotalWork]]&gt;0),Tasks[[#This Row],[_LeafWork]]/(Tasks[[#This Row],[_FinishWorkday]]-Tasks[[#This Row],[_StartWorkday]]+1),0)</f>
        <v>0</v>
      </c>
      <c r="GB62" s="43" t="n">
        <f aca="false">Tasks[[#This Row],[_WorkPerWorkday]]*(Tasks[[#This Row],[_StartWorkday]]-1)</f>
        <v>-0</v>
      </c>
      <c r="GC62" s="43" t="n">
        <f aca="false">IF(Tasks[[#This Row],[_IsLeaf]]=1,MAX(N(Tasks[[#This Row],[_Days]]),0.1),0)</f>
        <v>0</v>
      </c>
      <c r="GD62" s="43" t="n">
        <f aca="false">Tasks[[#This Row],[_WeightDur]]*Tasks[[#This Row],[_LeafProgress]]</f>
        <v>0</v>
      </c>
      <c r="GE62" s="43" t="n">
        <f aca="false">Tasks[[#This Row],[_WeightDur]]*Tasks[[#This Row],[_PlannedPct]]</f>
        <v>0</v>
      </c>
      <c r="GF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3" t="str">
        <f aca="false">IF(AND(Tasks[[#This Row],[_IsLeaf]]=1,N(Tasks[[#This Row],[_Days]])=0,Tasks[[#This Row],[_LeafProgress]]&lt;1),Tasks[[#This Row],[_ShownFcstFinish]]+Tasks[[#This Row],[_Row]]/100000,"")</f>
        <v/>
      </c>
      <c r="GH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2" s="43" t="str">
        <f aca="false">IF(Tasks[[#This Row],[Task Name]]="","",LEFT(Tasks[[#This Row],[WBS]],FIND(".",Tasks[[#This Row],[WBS]]&amp;".")-1))</f>
        <v/>
      </c>
      <c r="GJ62" s="43" t="str">
        <f aca="false">IF(AND(Tasks[[#This Row],[Task Name]]&lt;&gt;"",Tasks[[#This Row],[_Level]]=1),Tasks[[#This Row],[_Row]],"")</f>
        <v/>
      </c>
      <c r="GK62" s="43" t="str">
        <f aca="false">IF(AND(Tasks[[#This Row],[_IsLeaf]]=1,N(Tasks[[#This Row],[_Days]])=0),Tasks[[#This Row],[Planned Finish]]+Tasks[[#This Row],[_Row]]/100000,"")</f>
        <v/>
      </c>
      <c r="GL62" s="43" t="str">
        <f aca="false">IF(AND(Tasks[[#This Row],[_IsLeaf]]=1,Tasks[[#This Row],[_LeafProgress]]&lt;1,OR(N(Tasks[[#This Row],[Finish Var]])&gt;0,Tasks[[#This Row],[Status]]="Late Start")),MAX(0,Tasks[[#This Row],[Finish Var]])+1-Tasks[[#This Row],[_Row]]/1000000,"")</f>
        <v/>
      </c>
      <c r="GM62" s="43" t="str">
        <f aca="false">IF(AND(Tasks[[#This Row],[_IsLeaf]]=1,N(Tasks[[#This Row],[Actual Start]])=0,Tasks[[#This Row],[_ShownFcstStart]]&gt;=StatusDate,Tasks[[#This Row],[_ShownFcstStart]]&lt;=LookaheadEnd),Tasks[[#This Row],[_ShownFcstStart]]+Tasks[[#This Row],[_Row]]/100000,"")</f>
        <v/>
      </c>
      <c r="GN62" s="43" t="str">
        <f aca="false">IF(AND(Tasks[[#This Row],[_IsLeaf]]=1,Tasks[[#This Row],[_LeafProgress]]&lt;1,Tasks[[#This Row],[_ShownFcstFinish]]&gt;=StatusDate,Tasks[[#This Row],[_ShownFcstFinish]]&lt;=LookaheadEnd),Tasks[[#This Row],[_ShownFcstFinish]]+Tasks[[#This Row],[_Row]]/100000,"")</f>
        <v/>
      </c>
      <c r="GO62" s="43" t="str">
        <f aca="false">IF(Tasks[[#This Row],[_LeafCritical]],Tasks[[#This Row],[_ShownFcstStart]]+Tasks[[#This Row],[_Row]]/100000,"")</f>
        <v/>
      </c>
      <c r="GP62" s="43" t="n">
        <f aca="false">Tasks[[#This Row],[_LeafWork]]*Tasks[[#This Row],[_LeafProgress]]</f>
        <v>0</v>
      </c>
      <c r="GQ62" s="91" t="str">
        <f aca="false">IF(AND(Tasks[[#This Row],[_IsLeaf]]=1,Tasks[[#This Row],[_LeafProgress]]&gt;=1),IF(N(Tasks[[#This Row],[Actual Finish]])&gt;0,Tasks[[#This Row],[Actual Finish]],Tasks[[#This Row],[_ShownFcstFinish]]),"")</f>
        <v/>
      </c>
      <c r="GR62" s="43" t="n">
        <f aca="false">IF(Tasks[[#This Row],[_IsLeaf]]=1,N(Tasks[[#This Row],[Story Points]]),0)</f>
        <v>0</v>
      </c>
      <c r="GS62" s="43" t="str">
        <f aca="false">""</f>
        <v/>
      </c>
      <c r="GT62" s="90" t="b">
        <f aca="false">IF(Tasks[[#This Row],[Task Name]]="",FALSE(),AND(Tasks[[#This Row],[_IsLeaf]]=1,N(Tasks[[#This Row],[_Days]])=0))</f>
        <v>0</v>
      </c>
      <c r="GU62" s="91" t="n">
        <f aca="false">IF(Tasks[[#This Row],[Task Name]]="",0,IF(AND(Tasks[[#This Row],[_IsLeaf]]=1,NOT(Tasks[[#This Row],[_IsMilestone]]),N(Tasks[[#This Row],[Progress]])&gt;0),Tasks[[#This Row],[Start]],0))</f>
        <v>0</v>
      </c>
      <c r="GV62" s="91" t="n">
        <f aca="false">IF(Tasks[[#This Row],[_DoneFrom]]=0,0,IF(Tasks[[#This Row],[Progress]]&gt;=1,Tasks[[#This Row],[Finish]],MAX(Tasks[[#This Row],[_DoneFrom]],Tasks[[#This Row],[Start]]+ROUND((Tasks[[#This Row],[Finish]]-Tasks[[#This Row],[Start]]+1)*Tasks[[#This Row],[Progress]],0)-1)))</f>
        <v>0</v>
      </c>
      <c r="GW62" s="91" t="n">
        <f aca="false">IF(Tasks[[#This Row],[Task Name]]="",0,IF(OR(NOT(Tasks[[#This Row],[_IsLeaf]]=1),Tasks[[#This Row],[_IsMilestone]],N(Tasks[[#This Row],[Progress]])&gt;=1),0,IF(Tasks[[#This Row],[_DoneTo]]&gt;0,Tasks[[#This Row],[_DoneTo]]+1,Tasks[[#This Row],[Start]])))</f>
        <v>0</v>
      </c>
      <c r="GX62" s="91" t="n">
        <f aca="false">IF(Tasks[[#This Row],[_RemFrom]]=0,0,Tasks[[#This Row],[Finish]])</f>
        <v>0</v>
      </c>
      <c r="GY62" s="90" t="b">
        <f aca="false">IF(Tasks[[#This Row],[Task Name]]="",FALSE(),OR(NOT(BaselineSet),N(Tasks[[#This Row],[Baseline Start]])&gt;0))</f>
        <v>0</v>
      </c>
      <c r="GZ6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92" t="str">
        <f aca="false">IF(Tasks[[#This Row],[_IsLeaf]]=1,Tasks[[#This Row],[_Row]],"")</f>
        <v/>
      </c>
      <c r="HD62" s="92" t="str">
        <f aca="false">IFERROR(INDEX(Tasks[UID],SMALL(Tasks[_PickKey],Tasks[[#This Row],[_Row]]))&amp;" "&amp;INDEX(Tasks[Task Name],SMALL(Tasks[_PickKey],Tasks[[#This Row],[_Row]])),"")</f>
        <v/>
      </c>
      <c r="HE62" s="43" t="str">
        <f aca="false">IF(Tasks[[#This Row],[Task Name]]="","",IF(Tasks[[#This Row],[_IsSummary]],NETWORKDAYS.INTL(Tasks[[#This Row],[Start]],Tasks[[#This Row],[Finish]],WorkWeek,Holidays),N(Tasks[[#This Row],[_Days]])))</f>
        <v/>
      </c>
      <c r="HF62" s="43" t="n">
        <f aca="false">IF(Tasks[[#This Row],[Expected]]="",0,((Tasks[[#This Row],[Pessimistic]]-Tasks[[#This Row],[Optimistic]])/6)^2)</f>
        <v>0</v>
      </c>
      <c r="HG62" s="43" t="n">
        <f aca="false">IF(Tasks[[#This Row],[Expected]]="",0,Tasks[[#This Row],[Expected]]-N(Tasks[[#This Row],[_Days]]))</f>
        <v>0</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4"/>
      <c r="U63" s="23"/>
      <c r="V63" s="84"/>
      <c r="W63" s="23"/>
      <c r="X63" s="84"/>
      <c r="Y63" s="23"/>
      <c r="Z63" s="84"/>
      <c r="AA63" s="23"/>
      <c r="AB63" s="23"/>
      <c r="AC63" s="7"/>
      <c r="AD63" s="7"/>
      <c r="AE63" s="63" t="str">
        <f aca="false">IF(Tasks[[#This Row],[Task Name]]="","",IF(Tasks[[#This Row],[_IsSummary]],MIN(INDEX(Tasks[_ShownFcstStart],Tasks[[#This Row],[_Row]]+1):INDEX(Tasks[_ShownFcstStart],Tasks[[#This Row],[_Row]]+Tasks[[#This Row],[_Descendants]])),Tasks[[#This Row],[_ShownFcstStart]]))</f>
        <v/>
      </c>
      <c r="AF63" s="63"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3" s="7"/>
      <c r="AK63" s="22"/>
      <c r="AL63" s="23"/>
      <c r="AM63" s="7"/>
      <c r="AN63" s="47"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3" t="str">
        <f aca="false">IF(Tasks[[#This Row],[Task Name]]="","",IF(N(Tasks[[#This Row],[Baseline Start]])&gt;0,Tasks[[#This Row],[Baseline Start]],Tasks[[#This Row],[_CalcStart]]))</f>
        <v/>
      </c>
      <c r="AR63" s="63" t="str">
        <f aca="false">IF(Tasks[[#This Row],[Task Name]]="","",IF(N(Tasks[[#This Row],[Baseline Finish]])&gt;0,Tasks[[#This Row],[Baseline Finish]],Tasks[[#This Row],[_CalcFinish]]))</f>
        <v/>
      </c>
      <c r="AS63" s="47" t="str">
        <f aca="false">IF(Tasks[[#This Row],[Task Name]]="","",IF(Tasks[[#This Row],[Start]]&gt;=Tasks[[#This Row],[Planned Start]],NETWORKDAYS.INTL(Tasks[[#This Row],[Planned Start]],Tasks[[#This Row],[Start]],WorkWeek,Holidays)-1,1-NETWORKDAYS.INTL(Tasks[[#This Row],[Start]],Tasks[[#This Row],[Planned Start]],WorkWeek,Holidays)))</f>
        <v/>
      </c>
      <c r="AT63" s="63" t="str">
        <f aca="false">IF(Tasks[[#This Row],[Task Name]]="","",IF(Tasks[[#This Row],[_IsSummary]],MIN(INDEX(Tasks[_LeafLateStart],Tasks[[#This Row],[_Row]]+1):INDEX(Tasks[_LeafLateStart],Tasks[[#This Row],[_Row]]+Tasks[[#This Row],[_Descendants]])),Tasks[[#This Row],[_LeafLateStart]]))</f>
        <v/>
      </c>
      <c r="AU63" s="63" t="str">
        <f aca="false">IF(Tasks[[#This Row],[Task Name]]="","",IF(Tasks[[#This Row],[_IsSummary]],MAX(INDEX(Tasks[_LeafLateFinish],Tasks[[#This Row],[_Row]]+1):INDEX(Tasks[_LeafLateFinish],Tasks[[#This Row],[_Row]]+Tasks[[#This Row],[_Descendants]])),Tasks[[#This Row],[_LeafLateFinish]]))</f>
        <v/>
      </c>
      <c r="AV63" s="47"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5"/>
      <c r="BA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6"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7"/>
      <c r="BJ63" s="22"/>
      <c r="BK63" s="47" t="str">
        <f aca="false">IF(OR(Tasks[[#This Row],[Task Name]]="",Tasks[[#This Row],[Baseline Duration]]=""),"",Tasks[[#This Row],[_SpanDays]]-N(Tasks[[#This Row],[Baseline Duration]]))</f>
        <v/>
      </c>
      <c r="BL63" s="86" t="str">
        <f aca="false">IF(OR(Tasks[[#This Row],[Task Name]]="",Tasks[[#This Row],[Baseline Work]]=""),"",Tasks[[#This Row],[Work]]-N(Tasks[[#This Row],[Baseline Work]]))</f>
        <v/>
      </c>
      <c r="BM63" s="63" t="str">
        <f aca="false">IF(Tasks[[#This Row],[Task Name]]="","",IF(OR(TakeBaseline="Yes",N(Tasks[[#This Row],[Baseline Start]])=0),Tasks[[#This Row],[Start]],Tasks[[#This Row],[Baseline Start]]))</f>
        <v/>
      </c>
      <c r="BN63" s="63" t="str">
        <f aca="false">IF(Tasks[[#This Row],[Task Name]]="","",IF(OR(TakeBaseline="Yes",N(Tasks[[#This Row],[Baseline Finish]])=0),Tasks[[#This Row],[Finish]],Tasks[[#This Row],[Baseline Finish]]))</f>
        <v/>
      </c>
      <c r="BO63" s="21" t="str">
        <f aca="false">IF(Tasks[[#This Row],[Task Name]]="","",IF(OR(TakeBaseline="Yes",N(Tasks[[#This Row],[Baseline Duration]])=0),Tasks[[#This Row],[_SpanDays]],Tasks[[#This Row],[Baseline Duration]]))</f>
        <v/>
      </c>
      <c r="BP63" s="86" t="str">
        <f aca="false">IF(Tasks[[#This Row],[Task Name]]="","",IF(OR(TakeBaseline="Yes",N(Tasks[[#This Row],[Baseline Work]])=0),Tasks[[#This Row],[Work]],Tasks[[#This Row],[Baseline Work]]))</f>
        <v/>
      </c>
      <c r="BQ63" s="7"/>
      <c r="BR63" s="7"/>
      <c r="BS63" s="22"/>
      <c r="BT63" s="88"/>
      <c r="BU63" s="23"/>
      <c r="BV63" s="23"/>
      <c r="BW63" s="23"/>
      <c r="BX63" s="89" t="str">
        <f aca="false">IF(AND(Tasks[[#This Row],[_IsLeaf]]=1,ISNUMBER(Tasks[[#This Row],[Optimistic]]),ISNUMBER(Tasks[[#This Row],[Pessimistic]])),ROUND((Tasks[[#This Row],[Optimistic]]+4*N(Tasks[[#This Row],[_Days]])+Tasks[[#This Row],[Pessimistic]])/6,1),"")</f>
        <v/>
      </c>
      <c r="BY63" s="87"/>
      <c r="BZ63" s="87"/>
      <c r="CA63" s="22"/>
      <c r="CB63" s="43" t="str">
        <f aca="false">IF(Tasks[[#This Row],[Task Name]]="","",MAX(1,N(Tasks[[#This Row],[Level]])))</f>
        <v/>
      </c>
      <c r="CC63" s="43" t="n">
        <f aca="false">ROW()-ROW(Tasks[[#Headers],[ID]])</f>
        <v>58</v>
      </c>
      <c r="CD63" s="43" t="n">
        <f aca="false">IF(OR(Tasks[[#This Row],[Task Name]]="",Tasks[[#This Row],[_Level]]&lt;=1),0,IFERROR(LOOKUP(2,1/(Tasks[[#Headers],[_Level]]:Tasks[[#This Row],[_Level]]=Tasks[[#This Row],[_Level]]-1),ROW(Tasks[[#Headers],[_Level]]:Tasks[[#This Row],[_Level]])),0))</f>
        <v>0</v>
      </c>
      <c r="CE63" s="43" t="n">
        <f aca="false">IFERROR(N(INDEX(Tasks[_Level],Tasks[[#This Row],[_Row]]+1)),0)</f>
        <v>0</v>
      </c>
      <c r="CF63" s="90" t="b">
        <f aca="false">AND(Tasks[[#This Row],[Task Name]]&lt;&gt;"",Tasks[[#This Row],[_NextLevel]]&gt;Tasks[[#This Row],[_Level]])</f>
        <v>0</v>
      </c>
      <c r="CG63" s="43" t="n">
        <f aca="false">IF(Tasks[[#This Row],[_IsSummary]],COUNTIF(Tasks[WBS],Tasks[[#This Row],[WBS]]&amp;".*"),0)</f>
        <v>0</v>
      </c>
      <c r="CH63" s="43" t="n">
        <f aca="false">IF(AND(Tasks[[#This Row],[Task Name]]&lt;&gt;"",NOT(Tasks[[#This Row],[_IsSummary]])),1,0)</f>
        <v>0</v>
      </c>
      <c r="CI63" s="43" t="n">
        <f aca="false">IF(N(Tasks[[#This Row],[_Pred1UID]])=0,0,IFERROR(MATCH(Tasks[[#This Row],[_Pred1UID]],Tasks[UID],0),-1))</f>
        <v>0</v>
      </c>
      <c r="CJ63" s="43" t="n">
        <f aca="false">IF(N(Tasks[[#This Row],[_Pred2UID]])=0,0,IFERROR(MATCH(Tasks[[#This Row],[_Pred2UID]],Tasks[UID],0),-1))</f>
        <v>0</v>
      </c>
      <c r="CK63" s="43" t="n">
        <f aca="false">IF(N(Tasks[[#This Row],[_Pred3UID]])=0,0,IFERROR(MATCH(Tasks[[#This Row],[_Pred3UID]],Tasks[UID],0),-1))</f>
        <v>0</v>
      </c>
      <c r="CL63" s="43" t="n">
        <f aca="false">IF(N(Tasks[[#This Row],[_Pred4UID]])=0,0,IFERROR(MATCH(Tasks[[#This Row],[_Pred4UID]],Tasks[UID],0),-1))</f>
        <v>0</v>
      </c>
      <c r="CM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3" s="91" t="n">
        <f aca="false">IF(OR(Tasks[[#This Row],[_ConstraintCode]]=2,Tasks[[#This Row],[_ConstraintCode]]=3,Tasks[[#This Row],[_ConstraintCode]]=4,Tasks[[#This Row],[_ConstraintCode]]=6),Tasks[[#This Row],[_ConstraintStart]],0)</f>
        <v>0</v>
      </c>
      <c r="CP63" s="91" t="n">
        <f aca="false">IF(OR(Tasks[[#This Row],[_ConstraintCode]]=2,Tasks[[#This Row],[_ConstraintCode]]=3,Tasks[[#This Row],[_ConstraintCode]]=5,Tasks[[#This Row],[_ConstraintCode]]=7),Tasks[[#This Row],[_ConstraintStart]],2958465)</f>
        <v>2958465</v>
      </c>
      <c r="CQ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91" t="str">
        <f aca="false">IF(NOT(Tasks[[#This Row],[_IsLeaf]]=1),"",IF(N(Tasks[[#This Row],[_Days]])&lt;=0,Tasks[[#This Row],[_LeafCalcStart]],WORKDAY.INTL(Tasks[[#This Row],[_LeafCalcStart]],Tasks[[#This Row],[_Days]]-1,WorkWeek,Holidays)))</f>
        <v/>
      </c>
      <c r="CS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3" t="str">
        <f aca="false">IF(Tasks[[#This Row],[_Predecessors]]="","",TRIM(MID(SUBSTITUTE(SUBSTITUTE(SUBSTITUTE(UPPER(Tasks[[#This Row],[_Predecessors]]),";",",")," ",""),",",REPT(" ",99)),1,99)))</f>
        <v/>
      </c>
      <c r="CV63" s="43" t="str">
        <f aca="false">IF(Tasks[[#This Row],[_Pred1Text]]="","",IFERROR(VALUE(LEFT(Tasks[[#This Row],[_Pred1Text]],MIN(FIND("F",Tasks[[#This Row],[_Pred1Text]]&amp;"F"),FIND("S",Tasks[[#This Row],[_Pred1Text]]&amp;"S"),FIND("+",Tasks[[#This Row],[_Pred1Text]]&amp;"+"),FIND("-",Tasks[[#This Row],[_Pred1Text]]&amp;"-"))-1)),""))</f>
        <v/>
      </c>
      <c r="CW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3" t="str">
        <f aca="false">IF(Tasks[[#This Row],[_Pred1Text]]="","",TRIM(MID(SUBSTITUTE(SUBSTITUTE(SUBSTITUTE(UPPER(Tasks[[#This Row],[_Predecessors]]),";",",")," ",""),",",REPT(" ",99)),100,99)))</f>
        <v/>
      </c>
      <c r="CZ63" s="43" t="str">
        <f aca="false">IF(Tasks[[#This Row],[_Pred2Text]]="","",IFERROR(VALUE(LEFT(Tasks[[#This Row],[_Pred2Text]],MIN(FIND("F",Tasks[[#This Row],[_Pred2Text]]&amp;"F"),FIND("S",Tasks[[#This Row],[_Pred2Text]]&amp;"S"),FIND("+",Tasks[[#This Row],[_Pred2Text]]&amp;"+"),FIND("-",Tasks[[#This Row],[_Pred2Text]]&amp;"-"))-1)),""))</f>
        <v/>
      </c>
      <c r="DA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3" t="str">
        <f aca="false">IF(Tasks[[#This Row],[_Pred2Text]]="","",TRIM(MID(SUBSTITUTE(SUBSTITUTE(SUBSTITUTE(UPPER(Tasks[[#This Row],[_Predecessors]]),";",",")," ",""),",",REPT(" ",99)),199,99)))</f>
        <v/>
      </c>
      <c r="DD63" s="43" t="str">
        <f aca="false">IF(Tasks[[#This Row],[_Pred3Text]]="","",IFERROR(VALUE(LEFT(Tasks[[#This Row],[_Pred3Text]],MIN(FIND("F",Tasks[[#This Row],[_Pred3Text]]&amp;"F"),FIND("S",Tasks[[#This Row],[_Pred3Text]]&amp;"S"),FIND("+",Tasks[[#This Row],[_Pred3Text]]&amp;"+"),FIND("-",Tasks[[#This Row],[_Pred3Text]]&amp;"-"))-1)),""))</f>
        <v/>
      </c>
      <c r="DE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3" t="str">
        <f aca="false">IF(Tasks[[#This Row],[_Pred3Text]]="","",TRIM(MID(SUBSTITUTE(SUBSTITUTE(SUBSTITUTE(UPPER(Tasks[[#This Row],[_Predecessors]]),";",",")," ",""),",",REPT(" ",99)),298,99)))</f>
        <v/>
      </c>
      <c r="DH63" s="43" t="str">
        <f aca="false">IF(Tasks[[#This Row],[_Pred4Text]]="","",IFERROR(VALUE(LEFT(Tasks[[#This Row],[_Pred4Text]],MIN(FIND("F",Tasks[[#This Row],[_Pred4Text]]&amp;"F"),FIND("S",Tasks[[#This Row],[_Pred4Text]]&amp;"S"),FIND("+",Tasks[[#This Row],[_Pred4Text]]&amp;"+"),FIND("-",Tasks[[#This Row],[_Pred4Text]]&amp;"-"))-1)),""))</f>
        <v/>
      </c>
      <c r="DI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3" t="str">
        <f aca="false">IF(OR(Tasks[[#This Row],[Task Name]]="",Tasks[[#This Row],[_Resources]]=""),"",TRIM(MID(SUBSTITUTE(Tasks[[#This Row],[_Resources]],",",REPT(" ",99)),1,99)))</f>
        <v/>
      </c>
      <c r="DL63" s="43" t="str">
        <f aca="false">IF(Tasks[[#This Row],[_Res1Text]]="","",TRIM(MID(SUBSTITUTE(Tasks[[#This Row],[_Resources]],",",REPT(" ",99)),100,99)))</f>
        <v/>
      </c>
      <c r="DM63" s="43" t="str">
        <f aca="false">IF(Tasks[[#This Row],[_Res2Text]]="","",TRIM(MID(SUBSTITUTE(Tasks[[#This Row],[_Resources]],",",REPT(" ",99)),199,99)))</f>
        <v/>
      </c>
      <c r="DN63" s="43" t="str">
        <f aca="false">IF(Tasks[[#This Row],[_Res3Text]]="","",TRIM(MID(SUBSTITUTE(Tasks[[#This Row],[_Resources]],",",REPT(" ",99)),298,99)))</f>
        <v/>
      </c>
      <c r="DO63" s="43" t="n">
        <f aca="false">IF(Tasks[[#This Row],[_Res1Text]]="",0,IFERROR(MATCH(TRIM(LEFT(Tasks[[#This Row],[_Res1Text]],FIND("[",Tasks[[#This Row],[_Res1Text]]&amp;"[")-1)),res_Name,0),IFERROR(MATCH(TRIM(LEFT(Tasks[[#This Row],[_Res1Text]],FIND("[",Tasks[[#This Row],[_Res1Text]]&amp;"[")-1)),res_Initials,0),0)))</f>
        <v>0</v>
      </c>
      <c r="DP63" s="43" t="n">
        <f aca="false">IF(Tasks[[#This Row],[_Res2Text]]="",0,IFERROR(MATCH(TRIM(LEFT(Tasks[[#This Row],[_Res2Text]],FIND("[",Tasks[[#This Row],[_Res2Text]]&amp;"[")-1)),res_Name,0),IFERROR(MATCH(TRIM(LEFT(Tasks[[#This Row],[_Res2Text]],FIND("[",Tasks[[#This Row],[_Res2Text]]&amp;"[")-1)),res_Initials,0),0)))</f>
        <v>0</v>
      </c>
      <c r="DQ63" s="43" t="n">
        <f aca="false">IF(Tasks[[#This Row],[_Res3Text]]="",0,IFERROR(MATCH(TRIM(LEFT(Tasks[[#This Row],[_Res3Text]],FIND("[",Tasks[[#This Row],[_Res3Text]]&amp;"[")-1)),res_Name,0),IFERROR(MATCH(TRIM(LEFT(Tasks[[#This Row],[_Res3Text]],FIND("[",Tasks[[#This Row],[_Res3Text]]&amp;"[")-1)),res_Initials,0),0)))</f>
        <v>0</v>
      </c>
      <c r="DR63" s="43" t="n">
        <f aca="false">IF(Tasks[[#This Row],[_Res4Text]]="",0,IFERROR(MATCH(TRIM(LEFT(Tasks[[#This Row],[_Res4Text]],FIND("[",Tasks[[#This Row],[_Res4Text]]&amp;"[")-1)),res_Name,0),IFERROR(MATCH(TRIM(LEFT(Tasks[[#This Row],[_Res4Text]],FIND("[",Tasks[[#This Row],[_Res4Text]]&amp;"[")-1)),res_Initials,0),0)))</f>
        <v>0</v>
      </c>
      <c r="DS63" s="43" t="str">
        <f aca="false">IF(Tasks[[#This Row],[_Res1Text]]="","",IF(Tasks[[#This Row],[_Res1Row]]&gt;0,INDEX(res_Name,Tasks[[#This Row],[_Res1Row]]),TRIM(LEFT(Tasks[[#This Row],[_Res1Text]],FIND("[",Tasks[[#This Row],[_Res1Text]]&amp;"[")-1))))</f>
        <v/>
      </c>
      <c r="DT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3" t="n">
        <f aca="false">IF(NOT(Tasks[[#This Row],[_IsLeaf]]=1),0,(Tasks[[#This Row],[_Resource1]]&lt;&gt;"")+(Tasks[[#This Row],[_Res2]]&lt;&gt;"")+(Tasks[[#This Row],[_Res3]]&lt;&gt;"")+(Tasks[[#This Row],[_Res4]]&lt;&gt;""))</f>
        <v>0</v>
      </c>
      <c r="DV63" s="43" t="str">
        <f aca="false">IF(Tasks[[#This Row],[_Res2Text]]="","",IF(Tasks[[#This Row],[_Res2Row]]&gt;0,INDEX(res_Name,Tasks[[#This Row],[_Res2Row]]),TRIM(LEFT(Tasks[[#This Row],[_Res2Text]],FIND("[",Tasks[[#This Row],[_Res2Text]]&amp;"[")-1))))</f>
        <v/>
      </c>
      <c r="DW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3" t="n">
        <f aca="false">IF(OR(NOT(Tasks[[#This Row],[_IsLeaf]]=1),Tasks[[#This Row],[_Res2Row]]=0),0,N(Tasks[[#This Row],[_Days]])*HoursPerDay*IF(Tasks[[#This Row],[_Res2Units]]="",DefaultUnits,Tasks[[#This Row],[_Res2Units]]))</f>
        <v>0</v>
      </c>
      <c r="DY63" s="43" t="n">
        <f aca="false">IF(AND(AND(Tasks[[#This Row],[_IsLeaf]]=1,Tasks[[#This Row],[_LeafTotalWork]]&gt;0),Tasks[[#This Row],[_Res2Work]]&gt;0),Tasks[[#This Row],[_Res2Work]]/(Tasks[[#This Row],[_FinishWorkday]]-Tasks[[#This Row],[_StartWorkday]]+1),0)</f>
        <v>0</v>
      </c>
      <c r="DZ63" s="43" t="n">
        <f aca="false">Tasks[[#This Row],[_Res2WorkPerWD]]*MAX(0,Tasks[[#This Row],[_StartWorkday]]-1)</f>
        <v>0</v>
      </c>
      <c r="EA63" s="43" t="n">
        <f aca="false">Tasks[[#This Row],[_Res2Work]]*Tasks[[#This Row],[_LeafProgress]]</f>
        <v>0</v>
      </c>
      <c r="EB63" s="43" t="str">
        <f aca="false">IF(Tasks[[#This Row],[_Res3Text]]="","",IF(Tasks[[#This Row],[_Res3Row]]&gt;0,INDEX(res_Name,Tasks[[#This Row],[_Res3Row]]),TRIM(LEFT(Tasks[[#This Row],[_Res3Text]],FIND("[",Tasks[[#This Row],[_Res3Text]]&amp;"[")-1))))</f>
        <v/>
      </c>
      <c r="EC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3" t="n">
        <f aca="false">IF(OR(NOT(Tasks[[#This Row],[_IsLeaf]]=1),Tasks[[#This Row],[_Res3Row]]=0),0,N(Tasks[[#This Row],[_Days]])*HoursPerDay*IF(Tasks[[#This Row],[_Res3Units]]="",DefaultUnits,Tasks[[#This Row],[_Res3Units]]))</f>
        <v>0</v>
      </c>
      <c r="EE63" s="43" t="n">
        <f aca="false">IF(AND(AND(Tasks[[#This Row],[_IsLeaf]]=1,Tasks[[#This Row],[_LeafTotalWork]]&gt;0),Tasks[[#This Row],[_Res3Work]]&gt;0),Tasks[[#This Row],[_Res3Work]]/(Tasks[[#This Row],[_FinishWorkday]]-Tasks[[#This Row],[_StartWorkday]]+1),0)</f>
        <v>0</v>
      </c>
      <c r="EF63" s="43" t="n">
        <f aca="false">Tasks[[#This Row],[_Res3WorkPerWD]]*MAX(0,Tasks[[#This Row],[_StartWorkday]]-1)</f>
        <v>0</v>
      </c>
      <c r="EG63" s="43" t="n">
        <f aca="false">Tasks[[#This Row],[_Res3Work]]*Tasks[[#This Row],[_LeafProgress]]</f>
        <v>0</v>
      </c>
      <c r="EH63" s="43" t="str">
        <f aca="false">IF(Tasks[[#This Row],[_Res4Text]]="","",IF(Tasks[[#This Row],[_Res4Row]]&gt;0,INDEX(res_Name,Tasks[[#This Row],[_Res4Row]]),TRIM(LEFT(Tasks[[#This Row],[_Res4Text]],FIND("[",Tasks[[#This Row],[_Res4Text]]&amp;"[")-1))))</f>
        <v/>
      </c>
      <c r="EI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3" t="n">
        <f aca="false">IF(OR(NOT(Tasks[[#This Row],[_IsLeaf]]=1),Tasks[[#This Row],[_Res4Row]]=0),0,N(Tasks[[#This Row],[_Days]])*HoursPerDay*IF(Tasks[[#This Row],[_Res4Units]]="",DefaultUnits,Tasks[[#This Row],[_Res4Units]]))</f>
        <v>0</v>
      </c>
      <c r="EK63" s="43" t="n">
        <f aca="false">IF(AND(AND(Tasks[[#This Row],[_IsLeaf]]=1,Tasks[[#This Row],[_LeafTotalWork]]&gt;0),Tasks[[#This Row],[_Res4Work]]&gt;0),Tasks[[#This Row],[_Res4Work]]/(Tasks[[#This Row],[_FinishWorkday]]-Tasks[[#This Row],[_StartWorkday]]+1),0)</f>
        <v>0</v>
      </c>
      <c r="EL63" s="43" t="n">
        <f aca="false">Tasks[[#This Row],[_Res4WorkPerWD]]*MAX(0,Tasks[[#This Row],[_StartWorkday]]-1)</f>
        <v>0</v>
      </c>
      <c r="EM63" s="43" t="n">
        <f aca="false">Tasks[[#This Row],[_Res4Work]]*Tasks[[#This Row],[_LeafProgress]]</f>
        <v>0</v>
      </c>
      <c r="EN63" s="43" t="n">
        <f aca="false">IF(ISNUMBER(Tasks[[#This Row],[% Complete]]),Tasks[[#This Row],[% Complete]],IF(Tasks[[#This Row],[Stage]]="",0,IFERROR(INDEX(stg_Pct,MATCH(Tasks[[#This Row],[Stage]],stg_Name,0)),0)))</f>
        <v>0</v>
      </c>
      <c r="EO63" s="43" t="n">
        <f aca="false">IF(NOT(Tasks[[#This Row],[_IsLeaf]]=1),0,IF(N(Tasks[[#This Row],[Actual Finish]])&gt;0,1,MIN(1,Tasks[[#This Row],[_Pct]])))</f>
        <v>0</v>
      </c>
      <c r="EP63" s="43" t="n">
        <f aca="false">IF(OR(NOT(Tasks[[#This Row],[_IsLeaf]]=1),Tasks[[#This Row],[_Res1Row]]=0),0,N(Tasks[[#This Row],[_Days]])*HoursPerDay*IF(Tasks[[#This Row],[_Units1]]="",DefaultUnits,Tasks[[#This Row],[_Units1]]))</f>
        <v>0</v>
      </c>
      <c r="EQ63" s="43" t="n">
        <f aca="false">Tasks[[#This Row],[_LeafWork]]+Tasks[[#This Row],[_Res2Work]]+Tasks[[#This Row],[_Res3Work]]+Tasks[[#This Row],[_Res4Work]]</f>
        <v>0</v>
      </c>
      <c r="ER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3" t="n">
        <f aca="false">IF(NOT(Tasks[[#This Row],[_IsLeaf]]=1),0,MAX(_xlfn.MAXIFS(Tasks[_Row],Tasks[_Pred1UID],Tasks[[#This Row],[UID]]),_xlfn.MAXIFS(Tasks[_Row],Tasks[_Pred2UID],Tasks[[#This Row],[UID]]),_xlfn.MAXIFS(Tasks[_Row],Tasks[_Pred3UID],Tasks[[#This Row],[UID]]),_xlfn.MAXIFS(Tasks[_Row],Tasks[_Pred4UID],Tasks[[#This Row],[UID]])))</f>
        <v>0</v>
      </c>
      <c r="FA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91" t="str">
        <f aca="false">IF(NOT(Tasks[[#This Row],[_IsLeaf]]=1),"",IF(N(Tasks[[#This Row],[_Days]])&lt;=0,Tasks[[#This Row],[_LeafLateFinish]],WORKDAY.INTL(Tasks[[#This Row],[_LeafLateFinish]],-(Tasks[[#This Row],[_Days]]-1),WorkWeek,Holidays)))</f>
        <v/>
      </c>
      <c r="FD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3" s="90" t="b">
        <f aca="false">AND(Tasks[[#This Row],[_IsLeaf]]=1,Tasks[[#This Row],[_LeafProgress]]&lt;1,N(Tasks[[#This Row],[_LeafTotalSlack]])&lt;=CriticalSlackDays)</f>
        <v>0</v>
      </c>
      <c r="FF63" s="43" t="n">
        <f aca="false">IF(AND(Tasks[[#This Row],[_IsLeaf]]=1,Tasks[[#This Row],[_ConstraintCode]]=1,Tasks[[#This Row],[Mode]]&lt;&gt;"Manual",N(Tasks[[#This Row],[Actual Start]])=0),MAX(0,N(Tasks[[#This Row],[Free Slack]])),0)</f>
        <v>0</v>
      </c>
      <c r="FG63" s="91" t="str">
        <f aca="false">IF(NOT(Tasks[[#This Row],[_IsLeaf]]=1),"",IF(Tasks[[#This Row],[_AlapShift]]=0,Tasks[[#This Row],[_LeafCalcStart]],WORKDAY.INTL(Tasks[[#This Row],[_LeafCalcStart]],Tasks[[#This Row],[_AlapShift]],WorkWeek,Holidays)))</f>
        <v/>
      </c>
      <c r="FH63" s="91" t="str">
        <f aca="false">IF(NOT(Tasks[[#This Row],[_IsLeaf]]=1),"",IF(Tasks[[#This Row],[_AlapShift]]=0,Tasks[[#This Row],[_LeafCalcFinish]],WORKDAY.INTL(Tasks[[#This Row],[_LeafCalcFinish]],Tasks[[#This Row],[_AlapShift]],WorkWeek,Holidays)))</f>
        <v/>
      </c>
      <c r="FI63" s="91" t="str">
        <f aca="false">IF(NOT(Tasks[[#This Row],[_IsLeaf]]=1),"",IF(Tasks[[#This Row],[_AlapShift]]=0,Tasks[[#This Row],[_LeafFcstStart]],WORKDAY.INTL(Tasks[[#This Row],[_LeafFcstStart]],Tasks[[#This Row],[_AlapShift]],WorkWeek,Holidays)))</f>
        <v/>
      </c>
      <c r="FJ63" s="91" t="str">
        <f aca="false">IF(NOT(Tasks[[#This Row],[_IsLeaf]]=1),"",IF(Tasks[[#This Row],[_AlapShift]]=0,Tasks[[#This Row],[_LeafFcstFinish]],WORKDAY.INTL(Tasks[[#This Row],[_LeafFcstFinish]],Tasks[[#This Row],[_AlapShift]],WorkWeek,Holidays)))</f>
        <v/>
      </c>
      <c r="FK63" s="91" t="str">
        <f aca="false">IF(Tasks[[#This Row],[Task Name]]="","",IF(Tasks[[#This Row],[_IsSummary]],MIN(INDEX(Tasks[_ShownCalcStart],Tasks[[#This Row],[_Row]]+1):INDEX(Tasks[_ShownCalcStart],Tasks[[#This Row],[_Row]]+Tasks[[#This Row],[_Descendants]])),Tasks[[#This Row],[_ShownCalcStart]]))</f>
        <v/>
      </c>
      <c r="FL63" s="91" t="str">
        <f aca="false">IF(Tasks[[#This Row],[Task Name]]="","",IF(Tasks[[#This Row],[_IsSummary]],MAX(INDEX(Tasks[_ShownCalcFinish],Tasks[[#This Row],[_Row]]+1):INDEX(Tasks[_ShownCalcFinish],Tasks[[#This Row],[_Row]]+Tasks[[#This Row],[_Descendants]])),Tasks[[#This Row],[_ShownCalcFinish]]))</f>
        <v/>
      </c>
      <c r="FM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3" s="43" t="n">
        <f aca="false">IF(AND(Tasks[[#This Row],[_IsLeaf]]=1,Tasks[[#This Row],[_LeafTotalWork]]&gt;0),NETWORKDAYS.INTL(ProjectStart,Tasks[[#This Row],[_ShownFcstStart]],WorkWeek,Holidays),0)</f>
        <v>0</v>
      </c>
      <c r="FZ63" s="43" t="n">
        <f aca="false">IF(AND(Tasks[[#This Row],[_IsLeaf]]=1,Tasks[[#This Row],[_LeafTotalWork]]&gt;0),MAX(Tasks[[#This Row],[_StartWorkday]],NETWORKDAYS.INTL(ProjectStart,Tasks[[#This Row],[_ShownFcstFinish]],WorkWeek,Holidays)),0)</f>
        <v>0</v>
      </c>
      <c r="GA63" s="43" t="n">
        <f aca="false">IF(AND(Tasks[[#This Row],[_IsLeaf]]=1,Tasks[[#This Row],[_LeafTotalWork]]&gt;0),Tasks[[#This Row],[_LeafWork]]/(Tasks[[#This Row],[_FinishWorkday]]-Tasks[[#This Row],[_StartWorkday]]+1),0)</f>
        <v>0</v>
      </c>
      <c r="GB63" s="43" t="n">
        <f aca="false">Tasks[[#This Row],[_WorkPerWorkday]]*(Tasks[[#This Row],[_StartWorkday]]-1)</f>
        <v>-0</v>
      </c>
      <c r="GC63" s="43" t="n">
        <f aca="false">IF(Tasks[[#This Row],[_IsLeaf]]=1,MAX(N(Tasks[[#This Row],[_Days]]),0.1),0)</f>
        <v>0</v>
      </c>
      <c r="GD63" s="43" t="n">
        <f aca="false">Tasks[[#This Row],[_WeightDur]]*Tasks[[#This Row],[_LeafProgress]]</f>
        <v>0</v>
      </c>
      <c r="GE63" s="43" t="n">
        <f aca="false">Tasks[[#This Row],[_WeightDur]]*Tasks[[#This Row],[_PlannedPct]]</f>
        <v>0</v>
      </c>
      <c r="GF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3" t="str">
        <f aca="false">IF(AND(Tasks[[#This Row],[_IsLeaf]]=1,N(Tasks[[#This Row],[_Days]])=0,Tasks[[#This Row],[_LeafProgress]]&lt;1),Tasks[[#This Row],[_ShownFcstFinish]]+Tasks[[#This Row],[_Row]]/100000,"")</f>
        <v/>
      </c>
      <c r="GH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3" s="43" t="str">
        <f aca="false">IF(Tasks[[#This Row],[Task Name]]="","",LEFT(Tasks[[#This Row],[WBS]],FIND(".",Tasks[[#This Row],[WBS]]&amp;".")-1))</f>
        <v/>
      </c>
      <c r="GJ63" s="43" t="str">
        <f aca="false">IF(AND(Tasks[[#This Row],[Task Name]]&lt;&gt;"",Tasks[[#This Row],[_Level]]=1),Tasks[[#This Row],[_Row]],"")</f>
        <v/>
      </c>
      <c r="GK63" s="43" t="str">
        <f aca="false">IF(AND(Tasks[[#This Row],[_IsLeaf]]=1,N(Tasks[[#This Row],[_Days]])=0),Tasks[[#This Row],[Planned Finish]]+Tasks[[#This Row],[_Row]]/100000,"")</f>
        <v/>
      </c>
      <c r="GL63" s="43" t="str">
        <f aca="false">IF(AND(Tasks[[#This Row],[_IsLeaf]]=1,Tasks[[#This Row],[_LeafProgress]]&lt;1,OR(N(Tasks[[#This Row],[Finish Var]])&gt;0,Tasks[[#This Row],[Status]]="Late Start")),MAX(0,Tasks[[#This Row],[Finish Var]])+1-Tasks[[#This Row],[_Row]]/1000000,"")</f>
        <v/>
      </c>
      <c r="GM63" s="43" t="str">
        <f aca="false">IF(AND(Tasks[[#This Row],[_IsLeaf]]=1,N(Tasks[[#This Row],[Actual Start]])=0,Tasks[[#This Row],[_ShownFcstStart]]&gt;=StatusDate,Tasks[[#This Row],[_ShownFcstStart]]&lt;=LookaheadEnd),Tasks[[#This Row],[_ShownFcstStart]]+Tasks[[#This Row],[_Row]]/100000,"")</f>
        <v/>
      </c>
      <c r="GN63" s="43" t="str">
        <f aca="false">IF(AND(Tasks[[#This Row],[_IsLeaf]]=1,Tasks[[#This Row],[_LeafProgress]]&lt;1,Tasks[[#This Row],[_ShownFcstFinish]]&gt;=StatusDate,Tasks[[#This Row],[_ShownFcstFinish]]&lt;=LookaheadEnd),Tasks[[#This Row],[_ShownFcstFinish]]+Tasks[[#This Row],[_Row]]/100000,"")</f>
        <v/>
      </c>
      <c r="GO63" s="43" t="str">
        <f aca="false">IF(Tasks[[#This Row],[_LeafCritical]],Tasks[[#This Row],[_ShownFcstStart]]+Tasks[[#This Row],[_Row]]/100000,"")</f>
        <v/>
      </c>
      <c r="GP63" s="43" t="n">
        <f aca="false">Tasks[[#This Row],[_LeafWork]]*Tasks[[#This Row],[_LeafProgress]]</f>
        <v>0</v>
      </c>
      <c r="GQ63" s="91" t="str">
        <f aca="false">IF(AND(Tasks[[#This Row],[_IsLeaf]]=1,Tasks[[#This Row],[_LeafProgress]]&gt;=1),IF(N(Tasks[[#This Row],[Actual Finish]])&gt;0,Tasks[[#This Row],[Actual Finish]],Tasks[[#This Row],[_ShownFcstFinish]]),"")</f>
        <v/>
      </c>
      <c r="GR63" s="43" t="n">
        <f aca="false">IF(Tasks[[#This Row],[_IsLeaf]]=1,N(Tasks[[#This Row],[Story Points]]),0)</f>
        <v>0</v>
      </c>
      <c r="GS63" s="43" t="str">
        <f aca="false">""</f>
        <v/>
      </c>
      <c r="GT63" s="90" t="b">
        <f aca="false">IF(Tasks[[#This Row],[Task Name]]="",FALSE(),AND(Tasks[[#This Row],[_IsLeaf]]=1,N(Tasks[[#This Row],[_Days]])=0))</f>
        <v>0</v>
      </c>
      <c r="GU63" s="91" t="n">
        <f aca="false">IF(Tasks[[#This Row],[Task Name]]="",0,IF(AND(Tasks[[#This Row],[_IsLeaf]]=1,NOT(Tasks[[#This Row],[_IsMilestone]]),N(Tasks[[#This Row],[Progress]])&gt;0),Tasks[[#This Row],[Start]],0))</f>
        <v>0</v>
      </c>
      <c r="GV63" s="91" t="n">
        <f aca="false">IF(Tasks[[#This Row],[_DoneFrom]]=0,0,IF(Tasks[[#This Row],[Progress]]&gt;=1,Tasks[[#This Row],[Finish]],MAX(Tasks[[#This Row],[_DoneFrom]],Tasks[[#This Row],[Start]]+ROUND((Tasks[[#This Row],[Finish]]-Tasks[[#This Row],[Start]]+1)*Tasks[[#This Row],[Progress]],0)-1)))</f>
        <v>0</v>
      </c>
      <c r="GW63" s="91" t="n">
        <f aca="false">IF(Tasks[[#This Row],[Task Name]]="",0,IF(OR(NOT(Tasks[[#This Row],[_IsLeaf]]=1),Tasks[[#This Row],[_IsMilestone]],N(Tasks[[#This Row],[Progress]])&gt;=1),0,IF(Tasks[[#This Row],[_DoneTo]]&gt;0,Tasks[[#This Row],[_DoneTo]]+1,Tasks[[#This Row],[Start]])))</f>
        <v>0</v>
      </c>
      <c r="GX63" s="91" t="n">
        <f aca="false">IF(Tasks[[#This Row],[_RemFrom]]=0,0,Tasks[[#This Row],[Finish]])</f>
        <v>0</v>
      </c>
      <c r="GY63" s="90" t="b">
        <f aca="false">IF(Tasks[[#This Row],[Task Name]]="",FALSE(),OR(NOT(BaselineSet),N(Tasks[[#This Row],[Baseline Start]])&gt;0))</f>
        <v>0</v>
      </c>
      <c r="GZ6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92" t="str">
        <f aca="false">IF(Tasks[[#This Row],[_IsLeaf]]=1,Tasks[[#This Row],[_Row]],"")</f>
        <v/>
      </c>
      <c r="HD63" s="92" t="str">
        <f aca="false">IFERROR(INDEX(Tasks[UID],SMALL(Tasks[_PickKey],Tasks[[#This Row],[_Row]]))&amp;" "&amp;INDEX(Tasks[Task Name],SMALL(Tasks[_PickKey],Tasks[[#This Row],[_Row]])),"")</f>
        <v/>
      </c>
      <c r="HE63" s="43" t="str">
        <f aca="false">IF(Tasks[[#This Row],[Task Name]]="","",IF(Tasks[[#This Row],[_IsSummary]],NETWORKDAYS.INTL(Tasks[[#This Row],[Start]],Tasks[[#This Row],[Finish]],WorkWeek,Holidays),N(Tasks[[#This Row],[_Days]])))</f>
        <v/>
      </c>
      <c r="HF63" s="43" t="n">
        <f aca="false">IF(Tasks[[#This Row],[Expected]]="",0,((Tasks[[#This Row],[Pessimistic]]-Tasks[[#This Row],[Optimistic]])/6)^2)</f>
        <v>0</v>
      </c>
      <c r="HG63" s="43" t="n">
        <f aca="false">IF(Tasks[[#This Row],[Expected]]="",0,Tasks[[#This Row],[Expected]]-N(Tasks[[#This Row],[_Days]]))</f>
        <v>0</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4"/>
      <c r="U64" s="23"/>
      <c r="V64" s="84"/>
      <c r="W64" s="23"/>
      <c r="X64" s="84"/>
      <c r="Y64" s="23"/>
      <c r="Z64" s="84"/>
      <c r="AA64" s="23"/>
      <c r="AB64" s="23"/>
      <c r="AC64" s="7"/>
      <c r="AD64" s="7"/>
      <c r="AE64" s="63" t="str">
        <f aca="false">IF(Tasks[[#This Row],[Task Name]]="","",IF(Tasks[[#This Row],[_IsSummary]],MIN(INDEX(Tasks[_ShownFcstStart],Tasks[[#This Row],[_Row]]+1):INDEX(Tasks[_ShownFcstStart],Tasks[[#This Row],[_Row]]+Tasks[[#This Row],[_Descendants]])),Tasks[[#This Row],[_ShownFcstStart]]))</f>
        <v/>
      </c>
      <c r="AF64" s="63"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4" s="7"/>
      <c r="AK64" s="22"/>
      <c r="AL64" s="23"/>
      <c r="AM64" s="7"/>
      <c r="AN64" s="47"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3" t="str">
        <f aca="false">IF(Tasks[[#This Row],[Task Name]]="","",IF(N(Tasks[[#This Row],[Baseline Start]])&gt;0,Tasks[[#This Row],[Baseline Start]],Tasks[[#This Row],[_CalcStart]]))</f>
        <v/>
      </c>
      <c r="AR64" s="63" t="str">
        <f aca="false">IF(Tasks[[#This Row],[Task Name]]="","",IF(N(Tasks[[#This Row],[Baseline Finish]])&gt;0,Tasks[[#This Row],[Baseline Finish]],Tasks[[#This Row],[_CalcFinish]]))</f>
        <v/>
      </c>
      <c r="AS64" s="47" t="str">
        <f aca="false">IF(Tasks[[#This Row],[Task Name]]="","",IF(Tasks[[#This Row],[Start]]&gt;=Tasks[[#This Row],[Planned Start]],NETWORKDAYS.INTL(Tasks[[#This Row],[Planned Start]],Tasks[[#This Row],[Start]],WorkWeek,Holidays)-1,1-NETWORKDAYS.INTL(Tasks[[#This Row],[Start]],Tasks[[#This Row],[Planned Start]],WorkWeek,Holidays)))</f>
        <v/>
      </c>
      <c r="AT64" s="63" t="str">
        <f aca="false">IF(Tasks[[#This Row],[Task Name]]="","",IF(Tasks[[#This Row],[_IsSummary]],MIN(INDEX(Tasks[_LeafLateStart],Tasks[[#This Row],[_Row]]+1):INDEX(Tasks[_LeafLateStart],Tasks[[#This Row],[_Row]]+Tasks[[#This Row],[_Descendants]])),Tasks[[#This Row],[_LeafLateStart]]))</f>
        <v/>
      </c>
      <c r="AU64" s="63" t="str">
        <f aca="false">IF(Tasks[[#This Row],[Task Name]]="","",IF(Tasks[[#This Row],[_IsSummary]],MAX(INDEX(Tasks[_LeafLateFinish],Tasks[[#This Row],[_Row]]+1):INDEX(Tasks[_LeafLateFinish],Tasks[[#This Row],[_Row]]+Tasks[[#This Row],[_Descendants]])),Tasks[[#This Row],[_LeafLateFinish]]))</f>
        <v/>
      </c>
      <c r="AV64" s="47"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5"/>
      <c r="BA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6"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7"/>
      <c r="BJ64" s="22"/>
      <c r="BK64" s="47" t="str">
        <f aca="false">IF(OR(Tasks[[#This Row],[Task Name]]="",Tasks[[#This Row],[Baseline Duration]]=""),"",Tasks[[#This Row],[_SpanDays]]-N(Tasks[[#This Row],[Baseline Duration]]))</f>
        <v/>
      </c>
      <c r="BL64" s="86" t="str">
        <f aca="false">IF(OR(Tasks[[#This Row],[Task Name]]="",Tasks[[#This Row],[Baseline Work]]=""),"",Tasks[[#This Row],[Work]]-N(Tasks[[#This Row],[Baseline Work]]))</f>
        <v/>
      </c>
      <c r="BM64" s="63" t="str">
        <f aca="false">IF(Tasks[[#This Row],[Task Name]]="","",IF(OR(TakeBaseline="Yes",N(Tasks[[#This Row],[Baseline Start]])=0),Tasks[[#This Row],[Start]],Tasks[[#This Row],[Baseline Start]]))</f>
        <v/>
      </c>
      <c r="BN64" s="63" t="str">
        <f aca="false">IF(Tasks[[#This Row],[Task Name]]="","",IF(OR(TakeBaseline="Yes",N(Tasks[[#This Row],[Baseline Finish]])=0),Tasks[[#This Row],[Finish]],Tasks[[#This Row],[Baseline Finish]]))</f>
        <v/>
      </c>
      <c r="BO64" s="21" t="str">
        <f aca="false">IF(Tasks[[#This Row],[Task Name]]="","",IF(OR(TakeBaseline="Yes",N(Tasks[[#This Row],[Baseline Duration]])=0),Tasks[[#This Row],[_SpanDays]],Tasks[[#This Row],[Baseline Duration]]))</f>
        <v/>
      </c>
      <c r="BP64" s="86" t="str">
        <f aca="false">IF(Tasks[[#This Row],[Task Name]]="","",IF(OR(TakeBaseline="Yes",N(Tasks[[#This Row],[Baseline Work]])=0),Tasks[[#This Row],[Work]],Tasks[[#This Row],[Baseline Work]]))</f>
        <v/>
      </c>
      <c r="BQ64" s="7"/>
      <c r="BR64" s="7"/>
      <c r="BS64" s="22"/>
      <c r="BT64" s="88"/>
      <c r="BU64" s="23"/>
      <c r="BV64" s="23"/>
      <c r="BW64" s="23"/>
      <c r="BX64" s="89" t="str">
        <f aca="false">IF(AND(Tasks[[#This Row],[_IsLeaf]]=1,ISNUMBER(Tasks[[#This Row],[Optimistic]]),ISNUMBER(Tasks[[#This Row],[Pessimistic]])),ROUND((Tasks[[#This Row],[Optimistic]]+4*N(Tasks[[#This Row],[_Days]])+Tasks[[#This Row],[Pessimistic]])/6,1),"")</f>
        <v/>
      </c>
      <c r="BY64" s="87"/>
      <c r="BZ64" s="87"/>
      <c r="CA64" s="22"/>
      <c r="CB64" s="43" t="str">
        <f aca="false">IF(Tasks[[#This Row],[Task Name]]="","",MAX(1,N(Tasks[[#This Row],[Level]])))</f>
        <v/>
      </c>
      <c r="CC64" s="43" t="n">
        <f aca="false">ROW()-ROW(Tasks[[#Headers],[ID]])</f>
        <v>59</v>
      </c>
      <c r="CD64" s="43" t="n">
        <f aca="false">IF(OR(Tasks[[#This Row],[Task Name]]="",Tasks[[#This Row],[_Level]]&lt;=1),0,IFERROR(LOOKUP(2,1/(Tasks[[#Headers],[_Level]]:Tasks[[#This Row],[_Level]]=Tasks[[#This Row],[_Level]]-1),ROW(Tasks[[#Headers],[_Level]]:Tasks[[#This Row],[_Level]])),0))</f>
        <v>0</v>
      </c>
      <c r="CE64" s="43" t="n">
        <f aca="false">IFERROR(N(INDEX(Tasks[_Level],Tasks[[#This Row],[_Row]]+1)),0)</f>
        <v>0</v>
      </c>
      <c r="CF64" s="90" t="b">
        <f aca="false">AND(Tasks[[#This Row],[Task Name]]&lt;&gt;"",Tasks[[#This Row],[_NextLevel]]&gt;Tasks[[#This Row],[_Level]])</f>
        <v>0</v>
      </c>
      <c r="CG64" s="43" t="n">
        <f aca="false">IF(Tasks[[#This Row],[_IsSummary]],COUNTIF(Tasks[WBS],Tasks[[#This Row],[WBS]]&amp;".*"),0)</f>
        <v>0</v>
      </c>
      <c r="CH64" s="43" t="n">
        <f aca="false">IF(AND(Tasks[[#This Row],[Task Name]]&lt;&gt;"",NOT(Tasks[[#This Row],[_IsSummary]])),1,0)</f>
        <v>0</v>
      </c>
      <c r="CI64" s="43" t="n">
        <f aca="false">IF(N(Tasks[[#This Row],[_Pred1UID]])=0,0,IFERROR(MATCH(Tasks[[#This Row],[_Pred1UID]],Tasks[UID],0),-1))</f>
        <v>0</v>
      </c>
      <c r="CJ64" s="43" t="n">
        <f aca="false">IF(N(Tasks[[#This Row],[_Pred2UID]])=0,0,IFERROR(MATCH(Tasks[[#This Row],[_Pred2UID]],Tasks[UID],0),-1))</f>
        <v>0</v>
      </c>
      <c r="CK64" s="43" t="n">
        <f aca="false">IF(N(Tasks[[#This Row],[_Pred3UID]])=0,0,IFERROR(MATCH(Tasks[[#This Row],[_Pred3UID]],Tasks[UID],0),-1))</f>
        <v>0</v>
      </c>
      <c r="CL64" s="43" t="n">
        <f aca="false">IF(N(Tasks[[#This Row],[_Pred4UID]])=0,0,IFERROR(MATCH(Tasks[[#This Row],[_Pred4UID]],Tasks[UID],0),-1))</f>
        <v>0</v>
      </c>
      <c r="CM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4" s="91" t="n">
        <f aca="false">IF(OR(Tasks[[#This Row],[_ConstraintCode]]=2,Tasks[[#This Row],[_ConstraintCode]]=3,Tasks[[#This Row],[_ConstraintCode]]=4,Tasks[[#This Row],[_ConstraintCode]]=6),Tasks[[#This Row],[_ConstraintStart]],0)</f>
        <v>0</v>
      </c>
      <c r="CP64" s="91" t="n">
        <f aca="false">IF(OR(Tasks[[#This Row],[_ConstraintCode]]=2,Tasks[[#This Row],[_ConstraintCode]]=3,Tasks[[#This Row],[_ConstraintCode]]=5,Tasks[[#This Row],[_ConstraintCode]]=7),Tasks[[#This Row],[_ConstraintStart]],2958465)</f>
        <v>2958465</v>
      </c>
      <c r="CQ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91" t="str">
        <f aca="false">IF(NOT(Tasks[[#This Row],[_IsLeaf]]=1),"",IF(N(Tasks[[#This Row],[_Days]])&lt;=0,Tasks[[#This Row],[_LeafCalcStart]],WORKDAY.INTL(Tasks[[#This Row],[_LeafCalcStart]],Tasks[[#This Row],[_Days]]-1,WorkWeek,Holidays)))</f>
        <v/>
      </c>
      <c r="CS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3" t="str">
        <f aca="false">IF(Tasks[[#This Row],[_Predecessors]]="","",TRIM(MID(SUBSTITUTE(SUBSTITUTE(SUBSTITUTE(UPPER(Tasks[[#This Row],[_Predecessors]]),";",",")," ",""),",",REPT(" ",99)),1,99)))</f>
        <v/>
      </c>
      <c r="CV64" s="43" t="str">
        <f aca="false">IF(Tasks[[#This Row],[_Pred1Text]]="","",IFERROR(VALUE(LEFT(Tasks[[#This Row],[_Pred1Text]],MIN(FIND("F",Tasks[[#This Row],[_Pred1Text]]&amp;"F"),FIND("S",Tasks[[#This Row],[_Pred1Text]]&amp;"S"),FIND("+",Tasks[[#This Row],[_Pred1Text]]&amp;"+"),FIND("-",Tasks[[#This Row],[_Pred1Text]]&amp;"-"))-1)),""))</f>
        <v/>
      </c>
      <c r="CW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3" t="str">
        <f aca="false">IF(Tasks[[#This Row],[_Pred1Text]]="","",TRIM(MID(SUBSTITUTE(SUBSTITUTE(SUBSTITUTE(UPPER(Tasks[[#This Row],[_Predecessors]]),";",",")," ",""),",",REPT(" ",99)),100,99)))</f>
        <v/>
      </c>
      <c r="CZ64" s="43" t="str">
        <f aca="false">IF(Tasks[[#This Row],[_Pred2Text]]="","",IFERROR(VALUE(LEFT(Tasks[[#This Row],[_Pred2Text]],MIN(FIND("F",Tasks[[#This Row],[_Pred2Text]]&amp;"F"),FIND("S",Tasks[[#This Row],[_Pred2Text]]&amp;"S"),FIND("+",Tasks[[#This Row],[_Pred2Text]]&amp;"+"),FIND("-",Tasks[[#This Row],[_Pred2Text]]&amp;"-"))-1)),""))</f>
        <v/>
      </c>
      <c r="DA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3" t="str">
        <f aca="false">IF(Tasks[[#This Row],[_Pred2Text]]="","",TRIM(MID(SUBSTITUTE(SUBSTITUTE(SUBSTITUTE(UPPER(Tasks[[#This Row],[_Predecessors]]),";",",")," ",""),",",REPT(" ",99)),199,99)))</f>
        <v/>
      </c>
      <c r="DD64" s="43" t="str">
        <f aca="false">IF(Tasks[[#This Row],[_Pred3Text]]="","",IFERROR(VALUE(LEFT(Tasks[[#This Row],[_Pred3Text]],MIN(FIND("F",Tasks[[#This Row],[_Pred3Text]]&amp;"F"),FIND("S",Tasks[[#This Row],[_Pred3Text]]&amp;"S"),FIND("+",Tasks[[#This Row],[_Pred3Text]]&amp;"+"),FIND("-",Tasks[[#This Row],[_Pred3Text]]&amp;"-"))-1)),""))</f>
        <v/>
      </c>
      <c r="DE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3" t="str">
        <f aca="false">IF(Tasks[[#This Row],[_Pred3Text]]="","",TRIM(MID(SUBSTITUTE(SUBSTITUTE(SUBSTITUTE(UPPER(Tasks[[#This Row],[_Predecessors]]),";",",")," ",""),",",REPT(" ",99)),298,99)))</f>
        <v/>
      </c>
      <c r="DH64" s="43" t="str">
        <f aca="false">IF(Tasks[[#This Row],[_Pred4Text]]="","",IFERROR(VALUE(LEFT(Tasks[[#This Row],[_Pred4Text]],MIN(FIND("F",Tasks[[#This Row],[_Pred4Text]]&amp;"F"),FIND("S",Tasks[[#This Row],[_Pred4Text]]&amp;"S"),FIND("+",Tasks[[#This Row],[_Pred4Text]]&amp;"+"),FIND("-",Tasks[[#This Row],[_Pred4Text]]&amp;"-"))-1)),""))</f>
        <v/>
      </c>
      <c r="DI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3" t="str">
        <f aca="false">IF(OR(Tasks[[#This Row],[Task Name]]="",Tasks[[#This Row],[_Resources]]=""),"",TRIM(MID(SUBSTITUTE(Tasks[[#This Row],[_Resources]],",",REPT(" ",99)),1,99)))</f>
        <v/>
      </c>
      <c r="DL64" s="43" t="str">
        <f aca="false">IF(Tasks[[#This Row],[_Res1Text]]="","",TRIM(MID(SUBSTITUTE(Tasks[[#This Row],[_Resources]],",",REPT(" ",99)),100,99)))</f>
        <v/>
      </c>
      <c r="DM64" s="43" t="str">
        <f aca="false">IF(Tasks[[#This Row],[_Res2Text]]="","",TRIM(MID(SUBSTITUTE(Tasks[[#This Row],[_Resources]],",",REPT(" ",99)),199,99)))</f>
        <v/>
      </c>
      <c r="DN64" s="43" t="str">
        <f aca="false">IF(Tasks[[#This Row],[_Res3Text]]="","",TRIM(MID(SUBSTITUTE(Tasks[[#This Row],[_Resources]],",",REPT(" ",99)),298,99)))</f>
        <v/>
      </c>
      <c r="DO64" s="43" t="n">
        <f aca="false">IF(Tasks[[#This Row],[_Res1Text]]="",0,IFERROR(MATCH(TRIM(LEFT(Tasks[[#This Row],[_Res1Text]],FIND("[",Tasks[[#This Row],[_Res1Text]]&amp;"[")-1)),res_Name,0),IFERROR(MATCH(TRIM(LEFT(Tasks[[#This Row],[_Res1Text]],FIND("[",Tasks[[#This Row],[_Res1Text]]&amp;"[")-1)),res_Initials,0),0)))</f>
        <v>0</v>
      </c>
      <c r="DP64" s="43" t="n">
        <f aca="false">IF(Tasks[[#This Row],[_Res2Text]]="",0,IFERROR(MATCH(TRIM(LEFT(Tasks[[#This Row],[_Res2Text]],FIND("[",Tasks[[#This Row],[_Res2Text]]&amp;"[")-1)),res_Name,0),IFERROR(MATCH(TRIM(LEFT(Tasks[[#This Row],[_Res2Text]],FIND("[",Tasks[[#This Row],[_Res2Text]]&amp;"[")-1)),res_Initials,0),0)))</f>
        <v>0</v>
      </c>
      <c r="DQ64" s="43" t="n">
        <f aca="false">IF(Tasks[[#This Row],[_Res3Text]]="",0,IFERROR(MATCH(TRIM(LEFT(Tasks[[#This Row],[_Res3Text]],FIND("[",Tasks[[#This Row],[_Res3Text]]&amp;"[")-1)),res_Name,0),IFERROR(MATCH(TRIM(LEFT(Tasks[[#This Row],[_Res3Text]],FIND("[",Tasks[[#This Row],[_Res3Text]]&amp;"[")-1)),res_Initials,0),0)))</f>
        <v>0</v>
      </c>
      <c r="DR64" s="43" t="n">
        <f aca="false">IF(Tasks[[#This Row],[_Res4Text]]="",0,IFERROR(MATCH(TRIM(LEFT(Tasks[[#This Row],[_Res4Text]],FIND("[",Tasks[[#This Row],[_Res4Text]]&amp;"[")-1)),res_Name,0),IFERROR(MATCH(TRIM(LEFT(Tasks[[#This Row],[_Res4Text]],FIND("[",Tasks[[#This Row],[_Res4Text]]&amp;"[")-1)),res_Initials,0),0)))</f>
        <v>0</v>
      </c>
      <c r="DS64" s="43" t="str">
        <f aca="false">IF(Tasks[[#This Row],[_Res1Text]]="","",IF(Tasks[[#This Row],[_Res1Row]]&gt;0,INDEX(res_Name,Tasks[[#This Row],[_Res1Row]]),TRIM(LEFT(Tasks[[#This Row],[_Res1Text]],FIND("[",Tasks[[#This Row],[_Res1Text]]&amp;"[")-1))))</f>
        <v/>
      </c>
      <c r="DT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3" t="n">
        <f aca="false">IF(NOT(Tasks[[#This Row],[_IsLeaf]]=1),0,(Tasks[[#This Row],[_Resource1]]&lt;&gt;"")+(Tasks[[#This Row],[_Res2]]&lt;&gt;"")+(Tasks[[#This Row],[_Res3]]&lt;&gt;"")+(Tasks[[#This Row],[_Res4]]&lt;&gt;""))</f>
        <v>0</v>
      </c>
      <c r="DV64" s="43" t="str">
        <f aca="false">IF(Tasks[[#This Row],[_Res2Text]]="","",IF(Tasks[[#This Row],[_Res2Row]]&gt;0,INDEX(res_Name,Tasks[[#This Row],[_Res2Row]]),TRIM(LEFT(Tasks[[#This Row],[_Res2Text]],FIND("[",Tasks[[#This Row],[_Res2Text]]&amp;"[")-1))))</f>
        <v/>
      </c>
      <c r="DW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3" t="n">
        <f aca="false">IF(OR(NOT(Tasks[[#This Row],[_IsLeaf]]=1),Tasks[[#This Row],[_Res2Row]]=0),0,N(Tasks[[#This Row],[_Days]])*HoursPerDay*IF(Tasks[[#This Row],[_Res2Units]]="",DefaultUnits,Tasks[[#This Row],[_Res2Units]]))</f>
        <v>0</v>
      </c>
      <c r="DY64" s="43" t="n">
        <f aca="false">IF(AND(AND(Tasks[[#This Row],[_IsLeaf]]=1,Tasks[[#This Row],[_LeafTotalWork]]&gt;0),Tasks[[#This Row],[_Res2Work]]&gt;0),Tasks[[#This Row],[_Res2Work]]/(Tasks[[#This Row],[_FinishWorkday]]-Tasks[[#This Row],[_StartWorkday]]+1),0)</f>
        <v>0</v>
      </c>
      <c r="DZ64" s="43" t="n">
        <f aca="false">Tasks[[#This Row],[_Res2WorkPerWD]]*MAX(0,Tasks[[#This Row],[_StartWorkday]]-1)</f>
        <v>0</v>
      </c>
      <c r="EA64" s="43" t="n">
        <f aca="false">Tasks[[#This Row],[_Res2Work]]*Tasks[[#This Row],[_LeafProgress]]</f>
        <v>0</v>
      </c>
      <c r="EB64" s="43" t="str">
        <f aca="false">IF(Tasks[[#This Row],[_Res3Text]]="","",IF(Tasks[[#This Row],[_Res3Row]]&gt;0,INDEX(res_Name,Tasks[[#This Row],[_Res3Row]]),TRIM(LEFT(Tasks[[#This Row],[_Res3Text]],FIND("[",Tasks[[#This Row],[_Res3Text]]&amp;"[")-1))))</f>
        <v/>
      </c>
      <c r="EC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3" t="n">
        <f aca="false">IF(OR(NOT(Tasks[[#This Row],[_IsLeaf]]=1),Tasks[[#This Row],[_Res3Row]]=0),0,N(Tasks[[#This Row],[_Days]])*HoursPerDay*IF(Tasks[[#This Row],[_Res3Units]]="",DefaultUnits,Tasks[[#This Row],[_Res3Units]]))</f>
        <v>0</v>
      </c>
      <c r="EE64" s="43" t="n">
        <f aca="false">IF(AND(AND(Tasks[[#This Row],[_IsLeaf]]=1,Tasks[[#This Row],[_LeafTotalWork]]&gt;0),Tasks[[#This Row],[_Res3Work]]&gt;0),Tasks[[#This Row],[_Res3Work]]/(Tasks[[#This Row],[_FinishWorkday]]-Tasks[[#This Row],[_StartWorkday]]+1),0)</f>
        <v>0</v>
      </c>
      <c r="EF64" s="43" t="n">
        <f aca="false">Tasks[[#This Row],[_Res3WorkPerWD]]*MAX(0,Tasks[[#This Row],[_StartWorkday]]-1)</f>
        <v>0</v>
      </c>
      <c r="EG64" s="43" t="n">
        <f aca="false">Tasks[[#This Row],[_Res3Work]]*Tasks[[#This Row],[_LeafProgress]]</f>
        <v>0</v>
      </c>
      <c r="EH64" s="43" t="str">
        <f aca="false">IF(Tasks[[#This Row],[_Res4Text]]="","",IF(Tasks[[#This Row],[_Res4Row]]&gt;0,INDEX(res_Name,Tasks[[#This Row],[_Res4Row]]),TRIM(LEFT(Tasks[[#This Row],[_Res4Text]],FIND("[",Tasks[[#This Row],[_Res4Text]]&amp;"[")-1))))</f>
        <v/>
      </c>
      <c r="EI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3" t="n">
        <f aca="false">IF(OR(NOT(Tasks[[#This Row],[_IsLeaf]]=1),Tasks[[#This Row],[_Res4Row]]=0),0,N(Tasks[[#This Row],[_Days]])*HoursPerDay*IF(Tasks[[#This Row],[_Res4Units]]="",DefaultUnits,Tasks[[#This Row],[_Res4Units]]))</f>
        <v>0</v>
      </c>
      <c r="EK64" s="43" t="n">
        <f aca="false">IF(AND(AND(Tasks[[#This Row],[_IsLeaf]]=1,Tasks[[#This Row],[_LeafTotalWork]]&gt;0),Tasks[[#This Row],[_Res4Work]]&gt;0),Tasks[[#This Row],[_Res4Work]]/(Tasks[[#This Row],[_FinishWorkday]]-Tasks[[#This Row],[_StartWorkday]]+1),0)</f>
        <v>0</v>
      </c>
      <c r="EL64" s="43" t="n">
        <f aca="false">Tasks[[#This Row],[_Res4WorkPerWD]]*MAX(0,Tasks[[#This Row],[_StartWorkday]]-1)</f>
        <v>0</v>
      </c>
      <c r="EM64" s="43" t="n">
        <f aca="false">Tasks[[#This Row],[_Res4Work]]*Tasks[[#This Row],[_LeafProgress]]</f>
        <v>0</v>
      </c>
      <c r="EN64" s="43" t="n">
        <f aca="false">IF(ISNUMBER(Tasks[[#This Row],[% Complete]]),Tasks[[#This Row],[% Complete]],IF(Tasks[[#This Row],[Stage]]="",0,IFERROR(INDEX(stg_Pct,MATCH(Tasks[[#This Row],[Stage]],stg_Name,0)),0)))</f>
        <v>0</v>
      </c>
      <c r="EO64" s="43" t="n">
        <f aca="false">IF(NOT(Tasks[[#This Row],[_IsLeaf]]=1),0,IF(N(Tasks[[#This Row],[Actual Finish]])&gt;0,1,MIN(1,Tasks[[#This Row],[_Pct]])))</f>
        <v>0</v>
      </c>
      <c r="EP64" s="43" t="n">
        <f aca="false">IF(OR(NOT(Tasks[[#This Row],[_IsLeaf]]=1),Tasks[[#This Row],[_Res1Row]]=0),0,N(Tasks[[#This Row],[_Days]])*HoursPerDay*IF(Tasks[[#This Row],[_Units1]]="",DefaultUnits,Tasks[[#This Row],[_Units1]]))</f>
        <v>0</v>
      </c>
      <c r="EQ64" s="43" t="n">
        <f aca="false">Tasks[[#This Row],[_LeafWork]]+Tasks[[#This Row],[_Res2Work]]+Tasks[[#This Row],[_Res3Work]]+Tasks[[#This Row],[_Res4Work]]</f>
        <v>0</v>
      </c>
      <c r="ER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3" t="n">
        <f aca="false">IF(NOT(Tasks[[#This Row],[_IsLeaf]]=1),0,MAX(_xlfn.MAXIFS(Tasks[_Row],Tasks[_Pred1UID],Tasks[[#This Row],[UID]]),_xlfn.MAXIFS(Tasks[_Row],Tasks[_Pred2UID],Tasks[[#This Row],[UID]]),_xlfn.MAXIFS(Tasks[_Row],Tasks[_Pred3UID],Tasks[[#This Row],[UID]]),_xlfn.MAXIFS(Tasks[_Row],Tasks[_Pred4UID],Tasks[[#This Row],[UID]])))</f>
        <v>0</v>
      </c>
      <c r="FA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91" t="str">
        <f aca="false">IF(NOT(Tasks[[#This Row],[_IsLeaf]]=1),"",IF(N(Tasks[[#This Row],[_Days]])&lt;=0,Tasks[[#This Row],[_LeafLateFinish]],WORKDAY.INTL(Tasks[[#This Row],[_LeafLateFinish]],-(Tasks[[#This Row],[_Days]]-1),WorkWeek,Holidays)))</f>
        <v/>
      </c>
      <c r="FD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4" s="90" t="b">
        <f aca="false">AND(Tasks[[#This Row],[_IsLeaf]]=1,Tasks[[#This Row],[_LeafProgress]]&lt;1,N(Tasks[[#This Row],[_LeafTotalSlack]])&lt;=CriticalSlackDays)</f>
        <v>0</v>
      </c>
      <c r="FF64" s="43" t="n">
        <f aca="false">IF(AND(Tasks[[#This Row],[_IsLeaf]]=1,Tasks[[#This Row],[_ConstraintCode]]=1,Tasks[[#This Row],[Mode]]&lt;&gt;"Manual",N(Tasks[[#This Row],[Actual Start]])=0),MAX(0,N(Tasks[[#This Row],[Free Slack]])),0)</f>
        <v>0</v>
      </c>
      <c r="FG64" s="91" t="str">
        <f aca="false">IF(NOT(Tasks[[#This Row],[_IsLeaf]]=1),"",IF(Tasks[[#This Row],[_AlapShift]]=0,Tasks[[#This Row],[_LeafCalcStart]],WORKDAY.INTL(Tasks[[#This Row],[_LeafCalcStart]],Tasks[[#This Row],[_AlapShift]],WorkWeek,Holidays)))</f>
        <v/>
      </c>
      <c r="FH64" s="91" t="str">
        <f aca="false">IF(NOT(Tasks[[#This Row],[_IsLeaf]]=1),"",IF(Tasks[[#This Row],[_AlapShift]]=0,Tasks[[#This Row],[_LeafCalcFinish]],WORKDAY.INTL(Tasks[[#This Row],[_LeafCalcFinish]],Tasks[[#This Row],[_AlapShift]],WorkWeek,Holidays)))</f>
        <v/>
      </c>
      <c r="FI64" s="91" t="str">
        <f aca="false">IF(NOT(Tasks[[#This Row],[_IsLeaf]]=1),"",IF(Tasks[[#This Row],[_AlapShift]]=0,Tasks[[#This Row],[_LeafFcstStart]],WORKDAY.INTL(Tasks[[#This Row],[_LeafFcstStart]],Tasks[[#This Row],[_AlapShift]],WorkWeek,Holidays)))</f>
        <v/>
      </c>
      <c r="FJ64" s="91" t="str">
        <f aca="false">IF(NOT(Tasks[[#This Row],[_IsLeaf]]=1),"",IF(Tasks[[#This Row],[_AlapShift]]=0,Tasks[[#This Row],[_LeafFcstFinish]],WORKDAY.INTL(Tasks[[#This Row],[_LeafFcstFinish]],Tasks[[#This Row],[_AlapShift]],WorkWeek,Holidays)))</f>
        <v/>
      </c>
      <c r="FK64" s="91" t="str">
        <f aca="false">IF(Tasks[[#This Row],[Task Name]]="","",IF(Tasks[[#This Row],[_IsSummary]],MIN(INDEX(Tasks[_ShownCalcStart],Tasks[[#This Row],[_Row]]+1):INDEX(Tasks[_ShownCalcStart],Tasks[[#This Row],[_Row]]+Tasks[[#This Row],[_Descendants]])),Tasks[[#This Row],[_ShownCalcStart]]))</f>
        <v/>
      </c>
      <c r="FL64" s="91" t="str">
        <f aca="false">IF(Tasks[[#This Row],[Task Name]]="","",IF(Tasks[[#This Row],[_IsSummary]],MAX(INDEX(Tasks[_ShownCalcFinish],Tasks[[#This Row],[_Row]]+1):INDEX(Tasks[_ShownCalcFinish],Tasks[[#This Row],[_Row]]+Tasks[[#This Row],[_Descendants]])),Tasks[[#This Row],[_ShownCalcFinish]]))</f>
        <v/>
      </c>
      <c r="FM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4" s="43" t="n">
        <f aca="false">IF(AND(Tasks[[#This Row],[_IsLeaf]]=1,Tasks[[#This Row],[_LeafTotalWork]]&gt;0),NETWORKDAYS.INTL(ProjectStart,Tasks[[#This Row],[_ShownFcstStart]],WorkWeek,Holidays),0)</f>
        <v>0</v>
      </c>
      <c r="FZ64" s="43" t="n">
        <f aca="false">IF(AND(Tasks[[#This Row],[_IsLeaf]]=1,Tasks[[#This Row],[_LeafTotalWork]]&gt;0),MAX(Tasks[[#This Row],[_StartWorkday]],NETWORKDAYS.INTL(ProjectStart,Tasks[[#This Row],[_ShownFcstFinish]],WorkWeek,Holidays)),0)</f>
        <v>0</v>
      </c>
      <c r="GA64" s="43" t="n">
        <f aca="false">IF(AND(Tasks[[#This Row],[_IsLeaf]]=1,Tasks[[#This Row],[_LeafTotalWork]]&gt;0),Tasks[[#This Row],[_LeafWork]]/(Tasks[[#This Row],[_FinishWorkday]]-Tasks[[#This Row],[_StartWorkday]]+1),0)</f>
        <v>0</v>
      </c>
      <c r="GB64" s="43" t="n">
        <f aca="false">Tasks[[#This Row],[_WorkPerWorkday]]*(Tasks[[#This Row],[_StartWorkday]]-1)</f>
        <v>-0</v>
      </c>
      <c r="GC64" s="43" t="n">
        <f aca="false">IF(Tasks[[#This Row],[_IsLeaf]]=1,MAX(N(Tasks[[#This Row],[_Days]]),0.1),0)</f>
        <v>0</v>
      </c>
      <c r="GD64" s="43" t="n">
        <f aca="false">Tasks[[#This Row],[_WeightDur]]*Tasks[[#This Row],[_LeafProgress]]</f>
        <v>0</v>
      </c>
      <c r="GE64" s="43" t="n">
        <f aca="false">Tasks[[#This Row],[_WeightDur]]*Tasks[[#This Row],[_PlannedPct]]</f>
        <v>0</v>
      </c>
      <c r="GF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3" t="str">
        <f aca="false">IF(AND(Tasks[[#This Row],[_IsLeaf]]=1,N(Tasks[[#This Row],[_Days]])=0,Tasks[[#This Row],[_LeafProgress]]&lt;1),Tasks[[#This Row],[_ShownFcstFinish]]+Tasks[[#This Row],[_Row]]/100000,"")</f>
        <v/>
      </c>
      <c r="GH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4" s="43" t="str">
        <f aca="false">IF(Tasks[[#This Row],[Task Name]]="","",LEFT(Tasks[[#This Row],[WBS]],FIND(".",Tasks[[#This Row],[WBS]]&amp;".")-1))</f>
        <v/>
      </c>
      <c r="GJ64" s="43" t="str">
        <f aca="false">IF(AND(Tasks[[#This Row],[Task Name]]&lt;&gt;"",Tasks[[#This Row],[_Level]]=1),Tasks[[#This Row],[_Row]],"")</f>
        <v/>
      </c>
      <c r="GK64" s="43" t="str">
        <f aca="false">IF(AND(Tasks[[#This Row],[_IsLeaf]]=1,N(Tasks[[#This Row],[_Days]])=0),Tasks[[#This Row],[Planned Finish]]+Tasks[[#This Row],[_Row]]/100000,"")</f>
        <v/>
      </c>
      <c r="GL64" s="43" t="str">
        <f aca="false">IF(AND(Tasks[[#This Row],[_IsLeaf]]=1,Tasks[[#This Row],[_LeafProgress]]&lt;1,OR(N(Tasks[[#This Row],[Finish Var]])&gt;0,Tasks[[#This Row],[Status]]="Late Start")),MAX(0,Tasks[[#This Row],[Finish Var]])+1-Tasks[[#This Row],[_Row]]/1000000,"")</f>
        <v/>
      </c>
      <c r="GM64" s="43" t="str">
        <f aca="false">IF(AND(Tasks[[#This Row],[_IsLeaf]]=1,N(Tasks[[#This Row],[Actual Start]])=0,Tasks[[#This Row],[_ShownFcstStart]]&gt;=StatusDate,Tasks[[#This Row],[_ShownFcstStart]]&lt;=LookaheadEnd),Tasks[[#This Row],[_ShownFcstStart]]+Tasks[[#This Row],[_Row]]/100000,"")</f>
        <v/>
      </c>
      <c r="GN64" s="43" t="str">
        <f aca="false">IF(AND(Tasks[[#This Row],[_IsLeaf]]=1,Tasks[[#This Row],[_LeafProgress]]&lt;1,Tasks[[#This Row],[_ShownFcstFinish]]&gt;=StatusDate,Tasks[[#This Row],[_ShownFcstFinish]]&lt;=LookaheadEnd),Tasks[[#This Row],[_ShownFcstFinish]]+Tasks[[#This Row],[_Row]]/100000,"")</f>
        <v/>
      </c>
      <c r="GO64" s="43" t="str">
        <f aca="false">IF(Tasks[[#This Row],[_LeafCritical]],Tasks[[#This Row],[_ShownFcstStart]]+Tasks[[#This Row],[_Row]]/100000,"")</f>
        <v/>
      </c>
      <c r="GP64" s="43" t="n">
        <f aca="false">Tasks[[#This Row],[_LeafWork]]*Tasks[[#This Row],[_LeafProgress]]</f>
        <v>0</v>
      </c>
      <c r="GQ64" s="91" t="str">
        <f aca="false">IF(AND(Tasks[[#This Row],[_IsLeaf]]=1,Tasks[[#This Row],[_LeafProgress]]&gt;=1),IF(N(Tasks[[#This Row],[Actual Finish]])&gt;0,Tasks[[#This Row],[Actual Finish]],Tasks[[#This Row],[_ShownFcstFinish]]),"")</f>
        <v/>
      </c>
      <c r="GR64" s="43" t="n">
        <f aca="false">IF(Tasks[[#This Row],[_IsLeaf]]=1,N(Tasks[[#This Row],[Story Points]]),0)</f>
        <v>0</v>
      </c>
      <c r="GS64" s="43" t="str">
        <f aca="false">""</f>
        <v/>
      </c>
      <c r="GT64" s="90" t="b">
        <f aca="false">IF(Tasks[[#This Row],[Task Name]]="",FALSE(),AND(Tasks[[#This Row],[_IsLeaf]]=1,N(Tasks[[#This Row],[_Days]])=0))</f>
        <v>0</v>
      </c>
      <c r="GU64" s="91" t="n">
        <f aca="false">IF(Tasks[[#This Row],[Task Name]]="",0,IF(AND(Tasks[[#This Row],[_IsLeaf]]=1,NOT(Tasks[[#This Row],[_IsMilestone]]),N(Tasks[[#This Row],[Progress]])&gt;0),Tasks[[#This Row],[Start]],0))</f>
        <v>0</v>
      </c>
      <c r="GV64" s="91" t="n">
        <f aca="false">IF(Tasks[[#This Row],[_DoneFrom]]=0,0,IF(Tasks[[#This Row],[Progress]]&gt;=1,Tasks[[#This Row],[Finish]],MAX(Tasks[[#This Row],[_DoneFrom]],Tasks[[#This Row],[Start]]+ROUND((Tasks[[#This Row],[Finish]]-Tasks[[#This Row],[Start]]+1)*Tasks[[#This Row],[Progress]],0)-1)))</f>
        <v>0</v>
      </c>
      <c r="GW64" s="91" t="n">
        <f aca="false">IF(Tasks[[#This Row],[Task Name]]="",0,IF(OR(NOT(Tasks[[#This Row],[_IsLeaf]]=1),Tasks[[#This Row],[_IsMilestone]],N(Tasks[[#This Row],[Progress]])&gt;=1),0,IF(Tasks[[#This Row],[_DoneTo]]&gt;0,Tasks[[#This Row],[_DoneTo]]+1,Tasks[[#This Row],[Start]])))</f>
        <v>0</v>
      </c>
      <c r="GX64" s="91" t="n">
        <f aca="false">IF(Tasks[[#This Row],[_RemFrom]]=0,0,Tasks[[#This Row],[Finish]])</f>
        <v>0</v>
      </c>
      <c r="GY64" s="90" t="b">
        <f aca="false">IF(Tasks[[#This Row],[Task Name]]="",FALSE(),OR(NOT(BaselineSet),N(Tasks[[#This Row],[Baseline Start]])&gt;0))</f>
        <v>0</v>
      </c>
      <c r="GZ6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92" t="str">
        <f aca="false">IF(Tasks[[#This Row],[_IsLeaf]]=1,Tasks[[#This Row],[_Row]],"")</f>
        <v/>
      </c>
      <c r="HD64" s="92" t="str">
        <f aca="false">IFERROR(INDEX(Tasks[UID],SMALL(Tasks[_PickKey],Tasks[[#This Row],[_Row]]))&amp;" "&amp;INDEX(Tasks[Task Name],SMALL(Tasks[_PickKey],Tasks[[#This Row],[_Row]])),"")</f>
        <v/>
      </c>
      <c r="HE64" s="43" t="str">
        <f aca="false">IF(Tasks[[#This Row],[Task Name]]="","",IF(Tasks[[#This Row],[_IsSummary]],NETWORKDAYS.INTL(Tasks[[#This Row],[Start]],Tasks[[#This Row],[Finish]],WorkWeek,Holidays),N(Tasks[[#This Row],[_Days]])))</f>
        <v/>
      </c>
      <c r="HF64" s="43" t="n">
        <f aca="false">IF(Tasks[[#This Row],[Expected]]="",0,((Tasks[[#This Row],[Pessimistic]]-Tasks[[#This Row],[Optimistic]])/6)^2)</f>
        <v>0</v>
      </c>
      <c r="HG64" s="43" t="n">
        <f aca="false">IF(Tasks[[#This Row],[Expected]]="",0,Tasks[[#This Row],[Expected]]-N(Tasks[[#This Row],[_Days]]))</f>
        <v>0</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4"/>
      <c r="U65" s="23"/>
      <c r="V65" s="84"/>
      <c r="W65" s="23"/>
      <c r="X65" s="84"/>
      <c r="Y65" s="23"/>
      <c r="Z65" s="84"/>
      <c r="AA65" s="23"/>
      <c r="AB65" s="23"/>
      <c r="AC65" s="7"/>
      <c r="AD65" s="7"/>
      <c r="AE65" s="63" t="str">
        <f aca="false">IF(Tasks[[#This Row],[Task Name]]="","",IF(Tasks[[#This Row],[_IsSummary]],MIN(INDEX(Tasks[_ShownFcstStart],Tasks[[#This Row],[_Row]]+1):INDEX(Tasks[_ShownFcstStart],Tasks[[#This Row],[_Row]]+Tasks[[#This Row],[_Descendants]])),Tasks[[#This Row],[_ShownFcstStart]]))</f>
        <v/>
      </c>
      <c r="AF65" s="63"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5" s="7"/>
      <c r="AK65" s="22"/>
      <c r="AL65" s="23"/>
      <c r="AM65" s="7"/>
      <c r="AN65" s="47"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3" t="str">
        <f aca="false">IF(Tasks[[#This Row],[Task Name]]="","",IF(N(Tasks[[#This Row],[Baseline Start]])&gt;0,Tasks[[#This Row],[Baseline Start]],Tasks[[#This Row],[_CalcStart]]))</f>
        <v/>
      </c>
      <c r="AR65" s="63" t="str">
        <f aca="false">IF(Tasks[[#This Row],[Task Name]]="","",IF(N(Tasks[[#This Row],[Baseline Finish]])&gt;0,Tasks[[#This Row],[Baseline Finish]],Tasks[[#This Row],[_CalcFinish]]))</f>
        <v/>
      </c>
      <c r="AS65" s="47" t="str">
        <f aca="false">IF(Tasks[[#This Row],[Task Name]]="","",IF(Tasks[[#This Row],[Start]]&gt;=Tasks[[#This Row],[Planned Start]],NETWORKDAYS.INTL(Tasks[[#This Row],[Planned Start]],Tasks[[#This Row],[Start]],WorkWeek,Holidays)-1,1-NETWORKDAYS.INTL(Tasks[[#This Row],[Start]],Tasks[[#This Row],[Planned Start]],WorkWeek,Holidays)))</f>
        <v/>
      </c>
      <c r="AT65" s="63" t="str">
        <f aca="false">IF(Tasks[[#This Row],[Task Name]]="","",IF(Tasks[[#This Row],[_IsSummary]],MIN(INDEX(Tasks[_LeafLateStart],Tasks[[#This Row],[_Row]]+1):INDEX(Tasks[_LeafLateStart],Tasks[[#This Row],[_Row]]+Tasks[[#This Row],[_Descendants]])),Tasks[[#This Row],[_LeafLateStart]]))</f>
        <v/>
      </c>
      <c r="AU65" s="63" t="str">
        <f aca="false">IF(Tasks[[#This Row],[Task Name]]="","",IF(Tasks[[#This Row],[_IsSummary]],MAX(INDEX(Tasks[_LeafLateFinish],Tasks[[#This Row],[_Row]]+1):INDEX(Tasks[_LeafLateFinish],Tasks[[#This Row],[_Row]]+Tasks[[#This Row],[_Descendants]])),Tasks[[#This Row],[_LeafLateFinish]]))</f>
        <v/>
      </c>
      <c r="AV65" s="47"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5"/>
      <c r="BA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6"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7"/>
      <c r="BJ65" s="22"/>
      <c r="BK65" s="47" t="str">
        <f aca="false">IF(OR(Tasks[[#This Row],[Task Name]]="",Tasks[[#This Row],[Baseline Duration]]=""),"",Tasks[[#This Row],[_SpanDays]]-N(Tasks[[#This Row],[Baseline Duration]]))</f>
        <v/>
      </c>
      <c r="BL65" s="86" t="str">
        <f aca="false">IF(OR(Tasks[[#This Row],[Task Name]]="",Tasks[[#This Row],[Baseline Work]]=""),"",Tasks[[#This Row],[Work]]-N(Tasks[[#This Row],[Baseline Work]]))</f>
        <v/>
      </c>
      <c r="BM65" s="63" t="str">
        <f aca="false">IF(Tasks[[#This Row],[Task Name]]="","",IF(OR(TakeBaseline="Yes",N(Tasks[[#This Row],[Baseline Start]])=0),Tasks[[#This Row],[Start]],Tasks[[#This Row],[Baseline Start]]))</f>
        <v/>
      </c>
      <c r="BN65" s="63" t="str">
        <f aca="false">IF(Tasks[[#This Row],[Task Name]]="","",IF(OR(TakeBaseline="Yes",N(Tasks[[#This Row],[Baseline Finish]])=0),Tasks[[#This Row],[Finish]],Tasks[[#This Row],[Baseline Finish]]))</f>
        <v/>
      </c>
      <c r="BO65" s="21" t="str">
        <f aca="false">IF(Tasks[[#This Row],[Task Name]]="","",IF(OR(TakeBaseline="Yes",N(Tasks[[#This Row],[Baseline Duration]])=0),Tasks[[#This Row],[_SpanDays]],Tasks[[#This Row],[Baseline Duration]]))</f>
        <v/>
      </c>
      <c r="BP65" s="86" t="str">
        <f aca="false">IF(Tasks[[#This Row],[Task Name]]="","",IF(OR(TakeBaseline="Yes",N(Tasks[[#This Row],[Baseline Work]])=0),Tasks[[#This Row],[Work]],Tasks[[#This Row],[Baseline Work]]))</f>
        <v/>
      </c>
      <c r="BQ65" s="7"/>
      <c r="BR65" s="7"/>
      <c r="BS65" s="22"/>
      <c r="BT65" s="88"/>
      <c r="BU65" s="23"/>
      <c r="BV65" s="23"/>
      <c r="BW65" s="23"/>
      <c r="BX65" s="89" t="str">
        <f aca="false">IF(AND(Tasks[[#This Row],[_IsLeaf]]=1,ISNUMBER(Tasks[[#This Row],[Optimistic]]),ISNUMBER(Tasks[[#This Row],[Pessimistic]])),ROUND((Tasks[[#This Row],[Optimistic]]+4*N(Tasks[[#This Row],[_Days]])+Tasks[[#This Row],[Pessimistic]])/6,1),"")</f>
        <v/>
      </c>
      <c r="BY65" s="87"/>
      <c r="BZ65" s="87"/>
      <c r="CA65" s="22"/>
      <c r="CB65" s="43" t="str">
        <f aca="false">IF(Tasks[[#This Row],[Task Name]]="","",MAX(1,N(Tasks[[#This Row],[Level]])))</f>
        <v/>
      </c>
      <c r="CC65" s="43" t="n">
        <f aca="false">ROW()-ROW(Tasks[[#Headers],[ID]])</f>
        <v>60</v>
      </c>
      <c r="CD65" s="43" t="n">
        <f aca="false">IF(OR(Tasks[[#This Row],[Task Name]]="",Tasks[[#This Row],[_Level]]&lt;=1),0,IFERROR(LOOKUP(2,1/(Tasks[[#Headers],[_Level]]:Tasks[[#This Row],[_Level]]=Tasks[[#This Row],[_Level]]-1),ROW(Tasks[[#Headers],[_Level]]:Tasks[[#This Row],[_Level]])),0))</f>
        <v>0</v>
      </c>
      <c r="CE65" s="43" t="n">
        <f aca="false">IFERROR(N(INDEX(Tasks[_Level],Tasks[[#This Row],[_Row]]+1)),0)</f>
        <v>0</v>
      </c>
      <c r="CF65" s="90" t="b">
        <f aca="false">AND(Tasks[[#This Row],[Task Name]]&lt;&gt;"",Tasks[[#This Row],[_NextLevel]]&gt;Tasks[[#This Row],[_Level]])</f>
        <v>0</v>
      </c>
      <c r="CG65" s="43" t="n">
        <f aca="false">IF(Tasks[[#This Row],[_IsSummary]],COUNTIF(Tasks[WBS],Tasks[[#This Row],[WBS]]&amp;".*"),0)</f>
        <v>0</v>
      </c>
      <c r="CH65" s="43" t="n">
        <f aca="false">IF(AND(Tasks[[#This Row],[Task Name]]&lt;&gt;"",NOT(Tasks[[#This Row],[_IsSummary]])),1,0)</f>
        <v>0</v>
      </c>
      <c r="CI65" s="43" t="n">
        <f aca="false">IF(N(Tasks[[#This Row],[_Pred1UID]])=0,0,IFERROR(MATCH(Tasks[[#This Row],[_Pred1UID]],Tasks[UID],0),-1))</f>
        <v>0</v>
      </c>
      <c r="CJ65" s="43" t="n">
        <f aca="false">IF(N(Tasks[[#This Row],[_Pred2UID]])=0,0,IFERROR(MATCH(Tasks[[#This Row],[_Pred2UID]],Tasks[UID],0),-1))</f>
        <v>0</v>
      </c>
      <c r="CK65" s="43" t="n">
        <f aca="false">IF(N(Tasks[[#This Row],[_Pred3UID]])=0,0,IFERROR(MATCH(Tasks[[#This Row],[_Pred3UID]],Tasks[UID],0),-1))</f>
        <v>0</v>
      </c>
      <c r="CL65" s="43" t="n">
        <f aca="false">IF(N(Tasks[[#This Row],[_Pred4UID]])=0,0,IFERROR(MATCH(Tasks[[#This Row],[_Pred4UID]],Tasks[UID],0),-1))</f>
        <v>0</v>
      </c>
      <c r="CM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5" s="91" t="n">
        <f aca="false">IF(OR(Tasks[[#This Row],[_ConstraintCode]]=2,Tasks[[#This Row],[_ConstraintCode]]=3,Tasks[[#This Row],[_ConstraintCode]]=4,Tasks[[#This Row],[_ConstraintCode]]=6),Tasks[[#This Row],[_ConstraintStart]],0)</f>
        <v>0</v>
      </c>
      <c r="CP65" s="91" t="n">
        <f aca="false">IF(OR(Tasks[[#This Row],[_ConstraintCode]]=2,Tasks[[#This Row],[_ConstraintCode]]=3,Tasks[[#This Row],[_ConstraintCode]]=5,Tasks[[#This Row],[_ConstraintCode]]=7),Tasks[[#This Row],[_ConstraintStart]],2958465)</f>
        <v>2958465</v>
      </c>
      <c r="CQ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91" t="str">
        <f aca="false">IF(NOT(Tasks[[#This Row],[_IsLeaf]]=1),"",IF(N(Tasks[[#This Row],[_Days]])&lt;=0,Tasks[[#This Row],[_LeafCalcStart]],WORKDAY.INTL(Tasks[[#This Row],[_LeafCalcStart]],Tasks[[#This Row],[_Days]]-1,WorkWeek,Holidays)))</f>
        <v/>
      </c>
      <c r="CS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3" t="str">
        <f aca="false">IF(Tasks[[#This Row],[_Predecessors]]="","",TRIM(MID(SUBSTITUTE(SUBSTITUTE(SUBSTITUTE(UPPER(Tasks[[#This Row],[_Predecessors]]),";",",")," ",""),",",REPT(" ",99)),1,99)))</f>
        <v/>
      </c>
      <c r="CV65" s="43" t="str">
        <f aca="false">IF(Tasks[[#This Row],[_Pred1Text]]="","",IFERROR(VALUE(LEFT(Tasks[[#This Row],[_Pred1Text]],MIN(FIND("F",Tasks[[#This Row],[_Pred1Text]]&amp;"F"),FIND("S",Tasks[[#This Row],[_Pred1Text]]&amp;"S"),FIND("+",Tasks[[#This Row],[_Pred1Text]]&amp;"+"),FIND("-",Tasks[[#This Row],[_Pred1Text]]&amp;"-"))-1)),""))</f>
        <v/>
      </c>
      <c r="CW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3" t="str">
        <f aca="false">IF(Tasks[[#This Row],[_Pred1Text]]="","",TRIM(MID(SUBSTITUTE(SUBSTITUTE(SUBSTITUTE(UPPER(Tasks[[#This Row],[_Predecessors]]),";",",")," ",""),",",REPT(" ",99)),100,99)))</f>
        <v/>
      </c>
      <c r="CZ65" s="43" t="str">
        <f aca="false">IF(Tasks[[#This Row],[_Pred2Text]]="","",IFERROR(VALUE(LEFT(Tasks[[#This Row],[_Pred2Text]],MIN(FIND("F",Tasks[[#This Row],[_Pred2Text]]&amp;"F"),FIND("S",Tasks[[#This Row],[_Pred2Text]]&amp;"S"),FIND("+",Tasks[[#This Row],[_Pred2Text]]&amp;"+"),FIND("-",Tasks[[#This Row],[_Pred2Text]]&amp;"-"))-1)),""))</f>
        <v/>
      </c>
      <c r="DA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3" t="str">
        <f aca="false">IF(Tasks[[#This Row],[_Pred2Text]]="","",TRIM(MID(SUBSTITUTE(SUBSTITUTE(SUBSTITUTE(UPPER(Tasks[[#This Row],[_Predecessors]]),";",",")," ",""),",",REPT(" ",99)),199,99)))</f>
        <v/>
      </c>
      <c r="DD65" s="43" t="str">
        <f aca="false">IF(Tasks[[#This Row],[_Pred3Text]]="","",IFERROR(VALUE(LEFT(Tasks[[#This Row],[_Pred3Text]],MIN(FIND("F",Tasks[[#This Row],[_Pred3Text]]&amp;"F"),FIND("S",Tasks[[#This Row],[_Pred3Text]]&amp;"S"),FIND("+",Tasks[[#This Row],[_Pred3Text]]&amp;"+"),FIND("-",Tasks[[#This Row],[_Pred3Text]]&amp;"-"))-1)),""))</f>
        <v/>
      </c>
      <c r="DE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3" t="str">
        <f aca="false">IF(Tasks[[#This Row],[_Pred3Text]]="","",TRIM(MID(SUBSTITUTE(SUBSTITUTE(SUBSTITUTE(UPPER(Tasks[[#This Row],[_Predecessors]]),";",",")," ",""),",",REPT(" ",99)),298,99)))</f>
        <v/>
      </c>
      <c r="DH65" s="43" t="str">
        <f aca="false">IF(Tasks[[#This Row],[_Pred4Text]]="","",IFERROR(VALUE(LEFT(Tasks[[#This Row],[_Pred4Text]],MIN(FIND("F",Tasks[[#This Row],[_Pred4Text]]&amp;"F"),FIND("S",Tasks[[#This Row],[_Pred4Text]]&amp;"S"),FIND("+",Tasks[[#This Row],[_Pred4Text]]&amp;"+"),FIND("-",Tasks[[#This Row],[_Pred4Text]]&amp;"-"))-1)),""))</f>
        <v/>
      </c>
      <c r="DI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3" t="str">
        <f aca="false">IF(OR(Tasks[[#This Row],[Task Name]]="",Tasks[[#This Row],[_Resources]]=""),"",TRIM(MID(SUBSTITUTE(Tasks[[#This Row],[_Resources]],",",REPT(" ",99)),1,99)))</f>
        <v/>
      </c>
      <c r="DL65" s="43" t="str">
        <f aca="false">IF(Tasks[[#This Row],[_Res1Text]]="","",TRIM(MID(SUBSTITUTE(Tasks[[#This Row],[_Resources]],",",REPT(" ",99)),100,99)))</f>
        <v/>
      </c>
      <c r="DM65" s="43" t="str">
        <f aca="false">IF(Tasks[[#This Row],[_Res2Text]]="","",TRIM(MID(SUBSTITUTE(Tasks[[#This Row],[_Resources]],",",REPT(" ",99)),199,99)))</f>
        <v/>
      </c>
      <c r="DN65" s="43" t="str">
        <f aca="false">IF(Tasks[[#This Row],[_Res3Text]]="","",TRIM(MID(SUBSTITUTE(Tasks[[#This Row],[_Resources]],",",REPT(" ",99)),298,99)))</f>
        <v/>
      </c>
      <c r="DO65" s="43" t="n">
        <f aca="false">IF(Tasks[[#This Row],[_Res1Text]]="",0,IFERROR(MATCH(TRIM(LEFT(Tasks[[#This Row],[_Res1Text]],FIND("[",Tasks[[#This Row],[_Res1Text]]&amp;"[")-1)),res_Name,0),IFERROR(MATCH(TRIM(LEFT(Tasks[[#This Row],[_Res1Text]],FIND("[",Tasks[[#This Row],[_Res1Text]]&amp;"[")-1)),res_Initials,0),0)))</f>
        <v>0</v>
      </c>
      <c r="DP65" s="43" t="n">
        <f aca="false">IF(Tasks[[#This Row],[_Res2Text]]="",0,IFERROR(MATCH(TRIM(LEFT(Tasks[[#This Row],[_Res2Text]],FIND("[",Tasks[[#This Row],[_Res2Text]]&amp;"[")-1)),res_Name,0),IFERROR(MATCH(TRIM(LEFT(Tasks[[#This Row],[_Res2Text]],FIND("[",Tasks[[#This Row],[_Res2Text]]&amp;"[")-1)),res_Initials,0),0)))</f>
        <v>0</v>
      </c>
      <c r="DQ65" s="43" t="n">
        <f aca="false">IF(Tasks[[#This Row],[_Res3Text]]="",0,IFERROR(MATCH(TRIM(LEFT(Tasks[[#This Row],[_Res3Text]],FIND("[",Tasks[[#This Row],[_Res3Text]]&amp;"[")-1)),res_Name,0),IFERROR(MATCH(TRIM(LEFT(Tasks[[#This Row],[_Res3Text]],FIND("[",Tasks[[#This Row],[_Res3Text]]&amp;"[")-1)),res_Initials,0),0)))</f>
        <v>0</v>
      </c>
      <c r="DR65" s="43" t="n">
        <f aca="false">IF(Tasks[[#This Row],[_Res4Text]]="",0,IFERROR(MATCH(TRIM(LEFT(Tasks[[#This Row],[_Res4Text]],FIND("[",Tasks[[#This Row],[_Res4Text]]&amp;"[")-1)),res_Name,0),IFERROR(MATCH(TRIM(LEFT(Tasks[[#This Row],[_Res4Text]],FIND("[",Tasks[[#This Row],[_Res4Text]]&amp;"[")-1)),res_Initials,0),0)))</f>
        <v>0</v>
      </c>
      <c r="DS65" s="43" t="str">
        <f aca="false">IF(Tasks[[#This Row],[_Res1Text]]="","",IF(Tasks[[#This Row],[_Res1Row]]&gt;0,INDEX(res_Name,Tasks[[#This Row],[_Res1Row]]),TRIM(LEFT(Tasks[[#This Row],[_Res1Text]],FIND("[",Tasks[[#This Row],[_Res1Text]]&amp;"[")-1))))</f>
        <v/>
      </c>
      <c r="DT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3" t="n">
        <f aca="false">IF(NOT(Tasks[[#This Row],[_IsLeaf]]=1),0,(Tasks[[#This Row],[_Resource1]]&lt;&gt;"")+(Tasks[[#This Row],[_Res2]]&lt;&gt;"")+(Tasks[[#This Row],[_Res3]]&lt;&gt;"")+(Tasks[[#This Row],[_Res4]]&lt;&gt;""))</f>
        <v>0</v>
      </c>
      <c r="DV65" s="43" t="str">
        <f aca="false">IF(Tasks[[#This Row],[_Res2Text]]="","",IF(Tasks[[#This Row],[_Res2Row]]&gt;0,INDEX(res_Name,Tasks[[#This Row],[_Res2Row]]),TRIM(LEFT(Tasks[[#This Row],[_Res2Text]],FIND("[",Tasks[[#This Row],[_Res2Text]]&amp;"[")-1))))</f>
        <v/>
      </c>
      <c r="DW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3" t="n">
        <f aca="false">IF(OR(NOT(Tasks[[#This Row],[_IsLeaf]]=1),Tasks[[#This Row],[_Res2Row]]=0),0,N(Tasks[[#This Row],[_Days]])*HoursPerDay*IF(Tasks[[#This Row],[_Res2Units]]="",DefaultUnits,Tasks[[#This Row],[_Res2Units]]))</f>
        <v>0</v>
      </c>
      <c r="DY65" s="43" t="n">
        <f aca="false">IF(AND(AND(Tasks[[#This Row],[_IsLeaf]]=1,Tasks[[#This Row],[_LeafTotalWork]]&gt;0),Tasks[[#This Row],[_Res2Work]]&gt;0),Tasks[[#This Row],[_Res2Work]]/(Tasks[[#This Row],[_FinishWorkday]]-Tasks[[#This Row],[_StartWorkday]]+1),0)</f>
        <v>0</v>
      </c>
      <c r="DZ65" s="43" t="n">
        <f aca="false">Tasks[[#This Row],[_Res2WorkPerWD]]*MAX(0,Tasks[[#This Row],[_StartWorkday]]-1)</f>
        <v>0</v>
      </c>
      <c r="EA65" s="43" t="n">
        <f aca="false">Tasks[[#This Row],[_Res2Work]]*Tasks[[#This Row],[_LeafProgress]]</f>
        <v>0</v>
      </c>
      <c r="EB65" s="43" t="str">
        <f aca="false">IF(Tasks[[#This Row],[_Res3Text]]="","",IF(Tasks[[#This Row],[_Res3Row]]&gt;0,INDEX(res_Name,Tasks[[#This Row],[_Res3Row]]),TRIM(LEFT(Tasks[[#This Row],[_Res3Text]],FIND("[",Tasks[[#This Row],[_Res3Text]]&amp;"[")-1))))</f>
        <v/>
      </c>
      <c r="EC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3" t="n">
        <f aca="false">IF(OR(NOT(Tasks[[#This Row],[_IsLeaf]]=1),Tasks[[#This Row],[_Res3Row]]=0),0,N(Tasks[[#This Row],[_Days]])*HoursPerDay*IF(Tasks[[#This Row],[_Res3Units]]="",DefaultUnits,Tasks[[#This Row],[_Res3Units]]))</f>
        <v>0</v>
      </c>
      <c r="EE65" s="43" t="n">
        <f aca="false">IF(AND(AND(Tasks[[#This Row],[_IsLeaf]]=1,Tasks[[#This Row],[_LeafTotalWork]]&gt;0),Tasks[[#This Row],[_Res3Work]]&gt;0),Tasks[[#This Row],[_Res3Work]]/(Tasks[[#This Row],[_FinishWorkday]]-Tasks[[#This Row],[_StartWorkday]]+1),0)</f>
        <v>0</v>
      </c>
      <c r="EF65" s="43" t="n">
        <f aca="false">Tasks[[#This Row],[_Res3WorkPerWD]]*MAX(0,Tasks[[#This Row],[_StartWorkday]]-1)</f>
        <v>0</v>
      </c>
      <c r="EG65" s="43" t="n">
        <f aca="false">Tasks[[#This Row],[_Res3Work]]*Tasks[[#This Row],[_LeafProgress]]</f>
        <v>0</v>
      </c>
      <c r="EH65" s="43" t="str">
        <f aca="false">IF(Tasks[[#This Row],[_Res4Text]]="","",IF(Tasks[[#This Row],[_Res4Row]]&gt;0,INDEX(res_Name,Tasks[[#This Row],[_Res4Row]]),TRIM(LEFT(Tasks[[#This Row],[_Res4Text]],FIND("[",Tasks[[#This Row],[_Res4Text]]&amp;"[")-1))))</f>
        <v/>
      </c>
      <c r="EI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3" t="n">
        <f aca="false">IF(OR(NOT(Tasks[[#This Row],[_IsLeaf]]=1),Tasks[[#This Row],[_Res4Row]]=0),0,N(Tasks[[#This Row],[_Days]])*HoursPerDay*IF(Tasks[[#This Row],[_Res4Units]]="",DefaultUnits,Tasks[[#This Row],[_Res4Units]]))</f>
        <v>0</v>
      </c>
      <c r="EK65" s="43" t="n">
        <f aca="false">IF(AND(AND(Tasks[[#This Row],[_IsLeaf]]=1,Tasks[[#This Row],[_LeafTotalWork]]&gt;0),Tasks[[#This Row],[_Res4Work]]&gt;0),Tasks[[#This Row],[_Res4Work]]/(Tasks[[#This Row],[_FinishWorkday]]-Tasks[[#This Row],[_StartWorkday]]+1),0)</f>
        <v>0</v>
      </c>
      <c r="EL65" s="43" t="n">
        <f aca="false">Tasks[[#This Row],[_Res4WorkPerWD]]*MAX(0,Tasks[[#This Row],[_StartWorkday]]-1)</f>
        <v>0</v>
      </c>
      <c r="EM65" s="43" t="n">
        <f aca="false">Tasks[[#This Row],[_Res4Work]]*Tasks[[#This Row],[_LeafProgress]]</f>
        <v>0</v>
      </c>
      <c r="EN65" s="43" t="n">
        <f aca="false">IF(ISNUMBER(Tasks[[#This Row],[% Complete]]),Tasks[[#This Row],[% Complete]],IF(Tasks[[#This Row],[Stage]]="",0,IFERROR(INDEX(stg_Pct,MATCH(Tasks[[#This Row],[Stage]],stg_Name,0)),0)))</f>
        <v>0</v>
      </c>
      <c r="EO65" s="43" t="n">
        <f aca="false">IF(NOT(Tasks[[#This Row],[_IsLeaf]]=1),0,IF(N(Tasks[[#This Row],[Actual Finish]])&gt;0,1,MIN(1,Tasks[[#This Row],[_Pct]])))</f>
        <v>0</v>
      </c>
      <c r="EP65" s="43" t="n">
        <f aca="false">IF(OR(NOT(Tasks[[#This Row],[_IsLeaf]]=1),Tasks[[#This Row],[_Res1Row]]=0),0,N(Tasks[[#This Row],[_Days]])*HoursPerDay*IF(Tasks[[#This Row],[_Units1]]="",DefaultUnits,Tasks[[#This Row],[_Units1]]))</f>
        <v>0</v>
      </c>
      <c r="EQ65" s="43" t="n">
        <f aca="false">Tasks[[#This Row],[_LeafWork]]+Tasks[[#This Row],[_Res2Work]]+Tasks[[#This Row],[_Res3Work]]+Tasks[[#This Row],[_Res4Work]]</f>
        <v>0</v>
      </c>
      <c r="ER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3" t="n">
        <f aca="false">IF(NOT(Tasks[[#This Row],[_IsLeaf]]=1),0,MAX(_xlfn.MAXIFS(Tasks[_Row],Tasks[_Pred1UID],Tasks[[#This Row],[UID]]),_xlfn.MAXIFS(Tasks[_Row],Tasks[_Pred2UID],Tasks[[#This Row],[UID]]),_xlfn.MAXIFS(Tasks[_Row],Tasks[_Pred3UID],Tasks[[#This Row],[UID]]),_xlfn.MAXIFS(Tasks[_Row],Tasks[_Pred4UID],Tasks[[#This Row],[UID]])))</f>
        <v>0</v>
      </c>
      <c r="FA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91" t="str">
        <f aca="false">IF(NOT(Tasks[[#This Row],[_IsLeaf]]=1),"",IF(N(Tasks[[#This Row],[_Days]])&lt;=0,Tasks[[#This Row],[_LeafLateFinish]],WORKDAY.INTL(Tasks[[#This Row],[_LeafLateFinish]],-(Tasks[[#This Row],[_Days]]-1),WorkWeek,Holidays)))</f>
        <v/>
      </c>
      <c r="FD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5" s="90" t="b">
        <f aca="false">AND(Tasks[[#This Row],[_IsLeaf]]=1,Tasks[[#This Row],[_LeafProgress]]&lt;1,N(Tasks[[#This Row],[_LeafTotalSlack]])&lt;=CriticalSlackDays)</f>
        <v>0</v>
      </c>
      <c r="FF65" s="43" t="n">
        <f aca="false">IF(AND(Tasks[[#This Row],[_IsLeaf]]=1,Tasks[[#This Row],[_ConstraintCode]]=1,Tasks[[#This Row],[Mode]]&lt;&gt;"Manual",N(Tasks[[#This Row],[Actual Start]])=0),MAX(0,N(Tasks[[#This Row],[Free Slack]])),0)</f>
        <v>0</v>
      </c>
      <c r="FG65" s="91" t="str">
        <f aca="false">IF(NOT(Tasks[[#This Row],[_IsLeaf]]=1),"",IF(Tasks[[#This Row],[_AlapShift]]=0,Tasks[[#This Row],[_LeafCalcStart]],WORKDAY.INTL(Tasks[[#This Row],[_LeafCalcStart]],Tasks[[#This Row],[_AlapShift]],WorkWeek,Holidays)))</f>
        <v/>
      </c>
      <c r="FH65" s="91" t="str">
        <f aca="false">IF(NOT(Tasks[[#This Row],[_IsLeaf]]=1),"",IF(Tasks[[#This Row],[_AlapShift]]=0,Tasks[[#This Row],[_LeafCalcFinish]],WORKDAY.INTL(Tasks[[#This Row],[_LeafCalcFinish]],Tasks[[#This Row],[_AlapShift]],WorkWeek,Holidays)))</f>
        <v/>
      </c>
      <c r="FI65" s="91" t="str">
        <f aca="false">IF(NOT(Tasks[[#This Row],[_IsLeaf]]=1),"",IF(Tasks[[#This Row],[_AlapShift]]=0,Tasks[[#This Row],[_LeafFcstStart]],WORKDAY.INTL(Tasks[[#This Row],[_LeafFcstStart]],Tasks[[#This Row],[_AlapShift]],WorkWeek,Holidays)))</f>
        <v/>
      </c>
      <c r="FJ65" s="91" t="str">
        <f aca="false">IF(NOT(Tasks[[#This Row],[_IsLeaf]]=1),"",IF(Tasks[[#This Row],[_AlapShift]]=0,Tasks[[#This Row],[_LeafFcstFinish]],WORKDAY.INTL(Tasks[[#This Row],[_LeafFcstFinish]],Tasks[[#This Row],[_AlapShift]],WorkWeek,Holidays)))</f>
        <v/>
      </c>
      <c r="FK65" s="91" t="str">
        <f aca="false">IF(Tasks[[#This Row],[Task Name]]="","",IF(Tasks[[#This Row],[_IsSummary]],MIN(INDEX(Tasks[_ShownCalcStart],Tasks[[#This Row],[_Row]]+1):INDEX(Tasks[_ShownCalcStart],Tasks[[#This Row],[_Row]]+Tasks[[#This Row],[_Descendants]])),Tasks[[#This Row],[_ShownCalcStart]]))</f>
        <v/>
      </c>
      <c r="FL65" s="91" t="str">
        <f aca="false">IF(Tasks[[#This Row],[Task Name]]="","",IF(Tasks[[#This Row],[_IsSummary]],MAX(INDEX(Tasks[_ShownCalcFinish],Tasks[[#This Row],[_Row]]+1):INDEX(Tasks[_ShownCalcFinish],Tasks[[#This Row],[_Row]]+Tasks[[#This Row],[_Descendants]])),Tasks[[#This Row],[_ShownCalcFinish]]))</f>
        <v/>
      </c>
      <c r="FM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5" s="43" t="n">
        <f aca="false">IF(AND(Tasks[[#This Row],[_IsLeaf]]=1,Tasks[[#This Row],[_LeafTotalWork]]&gt;0),NETWORKDAYS.INTL(ProjectStart,Tasks[[#This Row],[_ShownFcstStart]],WorkWeek,Holidays),0)</f>
        <v>0</v>
      </c>
      <c r="FZ65" s="43" t="n">
        <f aca="false">IF(AND(Tasks[[#This Row],[_IsLeaf]]=1,Tasks[[#This Row],[_LeafTotalWork]]&gt;0),MAX(Tasks[[#This Row],[_StartWorkday]],NETWORKDAYS.INTL(ProjectStart,Tasks[[#This Row],[_ShownFcstFinish]],WorkWeek,Holidays)),0)</f>
        <v>0</v>
      </c>
      <c r="GA65" s="43" t="n">
        <f aca="false">IF(AND(Tasks[[#This Row],[_IsLeaf]]=1,Tasks[[#This Row],[_LeafTotalWork]]&gt;0),Tasks[[#This Row],[_LeafWork]]/(Tasks[[#This Row],[_FinishWorkday]]-Tasks[[#This Row],[_StartWorkday]]+1),0)</f>
        <v>0</v>
      </c>
      <c r="GB65" s="43" t="n">
        <f aca="false">Tasks[[#This Row],[_WorkPerWorkday]]*(Tasks[[#This Row],[_StartWorkday]]-1)</f>
        <v>-0</v>
      </c>
      <c r="GC65" s="43" t="n">
        <f aca="false">IF(Tasks[[#This Row],[_IsLeaf]]=1,MAX(N(Tasks[[#This Row],[_Days]]),0.1),0)</f>
        <v>0</v>
      </c>
      <c r="GD65" s="43" t="n">
        <f aca="false">Tasks[[#This Row],[_WeightDur]]*Tasks[[#This Row],[_LeafProgress]]</f>
        <v>0</v>
      </c>
      <c r="GE65" s="43" t="n">
        <f aca="false">Tasks[[#This Row],[_WeightDur]]*Tasks[[#This Row],[_PlannedPct]]</f>
        <v>0</v>
      </c>
      <c r="GF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3" t="str">
        <f aca="false">IF(AND(Tasks[[#This Row],[_IsLeaf]]=1,N(Tasks[[#This Row],[_Days]])=0,Tasks[[#This Row],[_LeafProgress]]&lt;1),Tasks[[#This Row],[_ShownFcstFinish]]+Tasks[[#This Row],[_Row]]/100000,"")</f>
        <v/>
      </c>
      <c r="GH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5" s="43" t="str">
        <f aca="false">IF(Tasks[[#This Row],[Task Name]]="","",LEFT(Tasks[[#This Row],[WBS]],FIND(".",Tasks[[#This Row],[WBS]]&amp;".")-1))</f>
        <v/>
      </c>
      <c r="GJ65" s="43" t="str">
        <f aca="false">IF(AND(Tasks[[#This Row],[Task Name]]&lt;&gt;"",Tasks[[#This Row],[_Level]]=1),Tasks[[#This Row],[_Row]],"")</f>
        <v/>
      </c>
      <c r="GK65" s="43" t="str">
        <f aca="false">IF(AND(Tasks[[#This Row],[_IsLeaf]]=1,N(Tasks[[#This Row],[_Days]])=0),Tasks[[#This Row],[Planned Finish]]+Tasks[[#This Row],[_Row]]/100000,"")</f>
        <v/>
      </c>
      <c r="GL65" s="43" t="str">
        <f aca="false">IF(AND(Tasks[[#This Row],[_IsLeaf]]=1,Tasks[[#This Row],[_LeafProgress]]&lt;1,OR(N(Tasks[[#This Row],[Finish Var]])&gt;0,Tasks[[#This Row],[Status]]="Late Start")),MAX(0,Tasks[[#This Row],[Finish Var]])+1-Tasks[[#This Row],[_Row]]/1000000,"")</f>
        <v/>
      </c>
      <c r="GM65" s="43" t="str">
        <f aca="false">IF(AND(Tasks[[#This Row],[_IsLeaf]]=1,N(Tasks[[#This Row],[Actual Start]])=0,Tasks[[#This Row],[_ShownFcstStart]]&gt;=StatusDate,Tasks[[#This Row],[_ShownFcstStart]]&lt;=LookaheadEnd),Tasks[[#This Row],[_ShownFcstStart]]+Tasks[[#This Row],[_Row]]/100000,"")</f>
        <v/>
      </c>
      <c r="GN65" s="43" t="str">
        <f aca="false">IF(AND(Tasks[[#This Row],[_IsLeaf]]=1,Tasks[[#This Row],[_LeafProgress]]&lt;1,Tasks[[#This Row],[_ShownFcstFinish]]&gt;=StatusDate,Tasks[[#This Row],[_ShownFcstFinish]]&lt;=LookaheadEnd),Tasks[[#This Row],[_ShownFcstFinish]]+Tasks[[#This Row],[_Row]]/100000,"")</f>
        <v/>
      </c>
      <c r="GO65" s="43" t="str">
        <f aca="false">IF(Tasks[[#This Row],[_LeafCritical]],Tasks[[#This Row],[_ShownFcstStart]]+Tasks[[#This Row],[_Row]]/100000,"")</f>
        <v/>
      </c>
      <c r="GP65" s="43" t="n">
        <f aca="false">Tasks[[#This Row],[_LeafWork]]*Tasks[[#This Row],[_LeafProgress]]</f>
        <v>0</v>
      </c>
      <c r="GQ65" s="91" t="str">
        <f aca="false">IF(AND(Tasks[[#This Row],[_IsLeaf]]=1,Tasks[[#This Row],[_LeafProgress]]&gt;=1),IF(N(Tasks[[#This Row],[Actual Finish]])&gt;0,Tasks[[#This Row],[Actual Finish]],Tasks[[#This Row],[_ShownFcstFinish]]),"")</f>
        <v/>
      </c>
      <c r="GR65" s="43" t="n">
        <f aca="false">IF(Tasks[[#This Row],[_IsLeaf]]=1,N(Tasks[[#This Row],[Story Points]]),0)</f>
        <v>0</v>
      </c>
      <c r="GS65" s="43" t="str">
        <f aca="false">""</f>
        <v/>
      </c>
      <c r="GT65" s="90" t="b">
        <f aca="false">IF(Tasks[[#This Row],[Task Name]]="",FALSE(),AND(Tasks[[#This Row],[_IsLeaf]]=1,N(Tasks[[#This Row],[_Days]])=0))</f>
        <v>0</v>
      </c>
      <c r="GU65" s="91" t="n">
        <f aca="false">IF(Tasks[[#This Row],[Task Name]]="",0,IF(AND(Tasks[[#This Row],[_IsLeaf]]=1,NOT(Tasks[[#This Row],[_IsMilestone]]),N(Tasks[[#This Row],[Progress]])&gt;0),Tasks[[#This Row],[Start]],0))</f>
        <v>0</v>
      </c>
      <c r="GV65" s="91" t="n">
        <f aca="false">IF(Tasks[[#This Row],[_DoneFrom]]=0,0,IF(Tasks[[#This Row],[Progress]]&gt;=1,Tasks[[#This Row],[Finish]],MAX(Tasks[[#This Row],[_DoneFrom]],Tasks[[#This Row],[Start]]+ROUND((Tasks[[#This Row],[Finish]]-Tasks[[#This Row],[Start]]+1)*Tasks[[#This Row],[Progress]],0)-1)))</f>
        <v>0</v>
      </c>
      <c r="GW65" s="91" t="n">
        <f aca="false">IF(Tasks[[#This Row],[Task Name]]="",0,IF(OR(NOT(Tasks[[#This Row],[_IsLeaf]]=1),Tasks[[#This Row],[_IsMilestone]],N(Tasks[[#This Row],[Progress]])&gt;=1),0,IF(Tasks[[#This Row],[_DoneTo]]&gt;0,Tasks[[#This Row],[_DoneTo]]+1,Tasks[[#This Row],[Start]])))</f>
        <v>0</v>
      </c>
      <c r="GX65" s="91" t="n">
        <f aca="false">IF(Tasks[[#This Row],[_RemFrom]]=0,0,Tasks[[#This Row],[Finish]])</f>
        <v>0</v>
      </c>
      <c r="GY65" s="90" t="b">
        <f aca="false">IF(Tasks[[#This Row],[Task Name]]="",FALSE(),OR(NOT(BaselineSet),N(Tasks[[#This Row],[Baseline Start]])&gt;0))</f>
        <v>0</v>
      </c>
      <c r="GZ6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92" t="str">
        <f aca="false">IF(Tasks[[#This Row],[_IsLeaf]]=1,Tasks[[#This Row],[_Row]],"")</f>
        <v/>
      </c>
      <c r="HD65" s="92" t="str">
        <f aca="false">IFERROR(INDEX(Tasks[UID],SMALL(Tasks[_PickKey],Tasks[[#This Row],[_Row]]))&amp;" "&amp;INDEX(Tasks[Task Name],SMALL(Tasks[_PickKey],Tasks[[#This Row],[_Row]])),"")</f>
        <v/>
      </c>
      <c r="HE65" s="43" t="str">
        <f aca="false">IF(Tasks[[#This Row],[Task Name]]="","",IF(Tasks[[#This Row],[_IsSummary]],NETWORKDAYS.INTL(Tasks[[#This Row],[Start]],Tasks[[#This Row],[Finish]],WorkWeek,Holidays),N(Tasks[[#This Row],[_Days]])))</f>
        <v/>
      </c>
      <c r="HF65" s="43" t="n">
        <f aca="false">IF(Tasks[[#This Row],[Expected]]="",0,((Tasks[[#This Row],[Pessimistic]]-Tasks[[#This Row],[Optimistic]])/6)^2)</f>
        <v>0</v>
      </c>
      <c r="HG65" s="43" t="n">
        <f aca="false">IF(Tasks[[#This Row],[Expected]]="",0,Tasks[[#This Row],[Expected]]-N(Tasks[[#This Row],[_Days]]))</f>
        <v>0</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4"/>
      <c r="U66" s="23"/>
      <c r="V66" s="84"/>
      <c r="W66" s="23"/>
      <c r="X66" s="84"/>
      <c r="Y66" s="23"/>
      <c r="Z66" s="84"/>
      <c r="AA66" s="23"/>
      <c r="AB66" s="23"/>
      <c r="AC66" s="7"/>
      <c r="AD66" s="7"/>
      <c r="AE66" s="63" t="str">
        <f aca="false">IF(Tasks[[#This Row],[Task Name]]="","",IF(Tasks[[#This Row],[_IsSummary]],MIN(INDEX(Tasks[_ShownFcstStart],Tasks[[#This Row],[_Row]]+1):INDEX(Tasks[_ShownFcstStart],Tasks[[#This Row],[_Row]]+Tasks[[#This Row],[_Descendants]])),Tasks[[#This Row],[_ShownFcstStart]]))</f>
        <v/>
      </c>
      <c r="AF66" s="63"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6" s="7"/>
      <c r="AK66" s="22"/>
      <c r="AL66" s="23"/>
      <c r="AM66" s="7"/>
      <c r="AN66" s="47"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3" t="str">
        <f aca="false">IF(Tasks[[#This Row],[Task Name]]="","",IF(N(Tasks[[#This Row],[Baseline Start]])&gt;0,Tasks[[#This Row],[Baseline Start]],Tasks[[#This Row],[_CalcStart]]))</f>
        <v/>
      </c>
      <c r="AR66" s="63" t="str">
        <f aca="false">IF(Tasks[[#This Row],[Task Name]]="","",IF(N(Tasks[[#This Row],[Baseline Finish]])&gt;0,Tasks[[#This Row],[Baseline Finish]],Tasks[[#This Row],[_CalcFinish]]))</f>
        <v/>
      </c>
      <c r="AS66" s="47" t="str">
        <f aca="false">IF(Tasks[[#This Row],[Task Name]]="","",IF(Tasks[[#This Row],[Start]]&gt;=Tasks[[#This Row],[Planned Start]],NETWORKDAYS.INTL(Tasks[[#This Row],[Planned Start]],Tasks[[#This Row],[Start]],WorkWeek,Holidays)-1,1-NETWORKDAYS.INTL(Tasks[[#This Row],[Start]],Tasks[[#This Row],[Planned Start]],WorkWeek,Holidays)))</f>
        <v/>
      </c>
      <c r="AT66" s="63" t="str">
        <f aca="false">IF(Tasks[[#This Row],[Task Name]]="","",IF(Tasks[[#This Row],[_IsSummary]],MIN(INDEX(Tasks[_LeafLateStart],Tasks[[#This Row],[_Row]]+1):INDEX(Tasks[_LeafLateStart],Tasks[[#This Row],[_Row]]+Tasks[[#This Row],[_Descendants]])),Tasks[[#This Row],[_LeafLateStart]]))</f>
        <v/>
      </c>
      <c r="AU66" s="63" t="str">
        <f aca="false">IF(Tasks[[#This Row],[Task Name]]="","",IF(Tasks[[#This Row],[_IsSummary]],MAX(INDEX(Tasks[_LeafLateFinish],Tasks[[#This Row],[_Row]]+1):INDEX(Tasks[_LeafLateFinish],Tasks[[#This Row],[_Row]]+Tasks[[#This Row],[_Descendants]])),Tasks[[#This Row],[_LeafLateFinish]]))</f>
        <v/>
      </c>
      <c r="AV66" s="47"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5"/>
      <c r="BA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6"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7"/>
      <c r="BJ66" s="22"/>
      <c r="BK66" s="47" t="str">
        <f aca="false">IF(OR(Tasks[[#This Row],[Task Name]]="",Tasks[[#This Row],[Baseline Duration]]=""),"",Tasks[[#This Row],[_SpanDays]]-N(Tasks[[#This Row],[Baseline Duration]]))</f>
        <v/>
      </c>
      <c r="BL66" s="86" t="str">
        <f aca="false">IF(OR(Tasks[[#This Row],[Task Name]]="",Tasks[[#This Row],[Baseline Work]]=""),"",Tasks[[#This Row],[Work]]-N(Tasks[[#This Row],[Baseline Work]]))</f>
        <v/>
      </c>
      <c r="BM66" s="63" t="str">
        <f aca="false">IF(Tasks[[#This Row],[Task Name]]="","",IF(OR(TakeBaseline="Yes",N(Tasks[[#This Row],[Baseline Start]])=0),Tasks[[#This Row],[Start]],Tasks[[#This Row],[Baseline Start]]))</f>
        <v/>
      </c>
      <c r="BN66" s="63" t="str">
        <f aca="false">IF(Tasks[[#This Row],[Task Name]]="","",IF(OR(TakeBaseline="Yes",N(Tasks[[#This Row],[Baseline Finish]])=0),Tasks[[#This Row],[Finish]],Tasks[[#This Row],[Baseline Finish]]))</f>
        <v/>
      </c>
      <c r="BO66" s="21" t="str">
        <f aca="false">IF(Tasks[[#This Row],[Task Name]]="","",IF(OR(TakeBaseline="Yes",N(Tasks[[#This Row],[Baseline Duration]])=0),Tasks[[#This Row],[_SpanDays]],Tasks[[#This Row],[Baseline Duration]]))</f>
        <v/>
      </c>
      <c r="BP66" s="86" t="str">
        <f aca="false">IF(Tasks[[#This Row],[Task Name]]="","",IF(OR(TakeBaseline="Yes",N(Tasks[[#This Row],[Baseline Work]])=0),Tasks[[#This Row],[Work]],Tasks[[#This Row],[Baseline Work]]))</f>
        <v/>
      </c>
      <c r="BQ66" s="7"/>
      <c r="BR66" s="7"/>
      <c r="BS66" s="22"/>
      <c r="BT66" s="88"/>
      <c r="BU66" s="23"/>
      <c r="BV66" s="23"/>
      <c r="BW66" s="23"/>
      <c r="BX66" s="89" t="str">
        <f aca="false">IF(AND(Tasks[[#This Row],[_IsLeaf]]=1,ISNUMBER(Tasks[[#This Row],[Optimistic]]),ISNUMBER(Tasks[[#This Row],[Pessimistic]])),ROUND((Tasks[[#This Row],[Optimistic]]+4*N(Tasks[[#This Row],[_Days]])+Tasks[[#This Row],[Pessimistic]])/6,1),"")</f>
        <v/>
      </c>
      <c r="BY66" s="87"/>
      <c r="BZ66" s="87"/>
      <c r="CA66" s="22"/>
      <c r="CB66" s="43" t="str">
        <f aca="false">IF(Tasks[[#This Row],[Task Name]]="","",MAX(1,N(Tasks[[#This Row],[Level]])))</f>
        <v/>
      </c>
      <c r="CC66" s="43" t="n">
        <f aca="false">ROW()-ROW(Tasks[[#Headers],[ID]])</f>
        <v>61</v>
      </c>
      <c r="CD66" s="43" t="n">
        <f aca="false">IF(OR(Tasks[[#This Row],[Task Name]]="",Tasks[[#This Row],[_Level]]&lt;=1),0,IFERROR(LOOKUP(2,1/(Tasks[[#Headers],[_Level]]:Tasks[[#This Row],[_Level]]=Tasks[[#This Row],[_Level]]-1),ROW(Tasks[[#Headers],[_Level]]:Tasks[[#This Row],[_Level]])),0))</f>
        <v>0</v>
      </c>
      <c r="CE66" s="43" t="n">
        <f aca="false">IFERROR(N(INDEX(Tasks[_Level],Tasks[[#This Row],[_Row]]+1)),0)</f>
        <v>0</v>
      </c>
      <c r="CF66" s="90" t="b">
        <f aca="false">AND(Tasks[[#This Row],[Task Name]]&lt;&gt;"",Tasks[[#This Row],[_NextLevel]]&gt;Tasks[[#This Row],[_Level]])</f>
        <v>0</v>
      </c>
      <c r="CG66" s="43" t="n">
        <f aca="false">IF(Tasks[[#This Row],[_IsSummary]],COUNTIF(Tasks[WBS],Tasks[[#This Row],[WBS]]&amp;".*"),0)</f>
        <v>0</v>
      </c>
      <c r="CH66" s="43" t="n">
        <f aca="false">IF(AND(Tasks[[#This Row],[Task Name]]&lt;&gt;"",NOT(Tasks[[#This Row],[_IsSummary]])),1,0)</f>
        <v>0</v>
      </c>
      <c r="CI66" s="43" t="n">
        <f aca="false">IF(N(Tasks[[#This Row],[_Pred1UID]])=0,0,IFERROR(MATCH(Tasks[[#This Row],[_Pred1UID]],Tasks[UID],0),-1))</f>
        <v>0</v>
      </c>
      <c r="CJ66" s="43" t="n">
        <f aca="false">IF(N(Tasks[[#This Row],[_Pred2UID]])=0,0,IFERROR(MATCH(Tasks[[#This Row],[_Pred2UID]],Tasks[UID],0),-1))</f>
        <v>0</v>
      </c>
      <c r="CK66" s="43" t="n">
        <f aca="false">IF(N(Tasks[[#This Row],[_Pred3UID]])=0,0,IFERROR(MATCH(Tasks[[#This Row],[_Pred3UID]],Tasks[UID],0),-1))</f>
        <v>0</v>
      </c>
      <c r="CL66" s="43" t="n">
        <f aca="false">IF(N(Tasks[[#This Row],[_Pred4UID]])=0,0,IFERROR(MATCH(Tasks[[#This Row],[_Pred4UID]],Tasks[UID],0),-1))</f>
        <v>0</v>
      </c>
      <c r="CM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6" s="91" t="n">
        <f aca="false">IF(OR(Tasks[[#This Row],[_ConstraintCode]]=2,Tasks[[#This Row],[_ConstraintCode]]=3,Tasks[[#This Row],[_ConstraintCode]]=4,Tasks[[#This Row],[_ConstraintCode]]=6),Tasks[[#This Row],[_ConstraintStart]],0)</f>
        <v>0</v>
      </c>
      <c r="CP66" s="91" t="n">
        <f aca="false">IF(OR(Tasks[[#This Row],[_ConstraintCode]]=2,Tasks[[#This Row],[_ConstraintCode]]=3,Tasks[[#This Row],[_ConstraintCode]]=5,Tasks[[#This Row],[_ConstraintCode]]=7),Tasks[[#This Row],[_ConstraintStart]],2958465)</f>
        <v>2958465</v>
      </c>
      <c r="CQ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91" t="str">
        <f aca="false">IF(NOT(Tasks[[#This Row],[_IsLeaf]]=1),"",IF(N(Tasks[[#This Row],[_Days]])&lt;=0,Tasks[[#This Row],[_LeafCalcStart]],WORKDAY.INTL(Tasks[[#This Row],[_LeafCalcStart]],Tasks[[#This Row],[_Days]]-1,WorkWeek,Holidays)))</f>
        <v/>
      </c>
      <c r="CS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3" t="str">
        <f aca="false">IF(Tasks[[#This Row],[_Predecessors]]="","",TRIM(MID(SUBSTITUTE(SUBSTITUTE(SUBSTITUTE(UPPER(Tasks[[#This Row],[_Predecessors]]),";",",")," ",""),",",REPT(" ",99)),1,99)))</f>
        <v/>
      </c>
      <c r="CV66" s="43" t="str">
        <f aca="false">IF(Tasks[[#This Row],[_Pred1Text]]="","",IFERROR(VALUE(LEFT(Tasks[[#This Row],[_Pred1Text]],MIN(FIND("F",Tasks[[#This Row],[_Pred1Text]]&amp;"F"),FIND("S",Tasks[[#This Row],[_Pred1Text]]&amp;"S"),FIND("+",Tasks[[#This Row],[_Pred1Text]]&amp;"+"),FIND("-",Tasks[[#This Row],[_Pred1Text]]&amp;"-"))-1)),""))</f>
        <v/>
      </c>
      <c r="CW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3" t="str">
        <f aca="false">IF(Tasks[[#This Row],[_Pred1Text]]="","",TRIM(MID(SUBSTITUTE(SUBSTITUTE(SUBSTITUTE(UPPER(Tasks[[#This Row],[_Predecessors]]),";",",")," ",""),",",REPT(" ",99)),100,99)))</f>
        <v/>
      </c>
      <c r="CZ66" s="43" t="str">
        <f aca="false">IF(Tasks[[#This Row],[_Pred2Text]]="","",IFERROR(VALUE(LEFT(Tasks[[#This Row],[_Pred2Text]],MIN(FIND("F",Tasks[[#This Row],[_Pred2Text]]&amp;"F"),FIND("S",Tasks[[#This Row],[_Pred2Text]]&amp;"S"),FIND("+",Tasks[[#This Row],[_Pred2Text]]&amp;"+"),FIND("-",Tasks[[#This Row],[_Pred2Text]]&amp;"-"))-1)),""))</f>
        <v/>
      </c>
      <c r="DA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3" t="str">
        <f aca="false">IF(Tasks[[#This Row],[_Pred2Text]]="","",TRIM(MID(SUBSTITUTE(SUBSTITUTE(SUBSTITUTE(UPPER(Tasks[[#This Row],[_Predecessors]]),";",",")," ",""),",",REPT(" ",99)),199,99)))</f>
        <v/>
      </c>
      <c r="DD66" s="43" t="str">
        <f aca="false">IF(Tasks[[#This Row],[_Pred3Text]]="","",IFERROR(VALUE(LEFT(Tasks[[#This Row],[_Pred3Text]],MIN(FIND("F",Tasks[[#This Row],[_Pred3Text]]&amp;"F"),FIND("S",Tasks[[#This Row],[_Pred3Text]]&amp;"S"),FIND("+",Tasks[[#This Row],[_Pred3Text]]&amp;"+"),FIND("-",Tasks[[#This Row],[_Pred3Text]]&amp;"-"))-1)),""))</f>
        <v/>
      </c>
      <c r="DE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3" t="str">
        <f aca="false">IF(Tasks[[#This Row],[_Pred3Text]]="","",TRIM(MID(SUBSTITUTE(SUBSTITUTE(SUBSTITUTE(UPPER(Tasks[[#This Row],[_Predecessors]]),";",",")," ",""),",",REPT(" ",99)),298,99)))</f>
        <v/>
      </c>
      <c r="DH66" s="43" t="str">
        <f aca="false">IF(Tasks[[#This Row],[_Pred4Text]]="","",IFERROR(VALUE(LEFT(Tasks[[#This Row],[_Pred4Text]],MIN(FIND("F",Tasks[[#This Row],[_Pred4Text]]&amp;"F"),FIND("S",Tasks[[#This Row],[_Pred4Text]]&amp;"S"),FIND("+",Tasks[[#This Row],[_Pred4Text]]&amp;"+"),FIND("-",Tasks[[#This Row],[_Pred4Text]]&amp;"-"))-1)),""))</f>
        <v/>
      </c>
      <c r="DI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3" t="str">
        <f aca="false">IF(OR(Tasks[[#This Row],[Task Name]]="",Tasks[[#This Row],[_Resources]]=""),"",TRIM(MID(SUBSTITUTE(Tasks[[#This Row],[_Resources]],",",REPT(" ",99)),1,99)))</f>
        <v/>
      </c>
      <c r="DL66" s="43" t="str">
        <f aca="false">IF(Tasks[[#This Row],[_Res1Text]]="","",TRIM(MID(SUBSTITUTE(Tasks[[#This Row],[_Resources]],",",REPT(" ",99)),100,99)))</f>
        <v/>
      </c>
      <c r="DM66" s="43" t="str">
        <f aca="false">IF(Tasks[[#This Row],[_Res2Text]]="","",TRIM(MID(SUBSTITUTE(Tasks[[#This Row],[_Resources]],",",REPT(" ",99)),199,99)))</f>
        <v/>
      </c>
      <c r="DN66" s="43" t="str">
        <f aca="false">IF(Tasks[[#This Row],[_Res3Text]]="","",TRIM(MID(SUBSTITUTE(Tasks[[#This Row],[_Resources]],",",REPT(" ",99)),298,99)))</f>
        <v/>
      </c>
      <c r="DO66" s="43" t="n">
        <f aca="false">IF(Tasks[[#This Row],[_Res1Text]]="",0,IFERROR(MATCH(TRIM(LEFT(Tasks[[#This Row],[_Res1Text]],FIND("[",Tasks[[#This Row],[_Res1Text]]&amp;"[")-1)),res_Name,0),IFERROR(MATCH(TRIM(LEFT(Tasks[[#This Row],[_Res1Text]],FIND("[",Tasks[[#This Row],[_Res1Text]]&amp;"[")-1)),res_Initials,0),0)))</f>
        <v>0</v>
      </c>
      <c r="DP66" s="43" t="n">
        <f aca="false">IF(Tasks[[#This Row],[_Res2Text]]="",0,IFERROR(MATCH(TRIM(LEFT(Tasks[[#This Row],[_Res2Text]],FIND("[",Tasks[[#This Row],[_Res2Text]]&amp;"[")-1)),res_Name,0),IFERROR(MATCH(TRIM(LEFT(Tasks[[#This Row],[_Res2Text]],FIND("[",Tasks[[#This Row],[_Res2Text]]&amp;"[")-1)),res_Initials,0),0)))</f>
        <v>0</v>
      </c>
      <c r="DQ66" s="43" t="n">
        <f aca="false">IF(Tasks[[#This Row],[_Res3Text]]="",0,IFERROR(MATCH(TRIM(LEFT(Tasks[[#This Row],[_Res3Text]],FIND("[",Tasks[[#This Row],[_Res3Text]]&amp;"[")-1)),res_Name,0),IFERROR(MATCH(TRIM(LEFT(Tasks[[#This Row],[_Res3Text]],FIND("[",Tasks[[#This Row],[_Res3Text]]&amp;"[")-1)),res_Initials,0),0)))</f>
        <v>0</v>
      </c>
      <c r="DR66" s="43" t="n">
        <f aca="false">IF(Tasks[[#This Row],[_Res4Text]]="",0,IFERROR(MATCH(TRIM(LEFT(Tasks[[#This Row],[_Res4Text]],FIND("[",Tasks[[#This Row],[_Res4Text]]&amp;"[")-1)),res_Name,0),IFERROR(MATCH(TRIM(LEFT(Tasks[[#This Row],[_Res4Text]],FIND("[",Tasks[[#This Row],[_Res4Text]]&amp;"[")-1)),res_Initials,0),0)))</f>
        <v>0</v>
      </c>
      <c r="DS66" s="43" t="str">
        <f aca="false">IF(Tasks[[#This Row],[_Res1Text]]="","",IF(Tasks[[#This Row],[_Res1Row]]&gt;0,INDEX(res_Name,Tasks[[#This Row],[_Res1Row]]),TRIM(LEFT(Tasks[[#This Row],[_Res1Text]],FIND("[",Tasks[[#This Row],[_Res1Text]]&amp;"[")-1))))</f>
        <v/>
      </c>
      <c r="DT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3" t="n">
        <f aca="false">IF(NOT(Tasks[[#This Row],[_IsLeaf]]=1),0,(Tasks[[#This Row],[_Resource1]]&lt;&gt;"")+(Tasks[[#This Row],[_Res2]]&lt;&gt;"")+(Tasks[[#This Row],[_Res3]]&lt;&gt;"")+(Tasks[[#This Row],[_Res4]]&lt;&gt;""))</f>
        <v>0</v>
      </c>
      <c r="DV66" s="43" t="str">
        <f aca="false">IF(Tasks[[#This Row],[_Res2Text]]="","",IF(Tasks[[#This Row],[_Res2Row]]&gt;0,INDEX(res_Name,Tasks[[#This Row],[_Res2Row]]),TRIM(LEFT(Tasks[[#This Row],[_Res2Text]],FIND("[",Tasks[[#This Row],[_Res2Text]]&amp;"[")-1))))</f>
        <v/>
      </c>
      <c r="DW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3" t="n">
        <f aca="false">IF(OR(NOT(Tasks[[#This Row],[_IsLeaf]]=1),Tasks[[#This Row],[_Res2Row]]=0),0,N(Tasks[[#This Row],[_Days]])*HoursPerDay*IF(Tasks[[#This Row],[_Res2Units]]="",DefaultUnits,Tasks[[#This Row],[_Res2Units]]))</f>
        <v>0</v>
      </c>
      <c r="DY66" s="43" t="n">
        <f aca="false">IF(AND(AND(Tasks[[#This Row],[_IsLeaf]]=1,Tasks[[#This Row],[_LeafTotalWork]]&gt;0),Tasks[[#This Row],[_Res2Work]]&gt;0),Tasks[[#This Row],[_Res2Work]]/(Tasks[[#This Row],[_FinishWorkday]]-Tasks[[#This Row],[_StartWorkday]]+1),0)</f>
        <v>0</v>
      </c>
      <c r="DZ66" s="43" t="n">
        <f aca="false">Tasks[[#This Row],[_Res2WorkPerWD]]*MAX(0,Tasks[[#This Row],[_StartWorkday]]-1)</f>
        <v>0</v>
      </c>
      <c r="EA66" s="43" t="n">
        <f aca="false">Tasks[[#This Row],[_Res2Work]]*Tasks[[#This Row],[_LeafProgress]]</f>
        <v>0</v>
      </c>
      <c r="EB66" s="43" t="str">
        <f aca="false">IF(Tasks[[#This Row],[_Res3Text]]="","",IF(Tasks[[#This Row],[_Res3Row]]&gt;0,INDEX(res_Name,Tasks[[#This Row],[_Res3Row]]),TRIM(LEFT(Tasks[[#This Row],[_Res3Text]],FIND("[",Tasks[[#This Row],[_Res3Text]]&amp;"[")-1))))</f>
        <v/>
      </c>
      <c r="EC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3" t="n">
        <f aca="false">IF(OR(NOT(Tasks[[#This Row],[_IsLeaf]]=1),Tasks[[#This Row],[_Res3Row]]=0),0,N(Tasks[[#This Row],[_Days]])*HoursPerDay*IF(Tasks[[#This Row],[_Res3Units]]="",DefaultUnits,Tasks[[#This Row],[_Res3Units]]))</f>
        <v>0</v>
      </c>
      <c r="EE66" s="43" t="n">
        <f aca="false">IF(AND(AND(Tasks[[#This Row],[_IsLeaf]]=1,Tasks[[#This Row],[_LeafTotalWork]]&gt;0),Tasks[[#This Row],[_Res3Work]]&gt;0),Tasks[[#This Row],[_Res3Work]]/(Tasks[[#This Row],[_FinishWorkday]]-Tasks[[#This Row],[_StartWorkday]]+1),0)</f>
        <v>0</v>
      </c>
      <c r="EF66" s="43" t="n">
        <f aca="false">Tasks[[#This Row],[_Res3WorkPerWD]]*MAX(0,Tasks[[#This Row],[_StartWorkday]]-1)</f>
        <v>0</v>
      </c>
      <c r="EG66" s="43" t="n">
        <f aca="false">Tasks[[#This Row],[_Res3Work]]*Tasks[[#This Row],[_LeafProgress]]</f>
        <v>0</v>
      </c>
      <c r="EH66" s="43" t="str">
        <f aca="false">IF(Tasks[[#This Row],[_Res4Text]]="","",IF(Tasks[[#This Row],[_Res4Row]]&gt;0,INDEX(res_Name,Tasks[[#This Row],[_Res4Row]]),TRIM(LEFT(Tasks[[#This Row],[_Res4Text]],FIND("[",Tasks[[#This Row],[_Res4Text]]&amp;"[")-1))))</f>
        <v/>
      </c>
      <c r="EI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3" t="n">
        <f aca="false">IF(OR(NOT(Tasks[[#This Row],[_IsLeaf]]=1),Tasks[[#This Row],[_Res4Row]]=0),0,N(Tasks[[#This Row],[_Days]])*HoursPerDay*IF(Tasks[[#This Row],[_Res4Units]]="",DefaultUnits,Tasks[[#This Row],[_Res4Units]]))</f>
        <v>0</v>
      </c>
      <c r="EK66" s="43" t="n">
        <f aca="false">IF(AND(AND(Tasks[[#This Row],[_IsLeaf]]=1,Tasks[[#This Row],[_LeafTotalWork]]&gt;0),Tasks[[#This Row],[_Res4Work]]&gt;0),Tasks[[#This Row],[_Res4Work]]/(Tasks[[#This Row],[_FinishWorkday]]-Tasks[[#This Row],[_StartWorkday]]+1),0)</f>
        <v>0</v>
      </c>
      <c r="EL66" s="43" t="n">
        <f aca="false">Tasks[[#This Row],[_Res4WorkPerWD]]*MAX(0,Tasks[[#This Row],[_StartWorkday]]-1)</f>
        <v>0</v>
      </c>
      <c r="EM66" s="43" t="n">
        <f aca="false">Tasks[[#This Row],[_Res4Work]]*Tasks[[#This Row],[_LeafProgress]]</f>
        <v>0</v>
      </c>
      <c r="EN66" s="43" t="n">
        <f aca="false">IF(ISNUMBER(Tasks[[#This Row],[% Complete]]),Tasks[[#This Row],[% Complete]],IF(Tasks[[#This Row],[Stage]]="",0,IFERROR(INDEX(stg_Pct,MATCH(Tasks[[#This Row],[Stage]],stg_Name,0)),0)))</f>
        <v>0</v>
      </c>
      <c r="EO66" s="43" t="n">
        <f aca="false">IF(NOT(Tasks[[#This Row],[_IsLeaf]]=1),0,IF(N(Tasks[[#This Row],[Actual Finish]])&gt;0,1,MIN(1,Tasks[[#This Row],[_Pct]])))</f>
        <v>0</v>
      </c>
      <c r="EP66" s="43" t="n">
        <f aca="false">IF(OR(NOT(Tasks[[#This Row],[_IsLeaf]]=1),Tasks[[#This Row],[_Res1Row]]=0),0,N(Tasks[[#This Row],[_Days]])*HoursPerDay*IF(Tasks[[#This Row],[_Units1]]="",DefaultUnits,Tasks[[#This Row],[_Units1]]))</f>
        <v>0</v>
      </c>
      <c r="EQ66" s="43" t="n">
        <f aca="false">Tasks[[#This Row],[_LeafWork]]+Tasks[[#This Row],[_Res2Work]]+Tasks[[#This Row],[_Res3Work]]+Tasks[[#This Row],[_Res4Work]]</f>
        <v>0</v>
      </c>
      <c r="ER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3" t="n">
        <f aca="false">IF(NOT(Tasks[[#This Row],[_IsLeaf]]=1),0,MAX(_xlfn.MAXIFS(Tasks[_Row],Tasks[_Pred1UID],Tasks[[#This Row],[UID]]),_xlfn.MAXIFS(Tasks[_Row],Tasks[_Pred2UID],Tasks[[#This Row],[UID]]),_xlfn.MAXIFS(Tasks[_Row],Tasks[_Pred3UID],Tasks[[#This Row],[UID]]),_xlfn.MAXIFS(Tasks[_Row],Tasks[_Pred4UID],Tasks[[#This Row],[UID]])))</f>
        <v>0</v>
      </c>
      <c r="FA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91" t="str">
        <f aca="false">IF(NOT(Tasks[[#This Row],[_IsLeaf]]=1),"",IF(N(Tasks[[#This Row],[_Days]])&lt;=0,Tasks[[#This Row],[_LeafLateFinish]],WORKDAY.INTL(Tasks[[#This Row],[_LeafLateFinish]],-(Tasks[[#This Row],[_Days]]-1),WorkWeek,Holidays)))</f>
        <v/>
      </c>
      <c r="FD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6" s="90" t="b">
        <f aca="false">AND(Tasks[[#This Row],[_IsLeaf]]=1,Tasks[[#This Row],[_LeafProgress]]&lt;1,N(Tasks[[#This Row],[_LeafTotalSlack]])&lt;=CriticalSlackDays)</f>
        <v>0</v>
      </c>
      <c r="FF66" s="43" t="n">
        <f aca="false">IF(AND(Tasks[[#This Row],[_IsLeaf]]=1,Tasks[[#This Row],[_ConstraintCode]]=1,Tasks[[#This Row],[Mode]]&lt;&gt;"Manual",N(Tasks[[#This Row],[Actual Start]])=0),MAX(0,N(Tasks[[#This Row],[Free Slack]])),0)</f>
        <v>0</v>
      </c>
      <c r="FG66" s="91" t="str">
        <f aca="false">IF(NOT(Tasks[[#This Row],[_IsLeaf]]=1),"",IF(Tasks[[#This Row],[_AlapShift]]=0,Tasks[[#This Row],[_LeafCalcStart]],WORKDAY.INTL(Tasks[[#This Row],[_LeafCalcStart]],Tasks[[#This Row],[_AlapShift]],WorkWeek,Holidays)))</f>
        <v/>
      </c>
      <c r="FH66" s="91" t="str">
        <f aca="false">IF(NOT(Tasks[[#This Row],[_IsLeaf]]=1),"",IF(Tasks[[#This Row],[_AlapShift]]=0,Tasks[[#This Row],[_LeafCalcFinish]],WORKDAY.INTL(Tasks[[#This Row],[_LeafCalcFinish]],Tasks[[#This Row],[_AlapShift]],WorkWeek,Holidays)))</f>
        <v/>
      </c>
      <c r="FI66" s="91" t="str">
        <f aca="false">IF(NOT(Tasks[[#This Row],[_IsLeaf]]=1),"",IF(Tasks[[#This Row],[_AlapShift]]=0,Tasks[[#This Row],[_LeafFcstStart]],WORKDAY.INTL(Tasks[[#This Row],[_LeafFcstStart]],Tasks[[#This Row],[_AlapShift]],WorkWeek,Holidays)))</f>
        <v/>
      </c>
      <c r="FJ66" s="91" t="str">
        <f aca="false">IF(NOT(Tasks[[#This Row],[_IsLeaf]]=1),"",IF(Tasks[[#This Row],[_AlapShift]]=0,Tasks[[#This Row],[_LeafFcstFinish]],WORKDAY.INTL(Tasks[[#This Row],[_LeafFcstFinish]],Tasks[[#This Row],[_AlapShift]],WorkWeek,Holidays)))</f>
        <v/>
      </c>
      <c r="FK66" s="91" t="str">
        <f aca="false">IF(Tasks[[#This Row],[Task Name]]="","",IF(Tasks[[#This Row],[_IsSummary]],MIN(INDEX(Tasks[_ShownCalcStart],Tasks[[#This Row],[_Row]]+1):INDEX(Tasks[_ShownCalcStart],Tasks[[#This Row],[_Row]]+Tasks[[#This Row],[_Descendants]])),Tasks[[#This Row],[_ShownCalcStart]]))</f>
        <v/>
      </c>
      <c r="FL66" s="91" t="str">
        <f aca="false">IF(Tasks[[#This Row],[Task Name]]="","",IF(Tasks[[#This Row],[_IsSummary]],MAX(INDEX(Tasks[_ShownCalcFinish],Tasks[[#This Row],[_Row]]+1):INDEX(Tasks[_ShownCalcFinish],Tasks[[#This Row],[_Row]]+Tasks[[#This Row],[_Descendants]])),Tasks[[#This Row],[_ShownCalcFinish]]))</f>
        <v/>
      </c>
      <c r="FM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6" s="43" t="n">
        <f aca="false">IF(AND(Tasks[[#This Row],[_IsLeaf]]=1,Tasks[[#This Row],[_LeafTotalWork]]&gt;0),NETWORKDAYS.INTL(ProjectStart,Tasks[[#This Row],[_ShownFcstStart]],WorkWeek,Holidays),0)</f>
        <v>0</v>
      </c>
      <c r="FZ66" s="43" t="n">
        <f aca="false">IF(AND(Tasks[[#This Row],[_IsLeaf]]=1,Tasks[[#This Row],[_LeafTotalWork]]&gt;0),MAX(Tasks[[#This Row],[_StartWorkday]],NETWORKDAYS.INTL(ProjectStart,Tasks[[#This Row],[_ShownFcstFinish]],WorkWeek,Holidays)),0)</f>
        <v>0</v>
      </c>
      <c r="GA66" s="43" t="n">
        <f aca="false">IF(AND(Tasks[[#This Row],[_IsLeaf]]=1,Tasks[[#This Row],[_LeafTotalWork]]&gt;0),Tasks[[#This Row],[_LeafWork]]/(Tasks[[#This Row],[_FinishWorkday]]-Tasks[[#This Row],[_StartWorkday]]+1),0)</f>
        <v>0</v>
      </c>
      <c r="GB66" s="43" t="n">
        <f aca="false">Tasks[[#This Row],[_WorkPerWorkday]]*(Tasks[[#This Row],[_StartWorkday]]-1)</f>
        <v>-0</v>
      </c>
      <c r="GC66" s="43" t="n">
        <f aca="false">IF(Tasks[[#This Row],[_IsLeaf]]=1,MAX(N(Tasks[[#This Row],[_Days]]),0.1),0)</f>
        <v>0</v>
      </c>
      <c r="GD66" s="43" t="n">
        <f aca="false">Tasks[[#This Row],[_WeightDur]]*Tasks[[#This Row],[_LeafProgress]]</f>
        <v>0</v>
      </c>
      <c r="GE66" s="43" t="n">
        <f aca="false">Tasks[[#This Row],[_WeightDur]]*Tasks[[#This Row],[_PlannedPct]]</f>
        <v>0</v>
      </c>
      <c r="GF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3" t="str">
        <f aca="false">IF(AND(Tasks[[#This Row],[_IsLeaf]]=1,N(Tasks[[#This Row],[_Days]])=0,Tasks[[#This Row],[_LeafProgress]]&lt;1),Tasks[[#This Row],[_ShownFcstFinish]]+Tasks[[#This Row],[_Row]]/100000,"")</f>
        <v/>
      </c>
      <c r="GH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6" s="43" t="str">
        <f aca="false">IF(Tasks[[#This Row],[Task Name]]="","",LEFT(Tasks[[#This Row],[WBS]],FIND(".",Tasks[[#This Row],[WBS]]&amp;".")-1))</f>
        <v/>
      </c>
      <c r="GJ66" s="43" t="str">
        <f aca="false">IF(AND(Tasks[[#This Row],[Task Name]]&lt;&gt;"",Tasks[[#This Row],[_Level]]=1),Tasks[[#This Row],[_Row]],"")</f>
        <v/>
      </c>
      <c r="GK66" s="43" t="str">
        <f aca="false">IF(AND(Tasks[[#This Row],[_IsLeaf]]=1,N(Tasks[[#This Row],[_Days]])=0),Tasks[[#This Row],[Planned Finish]]+Tasks[[#This Row],[_Row]]/100000,"")</f>
        <v/>
      </c>
      <c r="GL66" s="43" t="str">
        <f aca="false">IF(AND(Tasks[[#This Row],[_IsLeaf]]=1,Tasks[[#This Row],[_LeafProgress]]&lt;1,OR(N(Tasks[[#This Row],[Finish Var]])&gt;0,Tasks[[#This Row],[Status]]="Late Start")),MAX(0,Tasks[[#This Row],[Finish Var]])+1-Tasks[[#This Row],[_Row]]/1000000,"")</f>
        <v/>
      </c>
      <c r="GM66" s="43" t="str">
        <f aca="false">IF(AND(Tasks[[#This Row],[_IsLeaf]]=1,N(Tasks[[#This Row],[Actual Start]])=0,Tasks[[#This Row],[_ShownFcstStart]]&gt;=StatusDate,Tasks[[#This Row],[_ShownFcstStart]]&lt;=LookaheadEnd),Tasks[[#This Row],[_ShownFcstStart]]+Tasks[[#This Row],[_Row]]/100000,"")</f>
        <v/>
      </c>
      <c r="GN66" s="43" t="str">
        <f aca="false">IF(AND(Tasks[[#This Row],[_IsLeaf]]=1,Tasks[[#This Row],[_LeafProgress]]&lt;1,Tasks[[#This Row],[_ShownFcstFinish]]&gt;=StatusDate,Tasks[[#This Row],[_ShownFcstFinish]]&lt;=LookaheadEnd),Tasks[[#This Row],[_ShownFcstFinish]]+Tasks[[#This Row],[_Row]]/100000,"")</f>
        <v/>
      </c>
      <c r="GO66" s="43" t="str">
        <f aca="false">IF(Tasks[[#This Row],[_LeafCritical]],Tasks[[#This Row],[_ShownFcstStart]]+Tasks[[#This Row],[_Row]]/100000,"")</f>
        <v/>
      </c>
      <c r="GP66" s="43" t="n">
        <f aca="false">Tasks[[#This Row],[_LeafWork]]*Tasks[[#This Row],[_LeafProgress]]</f>
        <v>0</v>
      </c>
      <c r="GQ66" s="91" t="str">
        <f aca="false">IF(AND(Tasks[[#This Row],[_IsLeaf]]=1,Tasks[[#This Row],[_LeafProgress]]&gt;=1),IF(N(Tasks[[#This Row],[Actual Finish]])&gt;0,Tasks[[#This Row],[Actual Finish]],Tasks[[#This Row],[_ShownFcstFinish]]),"")</f>
        <v/>
      </c>
      <c r="GR66" s="43" t="n">
        <f aca="false">IF(Tasks[[#This Row],[_IsLeaf]]=1,N(Tasks[[#This Row],[Story Points]]),0)</f>
        <v>0</v>
      </c>
      <c r="GS66" s="43" t="str">
        <f aca="false">""</f>
        <v/>
      </c>
      <c r="GT66" s="90" t="b">
        <f aca="false">IF(Tasks[[#This Row],[Task Name]]="",FALSE(),AND(Tasks[[#This Row],[_IsLeaf]]=1,N(Tasks[[#This Row],[_Days]])=0))</f>
        <v>0</v>
      </c>
      <c r="GU66" s="91" t="n">
        <f aca="false">IF(Tasks[[#This Row],[Task Name]]="",0,IF(AND(Tasks[[#This Row],[_IsLeaf]]=1,NOT(Tasks[[#This Row],[_IsMilestone]]),N(Tasks[[#This Row],[Progress]])&gt;0),Tasks[[#This Row],[Start]],0))</f>
        <v>0</v>
      </c>
      <c r="GV66" s="91" t="n">
        <f aca="false">IF(Tasks[[#This Row],[_DoneFrom]]=0,0,IF(Tasks[[#This Row],[Progress]]&gt;=1,Tasks[[#This Row],[Finish]],MAX(Tasks[[#This Row],[_DoneFrom]],Tasks[[#This Row],[Start]]+ROUND((Tasks[[#This Row],[Finish]]-Tasks[[#This Row],[Start]]+1)*Tasks[[#This Row],[Progress]],0)-1)))</f>
        <v>0</v>
      </c>
      <c r="GW66" s="91" t="n">
        <f aca="false">IF(Tasks[[#This Row],[Task Name]]="",0,IF(OR(NOT(Tasks[[#This Row],[_IsLeaf]]=1),Tasks[[#This Row],[_IsMilestone]],N(Tasks[[#This Row],[Progress]])&gt;=1),0,IF(Tasks[[#This Row],[_DoneTo]]&gt;0,Tasks[[#This Row],[_DoneTo]]+1,Tasks[[#This Row],[Start]])))</f>
        <v>0</v>
      </c>
      <c r="GX66" s="91" t="n">
        <f aca="false">IF(Tasks[[#This Row],[_RemFrom]]=0,0,Tasks[[#This Row],[Finish]])</f>
        <v>0</v>
      </c>
      <c r="GY66" s="90" t="b">
        <f aca="false">IF(Tasks[[#This Row],[Task Name]]="",FALSE(),OR(NOT(BaselineSet),N(Tasks[[#This Row],[Baseline Start]])&gt;0))</f>
        <v>0</v>
      </c>
      <c r="GZ6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92" t="str">
        <f aca="false">IF(Tasks[[#This Row],[_IsLeaf]]=1,Tasks[[#This Row],[_Row]],"")</f>
        <v/>
      </c>
      <c r="HD66" s="92" t="str">
        <f aca="false">IFERROR(INDEX(Tasks[UID],SMALL(Tasks[_PickKey],Tasks[[#This Row],[_Row]]))&amp;" "&amp;INDEX(Tasks[Task Name],SMALL(Tasks[_PickKey],Tasks[[#This Row],[_Row]])),"")</f>
        <v/>
      </c>
      <c r="HE66" s="43" t="str">
        <f aca="false">IF(Tasks[[#This Row],[Task Name]]="","",IF(Tasks[[#This Row],[_IsSummary]],NETWORKDAYS.INTL(Tasks[[#This Row],[Start]],Tasks[[#This Row],[Finish]],WorkWeek,Holidays),N(Tasks[[#This Row],[_Days]])))</f>
        <v/>
      </c>
      <c r="HF66" s="43" t="n">
        <f aca="false">IF(Tasks[[#This Row],[Expected]]="",0,((Tasks[[#This Row],[Pessimistic]]-Tasks[[#This Row],[Optimistic]])/6)^2)</f>
        <v>0</v>
      </c>
      <c r="HG66" s="43" t="n">
        <f aca="false">IF(Tasks[[#This Row],[Expected]]="",0,Tasks[[#This Row],[Expected]]-N(Tasks[[#This Row],[_Days]]))</f>
        <v>0</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4"/>
      <c r="U67" s="23"/>
      <c r="V67" s="84"/>
      <c r="W67" s="23"/>
      <c r="X67" s="84"/>
      <c r="Y67" s="23"/>
      <c r="Z67" s="84"/>
      <c r="AA67" s="23"/>
      <c r="AB67" s="23"/>
      <c r="AC67" s="7"/>
      <c r="AD67" s="7"/>
      <c r="AE67" s="63" t="str">
        <f aca="false">IF(Tasks[[#This Row],[Task Name]]="","",IF(Tasks[[#This Row],[_IsSummary]],MIN(INDEX(Tasks[_ShownFcstStart],Tasks[[#This Row],[_Row]]+1):INDEX(Tasks[_ShownFcstStart],Tasks[[#This Row],[_Row]]+Tasks[[#This Row],[_Descendants]])),Tasks[[#This Row],[_ShownFcstStart]]))</f>
        <v/>
      </c>
      <c r="AF67" s="63"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7" s="7"/>
      <c r="AK67" s="22"/>
      <c r="AL67" s="23"/>
      <c r="AM67" s="7"/>
      <c r="AN67" s="47"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3" t="str">
        <f aca="false">IF(Tasks[[#This Row],[Task Name]]="","",IF(N(Tasks[[#This Row],[Baseline Start]])&gt;0,Tasks[[#This Row],[Baseline Start]],Tasks[[#This Row],[_CalcStart]]))</f>
        <v/>
      </c>
      <c r="AR67" s="63" t="str">
        <f aca="false">IF(Tasks[[#This Row],[Task Name]]="","",IF(N(Tasks[[#This Row],[Baseline Finish]])&gt;0,Tasks[[#This Row],[Baseline Finish]],Tasks[[#This Row],[_CalcFinish]]))</f>
        <v/>
      </c>
      <c r="AS67" s="47" t="str">
        <f aca="false">IF(Tasks[[#This Row],[Task Name]]="","",IF(Tasks[[#This Row],[Start]]&gt;=Tasks[[#This Row],[Planned Start]],NETWORKDAYS.INTL(Tasks[[#This Row],[Planned Start]],Tasks[[#This Row],[Start]],WorkWeek,Holidays)-1,1-NETWORKDAYS.INTL(Tasks[[#This Row],[Start]],Tasks[[#This Row],[Planned Start]],WorkWeek,Holidays)))</f>
        <v/>
      </c>
      <c r="AT67" s="63" t="str">
        <f aca="false">IF(Tasks[[#This Row],[Task Name]]="","",IF(Tasks[[#This Row],[_IsSummary]],MIN(INDEX(Tasks[_LeafLateStart],Tasks[[#This Row],[_Row]]+1):INDEX(Tasks[_LeafLateStart],Tasks[[#This Row],[_Row]]+Tasks[[#This Row],[_Descendants]])),Tasks[[#This Row],[_LeafLateStart]]))</f>
        <v/>
      </c>
      <c r="AU67" s="63" t="str">
        <f aca="false">IF(Tasks[[#This Row],[Task Name]]="","",IF(Tasks[[#This Row],[_IsSummary]],MAX(INDEX(Tasks[_LeafLateFinish],Tasks[[#This Row],[_Row]]+1):INDEX(Tasks[_LeafLateFinish],Tasks[[#This Row],[_Row]]+Tasks[[#This Row],[_Descendants]])),Tasks[[#This Row],[_LeafLateFinish]]))</f>
        <v/>
      </c>
      <c r="AV67" s="47"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5"/>
      <c r="BA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6"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7"/>
      <c r="BJ67" s="22"/>
      <c r="BK67" s="47" t="str">
        <f aca="false">IF(OR(Tasks[[#This Row],[Task Name]]="",Tasks[[#This Row],[Baseline Duration]]=""),"",Tasks[[#This Row],[_SpanDays]]-N(Tasks[[#This Row],[Baseline Duration]]))</f>
        <v/>
      </c>
      <c r="BL67" s="86" t="str">
        <f aca="false">IF(OR(Tasks[[#This Row],[Task Name]]="",Tasks[[#This Row],[Baseline Work]]=""),"",Tasks[[#This Row],[Work]]-N(Tasks[[#This Row],[Baseline Work]]))</f>
        <v/>
      </c>
      <c r="BM67" s="63" t="str">
        <f aca="false">IF(Tasks[[#This Row],[Task Name]]="","",IF(OR(TakeBaseline="Yes",N(Tasks[[#This Row],[Baseline Start]])=0),Tasks[[#This Row],[Start]],Tasks[[#This Row],[Baseline Start]]))</f>
        <v/>
      </c>
      <c r="BN67" s="63" t="str">
        <f aca="false">IF(Tasks[[#This Row],[Task Name]]="","",IF(OR(TakeBaseline="Yes",N(Tasks[[#This Row],[Baseline Finish]])=0),Tasks[[#This Row],[Finish]],Tasks[[#This Row],[Baseline Finish]]))</f>
        <v/>
      </c>
      <c r="BO67" s="21" t="str">
        <f aca="false">IF(Tasks[[#This Row],[Task Name]]="","",IF(OR(TakeBaseline="Yes",N(Tasks[[#This Row],[Baseline Duration]])=0),Tasks[[#This Row],[_SpanDays]],Tasks[[#This Row],[Baseline Duration]]))</f>
        <v/>
      </c>
      <c r="BP67" s="86" t="str">
        <f aca="false">IF(Tasks[[#This Row],[Task Name]]="","",IF(OR(TakeBaseline="Yes",N(Tasks[[#This Row],[Baseline Work]])=0),Tasks[[#This Row],[Work]],Tasks[[#This Row],[Baseline Work]]))</f>
        <v/>
      </c>
      <c r="BQ67" s="7"/>
      <c r="BR67" s="7"/>
      <c r="BS67" s="22"/>
      <c r="BT67" s="88"/>
      <c r="BU67" s="23"/>
      <c r="BV67" s="23"/>
      <c r="BW67" s="23"/>
      <c r="BX67" s="89" t="str">
        <f aca="false">IF(AND(Tasks[[#This Row],[_IsLeaf]]=1,ISNUMBER(Tasks[[#This Row],[Optimistic]]),ISNUMBER(Tasks[[#This Row],[Pessimistic]])),ROUND((Tasks[[#This Row],[Optimistic]]+4*N(Tasks[[#This Row],[_Days]])+Tasks[[#This Row],[Pessimistic]])/6,1),"")</f>
        <v/>
      </c>
      <c r="BY67" s="87"/>
      <c r="BZ67" s="87"/>
      <c r="CA67" s="22"/>
      <c r="CB67" s="43" t="str">
        <f aca="false">IF(Tasks[[#This Row],[Task Name]]="","",MAX(1,N(Tasks[[#This Row],[Level]])))</f>
        <v/>
      </c>
      <c r="CC67" s="43" t="n">
        <f aca="false">ROW()-ROW(Tasks[[#Headers],[ID]])</f>
        <v>62</v>
      </c>
      <c r="CD67" s="43" t="n">
        <f aca="false">IF(OR(Tasks[[#This Row],[Task Name]]="",Tasks[[#This Row],[_Level]]&lt;=1),0,IFERROR(LOOKUP(2,1/(Tasks[[#Headers],[_Level]]:Tasks[[#This Row],[_Level]]=Tasks[[#This Row],[_Level]]-1),ROW(Tasks[[#Headers],[_Level]]:Tasks[[#This Row],[_Level]])),0))</f>
        <v>0</v>
      </c>
      <c r="CE67" s="43" t="n">
        <f aca="false">IFERROR(N(INDEX(Tasks[_Level],Tasks[[#This Row],[_Row]]+1)),0)</f>
        <v>0</v>
      </c>
      <c r="CF67" s="90" t="b">
        <f aca="false">AND(Tasks[[#This Row],[Task Name]]&lt;&gt;"",Tasks[[#This Row],[_NextLevel]]&gt;Tasks[[#This Row],[_Level]])</f>
        <v>0</v>
      </c>
      <c r="CG67" s="43" t="n">
        <f aca="false">IF(Tasks[[#This Row],[_IsSummary]],COUNTIF(Tasks[WBS],Tasks[[#This Row],[WBS]]&amp;".*"),0)</f>
        <v>0</v>
      </c>
      <c r="CH67" s="43" t="n">
        <f aca="false">IF(AND(Tasks[[#This Row],[Task Name]]&lt;&gt;"",NOT(Tasks[[#This Row],[_IsSummary]])),1,0)</f>
        <v>0</v>
      </c>
      <c r="CI67" s="43" t="n">
        <f aca="false">IF(N(Tasks[[#This Row],[_Pred1UID]])=0,0,IFERROR(MATCH(Tasks[[#This Row],[_Pred1UID]],Tasks[UID],0),-1))</f>
        <v>0</v>
      </c>
      <c r="CJ67" s="43" t="n">
        <f aca="false">IF(N(Tasks[[#This Row],[_Pred2UID]])=0,0,IFERROR(MATCH(Tasks[[#This Row],[_Pred2UID]],Tasks[UID],0),-1))</f>
        <v>0</v>
      </c>
      <c r="CK67" s="43" t="n">
        <f aca="false">IF(N(Tasks[[#This Row],[_Pred3UID]])=0,0,IFERROR(MATCH(Tasks[[#This Row],[_Pred3UID]],Tasks[UID],0),-1))</f>
        <v>0</v>
      </c>
      <c r="CL67" s="43" t="n">
        <f aca="false">IF(N(Tasks[[#This Row],[_Pred4UID]])=0,0,IFERROR(MATCH(Tasks[[#This Row],[_Pred4UID]],Tasks[UID],0),-1))</f>
        <v>0</v>
      </c>
      <c r="CM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7" s="91" t="n">
        <f aca="false">IF(OR(Tasks[[#This Row],[_ConstraintCode]]=2,Tasks[[#This Row],[_ConstraintCode]]=3,Tasks[[#This Row],[_ConstraintCode]]=4,Tasks[[#This Row],[_ConstraintCode]]=6),Tasks[[#This Row],[_ConstraintStart]],0)</f>
        <v>0</v>
      </c>
      <c r="CP67" s="91" t="n">
        <f aca="false">IF(OR(Tasks[[#This Row],[_ConstraintCode]]=2,Tasks[[#This Row],[_ConstraintCode]]=3,Tasks[[#This Row],[_ConstraintCode]]=5,Tasks[[#This Row],[_ConstraintCode]]=7),Tasks[[#This Row],[_ConstraintStart]],2958465)</f>
        <v>2958465</v>
      </c>
      <c r="CQ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91" t="str">
        <f aca="false">IF(NOT(Tasks[[#This Row],[_IsLeaf]]=1),"",IF(N(Tasks[[#This Row],[_Days]])&lt;=0,Tasks[[#This Row],[_LeafCalcStart]],WORKDAY.INTL(Tasks[[#This Row],[_LeafCalcStart]],Tasks[[#This Row],[_Days]]-1,WorkWeek,Holidays)))</f>
        <v/>
      </c>
      <c r="CS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3" t="str">
        <f aca="false">IF(Tasks[[#This Row],[_Predecessors]]="","",TRIM(MID(SUBSTITUTE(SUBSTITUTE(SUBSTITUTE(UPPER(Tasks[[#This Row],[_Predecessors]]),";",",")," ",""),",",REPT(" ",99)),1,99)))</f>
        <v/>
      </c>
      <c r="CV67" s="43" t="str">
        <f aca="false">IF(Tasks[[#This Row],[_Pred1Text]]="","",IFERROR(VALUE(LEFT(Tasks[[#This Row],[_Pred1Text]],MIN(FIND("F",Tasks[[#This Row],[_Pred1Text]]&amp;"F"),FIND("S",Tasks[[#This Row],[_Pred1Text]]&amp;"S"),FIND("+",Tasks[[#This Row],[_Pred1Text]]&amp;"+"),FIND("-",Tasks[[#This Row],[_Pred1Text]]&amp;"-"))-1)),""))</f>
        <v/>
      </c>
      <c r="CW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3" t="str">
        <f aca="false">IF(Tasks[[#This Row],[_Pred1Text]]="","",TRIM(MID(SUBSTITUTE(SUBSTITUTE(SUBSTITUTE(UPPER(Tasks[[#This Row],[_Predecessors]]),";",",")," ",""),",",REPT(" ",99)),100,99)))</f>
        <v/>
      </c>
      <c r="CZ67" s="43" t="str">
        <f aca="false">IF(Tasks[[#This Row],[_Pred2Text]]="","",IFERROR(VALUE(LEFT(Tasks[[#This Row],[_Pred2Text]],MIN(FIND("F",Tasks[[#This Row],[_Pred2Text]]&amp;"F"),FIND("S",Tasks[[#This Row],[_Pred2Text]]&amp;"S"),FIND("+",Tasks[[#This Row],[_Pred2Text]]&amp;"+"),FIND("-",Tasks[[#This Row],[_Pred2Text]]&amp;"-"))-1)),""))</f>
        <v/>
      </c>
      <c r="DA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3" t="str">
        <f aca="false">IF(Tasks[[#This Row],[_Pred2Text]]="","",TRIM(MID(SUBSTITUTE(SUBSTITUTE(SUBSTITUTE(UPPER(Tasks[[#This Row],[_Predecessors]]),";",",")," ",""),",",REPT(" ",99)),199,99)))</f>
        <v/>
      </c>
      <c r="DD67" s="43" t="str">
        <f aca="false">IF(Tasks[[#This Row],[_Pred3Text]]="","",IFERROR(VALUE(LEFT(Tasks[[#This Row],[_Pred3Text]],MIN(FIND("F",Tasks[[#This Row],[_Pred3Text]]&amp;"F"),FIND("S",Tasks[[#This Row],[_Pred3Text]]&amp;"S"),FIND("+",Tasks[[#This Row],[_Pred3Text]]&amp;"+"),FIND("-",Tasks[[#This Row],[_Pred3Text]]&amp;"-"))-1)),""))</f>
        <v/>
      </c>
      <c r="DE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3" t="str">
        <f aca="false">IF(Tasks[[#This Row],[_Pred3Text]]="","",TRIM(MID(SUBSTITUTE(SUBSTITUTE(SUBSTITUTE(UPPER(Tasks[[#This Row],[_Predecessors]]),";",",")," ",""),",",REPT(" ",99)),298,99)))</f>
        <v/>
      </c>
      <c r="DH67" s="43" t="str">
        <f aca="false">IF(Tasks[[#This Row],[_Pred4Text]]="","",IFERROR(VALUE(LEFT(Tasks[[#This Row],[_Pred4Text]],MIN(FIND("F",Tasks[[#This Row],[_Pred4Text]]&amp;"F"),FIND("S",Tasks[[#This Row],[_Pred4Text]]&amp;"S"),FIND("+",Tasks[[#This Row],[_Pred4Text]]&amp;"+"),FIND("-",Tasks[[#This Row],[_Pred4Text]]&amp;"-"))-1)),""))</f>
        <v/>
      </c>
      <c r="DI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3" t="str">
        <f aca="false">IF(OR(Tasks[[#This Row],[Task Name]]="",Tasks[[#This Row],[_Resources]]=""),"",TRIM(MID(SUBSTITUTE(Tasks[[#This Row],[_Resources]],",",REPT(" ",99)),1,99)))</f>
        <v/>
      </c>
      <c r="DL67" s="43" t="str">
        <f aca="false">IF(Tasks[[#This Row],[_Res1Text]]="","",TRIM(MID(SUBSTITUTE(Tasks[[#This Row],[_Resources]],",",REPT(" ",99)),100,99)))</f>
        <v/>
      </c>
      <c r="DM67" s="43" t="str">
        <f aca="false">IF(Tasks[[#This Row],[_Res2Text]]="","",TRIM(MID(SUBSTITUTE(Tasks[[#This Row],[_Resources]],",",REPT(" ",99)),199,99)))</f>
        <v/>
      </c>
      <c r="DN67" s="43" t="str">
        <f aca="false">IF(Tasks[[#This Row],[_Res3Text]]="","",TRIM(MID(SUBSTITUTE(Tasks[[#This Row],[_Resources]],",",REPT(" ",99)),298,99)))</f>
        <v/>
      </c>
      <c r="DO67" s="43" t="n">
        <f aca="false">IF(Tasks[[#This Row],[_Res1Text]]="",0,IFERROR(MATCH(TRIM(LEFT(Tasks[[#This Row],[_Res1Text]],FIND("[",Tasks[[#This Row],[_Res1Text]]&amp;"[")-1)),res_Name,0),IFERROR(MATCH(TRIM(LEFT(Tasks[[#This Row],[_Res1Text]],FIND("[",Tasks[[#This Row],[_Res1Text]]&amp;"[")-1)),res_Initials,0),0)))</f>
        <v>0</v>
      </c>
      <c r="DP67" s="43" t="n">
        <f aca="false">IF(Tasks[[#This Row],[_Res2Text]]="",0,IFERROR(MATCH(TRIM(LEFT(Tasks[[#This Row],[_Res2Text]],FIND("[",Tasks[[#This Row],[_Res2Text]]&amp;"[")-1)),res_Name,0),IFERROR(MATCH(TRIM(LEFT(Tasks[[#This Row],[_Res2Text]],FIND("[",Tasks[[#This Row],[_Res2Text]]&amp;"[")-1)),res_Initials,0),0)))</f>
        <v>0</v>
      </c>
      <c r="DQ67" s="43" t="n">
        <f aca="false">IF(Tasks[[#This Row],[_Res3Text]]="",0,IFERROR(MATCH(TRIM(LEFT(Tasks[[#This Row],[_Res3Text]],FIND("[",Tasks[[#This Row],[_Res3Text]]&amp;"[")-1)),res_Name,0),IFERROR(MATCH(TRIM(LEFT(Tasks[[#This Row],[_Res3Text]],FIND("[",Tasks[[#This Row],[_Res3Text]]&amp;"[")-1)),res_Initials,0),0)))</f>
        <v>0</v>
      </c>
      <c r="DR67" s="43" t="n">
        <f aca="false">IF(Tasks[[#This Row],[_Res4Text]]="",0,IFERROR(MATCH(TRIM(LEFT(Tasks[[#This Row],[_Res4Text]],FIND("[",Tasks[[#This Row],[_Res4Text]]&amp;"[")-1)),res_Name,0),IFERROR(MATCH(TRIM(LEFT(Tasks[[#This Row],[_Res4Text]],FIND("[",Tasks[[#This Row],[_Res4Text]]&amp;"[")-1)),res_Initials,0),0)))</f>
        <v>0</v>
      </c>
      <c r="DS67" s="43" t="str">
        <f aca="false">IF(Tasks[[#This Row],[_Res1Text]]="","",IF(Tasks[[#This Row],[_Res1Row]]&gt;0,INDEX(res_Name,Tasks[[#This Row],[_Res1Row]]),TRIM(LEFT(Tasks[[#This Row],[_Res1Text]],FIND("[",Tasks[[#This Row],[_Res1Text]]&amp;"[")-1))))</f>
        <v/>
      </c>
      <c r="DT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3" t="n">
        <f aca="false">IF(NOT(Tasks[[#This Row],[_IsLeaf]]=1),0,(Tasks[[#This Row],[_Resource1]]&lt;&gt;"")+(Tasks[[#This Row],[_Res2]]&lt;&gt;"")+(Tasks[[#This Row],[_Res3]]&lt;&gt;"")+(Tasks[[#This Row],[_Res4]]&lt;&gt;""))</f>
        <v>0</v>
      </c>
      <c r="DV67" s="43" t="str">
        <f aca="false">IF(Tasks[[#This Row],[_Res2Text]]="","",IF(Tasks[[#This Row],[_Res2Row]]&gt;0,INDEX(res_Name,Tasks[[#This Row],[_Res2Row]]),TRIM(LEFT(Tasks[[#This Row],[_Res2Text]],FIND("[",Tasks[[#This Row],[_Res2Text]]&amp;"[")-1))))</f>
        <v/>
      </c>
      <c r="DW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3" t="n">
        <f aca="false">IF(OR(NOT(Tasks[[#This Row],[_IsLeaf]]=1),Tasks[[#This Row],[_Res2Row]]=0),0,N(Tasks[[#This Row],[_Days]])*HoursPerDay*IF(Tasks[[#This Row],[_Res2Units]]="",DefaultUnits,Tasks[[#This Row],[_Res2Units]]))</f>
        <v>0</v>
      </c>
      <c r="DY67" s="43" t="n">
        <f aca="false">IF(AND(AND(Tasks[[#This Row],[_IsLeaf]]=1,Tasks[[#This Row],[_LeafTotalWork]]&gt;0),Tasks[[#This Row],[_Res2Work]]&gt;0),Tasks[[#This Row],[_Res2Work]]/(Tasks[[#This Row],[_FinishWorkday]]-Tasks[[#This Row],[_StartWorkday]]+1),0)</f>
        <v>0</v>
      </c>
      <c r="DZ67" s="43" t="n">
        <f aca="false">Tasks[[#This Row],[_Res2WorkPerWD]]*MAX(0,Tasks[[#This Row],[_StartWorkday]]-1)</f>
        <v>0</v>
      </c>
      <c r="EA67" s="43" t="n">
        <f aca="false">Tasks[[#This Row],[_Res2Work]]*Tasks[[#This Row],[_LeafProgress]]</f>
        <v>0</v>
      </c>
      <c r="EB67" s="43" t="str">
        <f aca="false">IF(Tasks[[#This Row],[_Res3Text]]="","",IF(Tasks[[#This Row],[_Res3Row]]&gt;0,INDEX(res_Name,Tasks[[#This Row],[_Res3Row]]),TRIM(LEFT(Tasks[[#This Row],[_Res3Text]],FIND("[",Tasks[[#This Row],[_Res3Text]]&amp;"[")-1))))</f>
        <v/>
      </c>
      <c r="EC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3" t="n">
        <f aca="false">IF(OR(NOT(Tasks[[#This Row],[_IsLeaf]]=1),Tasks[[#This Row],[_Res3Row]]=0),0,N(Tasks[[#This Row],[_Days]])*HoursPerDay*IF(Tasks[[#This Row],[_Res3Units]]="",DefaultUnits,Tasks[[#This Row],[_Res3Units]]))</f>
        <v>0</v>
      </c>
      <c r="EE67" s="43" t="n">
        <f aca="false">IF(AND(AND(Tasks[[#This Row],[_IsLeaf]]=1,Tasks[[#This Row],[_LeafTotalWork]]&gt;0),Tasks[[#This Row],[_Res3Work]]&gt;0),Tasks[[#This Row],[_Res3Work]]/(Tasks[[#This Row],[_FinishWorkday]]-Tasks[[#This Row],[_StartWorkday]]+1),0)</f>
        <v>0</v>
      </c>
      <c r="EF67" s="43" t="n">
        <f aca="false">Tasks[[#This Row],[_Res3WorkPerWD]]*MAX(0,Tasks[[#This Row],[_StartWorkday]]-1)</f>
        <v>0</v>
      </c>
      <c r="EG67" s="43" t="n">
        <f aca="false">Tasks[[#This Row],[_Res3Work]]*Tasks[[#This Row],[_LeafProgress]]</f>
        <v>0</v>
      </c>
      <c r="EH67" s="43" t="str">
        <f aca="false">IF(Tasks[[#This Row],[_Res4Text]]="","",IF(Tasks[[#This Row],[_Res4Row]]&gt;0,INDEX(res_Name,Tasks[[#This Row],[_Res4Row]]),TRIM(LEFT(Tasks[[#This Row],[_Res4Text]],FIND("[",Tasks[[#This Row],[_Res4Text]]&amp;"[")-1))))</f>
        <v/>
      </c>
      <c r="EI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3" t="n">
        <f aca="false">IF(OR(NOT(Tasks[[#This Row],[_IsLeaf]]=1),Tasks[[#This Row],[_Res4Row]]=0),0,N(Tasks[[#This Row],[_Days]])*HoursPerDay*IF(Tasks[[#This Row],[_Res4Units]]="",DefaultUnits,Tasks[[#This Row],[_Res4Units]]))</f>
        <v>0</v>
      </c>
      <c r="EK67" s="43" t="n">
        <f aca="false">IF(AND(AND(Tasks[[#This Row],[_IsLeaf]]=1,Tasks[[#This Row],[_LeafTotalWork]]&gt;0),Tasks[[#This Row],[_Res4Work]]&gt;0),Tasks[[#This Row],[_Res4Work]]/(Tasks[[#This Row],[_FinishWorkday]]-Tasks[[#This Row],[_StartWorkday]]+1),0)</f>
        <v>0</v>
      </c>
      <c r="EL67" s="43" t="n">
        <f aca="false">Tasks[[#This Row],[_Res4WorkPerWD]]*MAX(0,Tasks[[#This Row],[_StartWorkday]]-1)</f>
        <v>0</v>
      </c>
      <c r="EM67" s="43" t="n">
        <f aca="false">Tasks[[#This Row],[_Res4Work]]*Tasks[[#This Row],[_LeafProgress]]</f>
        <v>0</v>
      </c>
      <c r="EN67" s="43" t="n">
        <f aca="false">IF(ISNUMBER(Tasks[[#This Row],[% Complete]]),Tasks[[#This Row],[% Complete]],IF(Tasks[[#This Row],[Stage]]="",0,IFERROR(INDEX(stg_Pct,MATCH(Tasks[[#This Row],[Stage]],stg_Name,0)),0)))</f>
        <v>0</v>
      </c>
      <c r="EO67" s="43" t="n">
        <f aca="false">IF(NOT(Tasks[[#This Row],[_IsLeaf]]=1),0,IF(N(Tasks[[#This Row],[Actual Finish]])&gt;0,1,MIN(1,Tasks[[#This Row],[_Pct]])))</f>
        <v>0</v>
      </c>
      <c r="EP67" s="43" t="n">
        <f aca="false">IF(OR(NOT(Tasks[[#This Row],[_IsLeaf]]=1),Tasks[[#This Row],[_Res1Row]]=0),0,N(Tasks[[#This Row],[_Days]])*HoursPerDay*IF(Tasks[[#This Row],[_Units1]]="",DefaultUnits,Tasks[[#This Row],[_Units1]]))</f>
        <v>0</v>
      </c>
      <c r="EQ67" s="43" t="n">
        <f aca="false">Tasks[[#This Row],[_LeafWork]]+Tasks[[#This Row],[_Res2Work]]+Tasks[[#This Row],[_Res3Work]]+Tasks[[#This Row],[_Res4Work]]</f>
        <v>0</v>
      </c>
      <c r="ER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3" t="n">
        <f aca="false">IF(NOT(Tasks[[#This Row],[_IsLeaf]]=1),0,MAX(_xlfn.MAXIFS(Tasks[_Row],Tasks[_Pred1UID],Tasks[[#This Row],[UID]]),_xlfn.MAXIFS(Tasks[_Row],Tasks[_Pred2UID],Tasks[[#This Row],[UID]]),_xlfn.MAXIFS(Tasks[_Row],Tasks[_Pred3UID],Tasks[[#This Row],[UID]]),_xlfn.MAXIFS(Tasks[_Row],Tasks[_Pred4UID],Tasks[[#This Row],[UID]])))</f>
        <v>0</v>
      </c>
      <c r="FA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91" t="str">
        <f aca="false">IF(NOT(Tasks[[#This Row],[_IsLeaf]]=1),"",IF(N(Tasks[[#This Row],[_Days]])&lt;=0,Tasks[[#This Row],[_LeafLateFinish]],WORKDAY.INTL(Tasks[[#This Row],[_LeafLateFinish]],-(Tasks[[#This Row],[_Days]]-1),WorkWeek,Holidays)))</f>
        <v/>
      </c>
      <c r="FD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7" s="90" t="b">
        <f aca="false">AND(Tasks[[#This Row],[_IsLeaf]]=1,Tasks[[#This Row],[_LeafProgress]]&lt;1,N(Tasks[[#This Row],[_LeafTotalSlack]])&lt;=CriticalSlackDays)</f>
        <v>0</v>
      </c>
      <c r="FF67" s="43" t="n">
        <f aca="false">IF(AND(Tasks[[#This Row],[_IsLeaf]]=1,Tasks[[#This Row],[_ConstraintCode]]=1,Tasks[[#This Row],[Mode]]&lt;&gt;"Manual",N(Tasks[[#This Row],[Actual Start]])=0),MAX(0,N(Tasks[[#This Row],[Free Slack]])),0)</f>
        <v>0</v>
      </c>
      <c r="FG67" s="91" t="str">
        <f aca="false">IF(NOT(Tasks[[#This Row],[_IsLeaf]]=1),"",IF(Tasks[[#This Row],[_AlapShift]]=0,Tasks[[#This Row],[_LeafCalcStart]],WORKDAY.INTL(Tasks[[#This Row],[_LeafCalcStart]],Tasks[[#This Row],[_AlapShift]],WorkWeek,Holidays)))</f>
        <v/>
      </c>
      <c r="FH67" s="91" t="str">
        <f aca="false">IF(NOT(Tasks[[#This Row],[_IsLeaf]]=1),"",IF(Tasks[[#This Row],[_AlapShift]]=0,Tasks[[#This Row],[_LeafCalcFinish]],WORKDAY.INTL(Tasks[[#This Row],[_LeafCalcFinish]],Tasks[[#This Row],[_AlapShift]],WorkWeek,Holidays)))</f>
        <v/>
      </c>
      <c r="FI67" s="91" t="str">
        <f aca="false">IF(NOT(Tasks[[#This Row],[_IsLeaf]]=1),"",IF(Tasks[[#This Row],[_AlapShift]]=0,Tasks[[#This Row],[_LeafFcstStart]],WORKDAY.INTL(Tasks[[#This Row],[_LeafFcstStart]],Tasks[[#This Row],[_AlapShift]],WorkWeek,Holidays)))</f>
        <v/>
      </c>
      <c r="FJ67" s="91" t="str">
        <f aca="false">IF(NOT(Tasks[[#This Row],[_IsLeaf]]=1),"",IF(Tasks[[#This Row],[_AlapShift]]=0,Tasks[[#This Row],[_LeafFcstFinish]],WORKDAY.INTL(Tasks[[#This Row],[_LeafFcstFinish]],Tasks[[#This Row],[_AlapShift]],WorkWeek,Holidays)))</f>
        <v/>
      </c>
      <c r="FK67" s="91" t="str">
        <f aca="false">IF(Tasks[[#This Row],[Task Name]]="","",IF(Tasks[[#This Row],[_IsSummary]],MIN(INDEX(Tasks[_ShownCalcStart],Tasks[[#This Row],[_Row]]+1):INDEX(Tasks[_ShownCalcStart],Tasks[[#This Row],[_Row]]+Tasks[[#This Row],[_Descendants]])),Tasks[[#This Row],[_ShownCalcStart]]))</f>
        <v/>
      </c>
      <c r="FL67" s="91" t="str">
        <f aca="false">IF(Tasks[[#This Row],[Task Name]]="","",IF(Tasks[[#This Row],[_IsSummary]],MAX(INDEX(Tasks[_ShownCalcFinish],Tasks[[#This Row],[_Row]]+1):INDEX(Tasks[_ShownCalcFinish],Tasks[[#This Row],[_Row]]+Tasks[[#This Row],[_Descendants]])),Tasks[[#This Row],[_ShownCalcFinish]]))</f>
        <v/>
      </c>
      <c r="FM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7" s="43" t="n">
        <f aca="false">IF(AND(Tasks[[#This Row],[_IsLeaf]]=1,Tasks[[#This Row],[_LeafTotalWork]]&gt;0),NETWORKDAYS.INTL(ProjectStart,Tasks[[#This Row],[_ShownFcstStart]],WorkWeek,Holidays),0)</f>
        <v>0</v>
      </c>
      <c r="FZ67" s="43" t="n">
        <f aca="false">IF(AND(Tasks[[#This Row],[_IsLeaf]]=1,Tasks[[#This Row],[_LeafTotalWork]]&gt;0),MAX(Tasks[[#This Row],[_StartWorkday]],NETWORKDAYS.INTL(ProjectStart,Tasks[[#This Row],[_ShownFcstFinish]],WorkWeek,Holidays)),0)</f>
        <v>0</v>
      </c>
      <c r="GA67" s="43" t="n">
        <f aca="false">IF(AND(Tasks[[#This Row],[_IsLeaf]]=1,Tasks[[#This Row],[_LeafTotalWork]]&gt;0),Tasks[[#This Row],[_LeafWork]]/(Tasks[[#This Row],[_FinishWorkday]]-Tasks[[#This Row],[_StartWorkday]]+1),0)</f>
        <v>0</v>
      </c>
      <c r="GB67" s="43" t="n">
        <f aca="false">Tasks[[#This Row],[_WorkPerWorkday]]*(Tasks[[#This Row],[_StartWorkday]]-1)</f>
        <v>-0</v>
      </c>
      <c r="GC67" s="43" t="n">
        <f aca="false">IF(Tasks[[#This Row],[_IsLeaf]]=1,MAX(N(Tasks[[#This Row],[_Days]]),0.1),0)</f>
        <v>0</v>
      </c>
      <c r="GD67" s="43" t="n">
        <f aca="false">Tasks[[#This Row],[_WeightDur]]*Tasks[[#This Row],[_LeafProgress]]</f>
        <v>0</v>
      </c>
      <c r="GE67" s="43" t="n">
        <f aca="false">Tasks[[#This Row],[_WeightDur]]*Tasks[[#This Row],[_PlannedPct]]</f>
        <v>0</v>
      </c>
      <c r="GF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3" t="str">
        <f aca="false">IF(AND(Tasks[[#This Row],[_IsLeaf]]=1,N(Tasks[[#This Row],[_Days]])=0,Tasks[[#This Row],[_LeafProgress]]&lt;1),Tasks[[#This Row],[_ShownFcstFinish]]+Tasks[[#This Row],[_Row]]/100000,"")</f>
        <v/>
      </c>
      <c r="GH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7" s="43" t="str">
        <f aca="false">IF(Tasks[[#This Row],[Task Name]]="","",LEFT(Tasks[[#This Row],[WBS]],FIND(".",Tasks[[#This Row],[WBS]]&amp;".")-1))</f>
        <v/>
      </c>
      <c r="GJ67" s="43" t="str">
        <f aca="false">IF(AND(Tasks[[#This Row],[Task Name]]&lt;&gt;"",Tasks[[#This Row],[_Level]]=1),Tasks[[#This Row],[_Row]],"")</f>
        <v/>
      </c>
      <c r="GK67" s="43" t="str">
        <f aca="false">IF(AND(Tasks[[#This Row],[_IsLeaf]]=1,N(Tasks[[#This Row],[_Days]])=0),Tasks[[#This Row],[Planned Finish]]+Tasks[[#This Row],[_Row]]/100000,"")</f>
        <v/>
      </c>
      <c r="GL67" s="43" t="str">
        <f aca="false">IF(AND(Tasks[[#This Row],[_IsLeaf]]=1,Tasks[[#This Row],[_LeafProgress]]&lt;1,OR(N(Tasks[[#This Row],[Finish Var]])&gt;0,Tasks[[#This Row],[Status]]="Late Start")),MAX(0,Tasks[[#This Row],[Finish Var]])+1-Tasks[[#This Row],[_Row]]/1000000,"")</f>
        <v/>
      </c>
      <c r="GM67" s="43" t="str">
        <f aca="false">IF(AND(Tasks[[#This Row],[_IsLeaf]]=1,N(Tasks[[#This Row],[Actual Start]])=0,Tasks[[#This Row],[_ShownFcstStart]]&gt;=StatusDate,Tasks[[#This Row],[_ShownFcstStart]]&lt;=LookaheadEnd),Tasks[[#This Row],[_ShownFcstStart]]+Tasks[[#This Row],[_Row]]/100000,"")</f>
        <v/>
      </c>
      <c r="GN67" s="43" t="str">
        <f aca="false">IF(AND(Tasks[[#This Row],[_IsLeaf]]=1,Tasks[[#This Row],[_LeafProgress]]&lt;1,Tasks[[#This Row],[_ShownFcstFinish]]&gt;=StatusDate,Tasks[[#This Row],[_ShownFcstFinish]]&lt;=LookaheadEnd),Tasks[[#This Row],[_ShownFcstFinish]]+Tasks[[#This Row],[_Row]]/100000,"")</f>
        <v/>
      </c>
      <c r="GO67" s="43" t="str">
        <f aca="false">IF(Tasks[[#This Row],[_LeafCritical]],Tasks[[#This Row],[_ShownFcstStart]]+Tasks[[#This Row],[_Row]]/100000,"")</f>
        <v/>
      </c>
      <c r="GP67" s="43" t="n">
        <f aca="false">Tasks[[#This Row],[_LeafWork]]*Tasks[[#This Row],[_LeafProgress]]</f>
        <v>0</v>
      </c>
      <c r="GQ67" s="91" t="str">
        <f aca="false">IF(AND(Tasks[[#This Row],[_IsLeaf]]=1,Tasks[[#This Row],[_LeafProgress]]&gt;=1),IF(N(Tasks[[#This Row],[Actual Finish]])&gt;0,Tasks[[#This Row],[Actual Finish]],Tasks[[#This Row],[_ShownFcstFinish]]),"")</f>
        <v/>
      </c>
      <c r="GR67" s="43" t="n">
        <f aca="false">IF(Tasks[[#This Row],[_IsLeaf]]=1,N(Tasks[[#This Row],[Story Points]]),0)</f>
        <v>0</v>
      </c>
      <c r="GS67" s="43" t="str">
        <f aca="false">""</f>
        <v/>
      </c>
      <c r="GT67" s="90" t="b">
        <f aca="false">IF(Tasks[[#This Row],[Task Name]]="",FALSE(),AND(Tasks[[#This Row],[_IsLeaf]]=1,N(Tasks[[#This Row],[_Days]])=0))</f>
        <v>0</v>
      </c>
      <c r="GU67" s="91" t="n">
        <f aca="false">IF(Tasks[[#This Row],[Task Name]]="",0,IF(AND(Tasks[[#This Row],[_IsLeaf]]=1,NOT(Tasks[[#This Row],[_IsMilestone]]),N(Tasks[[#This Row],[Progress]])&gt;0),Tasks[[#This Row],[Start]],0))</f>
        <v>0</v>
      </c>
      <c r="GV67" s="91" t="n">
        <f aca="false">IF(Tasks[[#This Row],[_DoneFrom]]=0,0,IF(Tasks[[#This Row],[Progress]]&gt;=1,Tasks[[#This Row],[Finish]],MAX(Tasks[[#This Row],[_DoneFrom]],Tasks[[#This Row],[Start]]+ROUND((Tasks[[#This Row],[Finish]]-Tasks[[#This Row],[Start]]+1)*Tasks[[#This Row],[Progress]],0)-1)))</f>
        <v>0</v>
      </c>
      <c r="GW67" s="91" t="n">
        <f aca="false">IF(Tasks[[#This Row],[Task Name]]="",0,IF(OR(NOT(Tasks[[#This Row],[_IsLeaf]]=1),Tasks[[#This Row],[_IsMilestone]],N(Tasks[[#This Row],[Progress]])&gt;=1),0,IF(Tasks[[#This Row],[_DoneTo]]&gt;0,Tasks[[#This Row],[_DoneTo]]+1,Tasks[[#This Row],[Start]])))</f>
        <v>0</v>
      </c>
      <c r="GX67" s="91" t="n">
        <f aca="false">IF(Tasks[[#This Row],[_RemFrom]]=0,0,Tasks[[#This Row],[Finish]])</f>
        <v>0</v>
      </c>
      <c r="GY67" s="90" t="b">
        <f aca="false">IF(Tasks[[#This Row],[Task Name]]="",FALSE(),OR(NOT(BaselineSet),N(Tasks[[#This Row],[Baseline Start]])&gt;0))</f>
        <v>0</v>
      </c>
      <c r="GZ6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92" t="str">
        <f aca="false">IF(Tasks[[#This Row],[_IsLeaf]]=1,Tasks[[#This Row],[_Row]],"")</f>
        <v/>
      </c>
      <c r="HD67" s="92" t="str">
        <f aca="false">IFERROR(INDEX(Tasks[UID],SMALL(Tasks[_PickKey],Tasks[[#This Row],[_Row]]))&amp;" "&amp;INDEX(Tasks[Task Name],SMALL(Tasks[_PickKey],Tasks[[#This Row],[_Row]])),"")</f>
        <v/>
      </c>
      <c r="HE67" s="43" t="str">
        <f aca="false">IF(Tasks[[#This Row],[Task Name]]="","",IF(Tasks[[#This Row],[_IsSummary]],NETWORKDAYS.INTL(Tasks[[#This Row],[Start]],Tasks[[#This Row],[Finish]],WorkWeek,Holidays),N(Tasks[[#This Row],[_Days]])))</f>
        <v/>
      </c>
      <c r="HF67" s="43" t="n">
        <f aca="false">IF(Tasks[[#This Row],[Expected]]="",0,((Tasks[[#This Row],[Pessimistic]]-Tasks[[#This Row],[Optimistic]])/6)^2)</f>
        <v>0</v>
      </c>
      <c r="HG67" s="43" t="n">
        <f aca="false">IF(Tasks[[#This Row],[Expected]]="",0,Tasks[[#This Row],[Expected]]-N(Tasks[[#This Row],[_Days]]))</f>
        <v>0</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4"/>
      <c r="U68" s="23"/>
      <c r="V68" s="84"/>
      <c r="W68" s="23"/>
      <c r="X68" s="84"/>
      <c r="Y68" s="23"/>
      <c r="Z68" s="84"/>
      <c r="AA68" s="23"/>
      <c r="AB68" s="23"/>
      <c r="AC68" s="7"/>
      <c r="AD68" s="7"/>
      <c r="AE68" s="63" t="str">
        <f aca="false">IF(Tasks[[#This Row],[Task Name]]="","",IF(Tasks[[#This Row],[_IsSummary]],MIN(INDEX(Tasks[_ShownFcstStart],Tasks[[#This Row],[_Row]]+1):INDEX(Tasks[_ShownFcstStart],Tasks[[#This Row],[_Row]]+Tasks[[#This Row],[_Descendants]])),Tasks[[#This Row],[_ShownFcstStart]]))</f>
        <v/>
      </c>
      <c r="AF68" s="63"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8" s="7"/>
      <c r="AK68" s="22"/>
      <c r="AL68" s="23"/>
      <c r="AM68" s="7"/>
      <c r="AN68" s="47"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3" t="str">
        <f aca="false">IF(Tasks[[#This Row],[Task Name]]="","",IF(N(Tasks[[#This Row],[Baseline Start]])&gt;0,Tasks[[#This Row],[Baseline Start]],Tasks[[#This Row],[_CalcStart]]))</f>
        <v/>
      </c>
      <c r="AR68" s="63" t="str">
        <f aca="false">IF(Tasks[[#This Row],[Task Name]]="","",IF(N(Tasks[[#This Row],[Baseline Finish]])&gt;0,Tasks[[#This Row],[Baseline Finish]],Tasks[[#This Row],[_CalcFinish]]))</f>
        <v/>
      </c>
      <c r="AS68" s="47" t="str">
        <f aca="false">IF(Tasks[[#This Row],[Task Name]]="","",IF(Tasks[[#This Row],[Start]]&gt;=Tasks[[#This Row],[Planned Start]],NETWORKDAYS.INTL(Tasks[[#This Row],[Planned Start]],Tasks[[#This Row],[Start]],WorkWeek,Holidays)-1,1-NETWORKDAYS.INTL(Tasks[[#This Row],[Start]],Tasks[[#This Row],[Planned Start]],WorkWeek,Holidays)))</f>
        <v/>
      </c>
      <c r="AT68" s="63" t="str">
        <f aca="false">IF(Tasks[[#This Row],[Task Name]]="","",IF(Tasks[[#This Row],[_IsSummary]],MIN(INDEX(Tasks[_LeafLateStart],Tasks[[#This Row],[_Row]]+1):INDEX(Tasks[_LeafLateStart],Tasks[[#This Row],[_Row]]+Tasks[[#This Row],[_Descendants]])),Tasks[[#This Row],[_LeafLateStart]]))</f>
        <v/>
      </c>
      <c r="AU68" s="63" t="str">
        <f aca="false">IF(Tasks[[#This Row],[Task Name]]="","",IF(Tasks[[#This Row],[_IsSummary]],MAX(INDEX(Tasks[_LeafLateFinish],Tasks[[#This Row],[_Row]]+1):INDEX(Tasks[_LeafLateFinish],Tasks[[#This Row],[_Row]]+Tasks[[#This Row],[_Descendants]])),Tasks[[#This Row],[_LeafLateFinish]]))</f>
        <v/>
      </c>
      <c r="AV68" s="47"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5"/>
      <c r="BA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6"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7"/>
      <c r="BJ68" s="22"/>
      <c r="BK68" s="47" t="str">
        <f aca="false">IF(OR(Tasks[[#This Row],[Task Name]]="",Tasks[[#This Row],[Baseline Duration]]=""),"",Tasks[[#This Row],[_SpanDays]]-N(Tasks[[#This Row],[Baseline Duration]]))</f>
        <v/>
      </c>
      <c r="BL68" s="86" t="str">
        <f aca="false">IF(OR(Tasks[[#This Row],[Task Name]]="",Tasks[[#This Row],[Baseline Work]]=""),"",Tasks[[#This Row],[Work]]-N(Tasks[[#This Row],[Baseline Work]]))</f>
        <v/>
      </c>
      <c r="BM68" s="63" t="str">
        <f aca="false">IF(Tasks[[#This Row],[Task Name]]="","",IF(OR(TakeBaseline="Yes",N(Tasks[[#This Row],[Baseline Start]])=0),Tasks[[#This Row],[Start]],Tasks[[#This Row],[Baseline Start]]))</f>
        <v/>
      </c>
      <c r="BN68" s="63" t="str">
        <f aca="false">IF(Tasks[[#This Row],[Task Name]]="","",IF(OR(TakeBaseline="Yes",N(Tasks[[#This Row],[Baseline Finish]])=0),Tasks[[#This Row],[Finish]],Tasks[[#This Row],[Baseline Finish]]))</f>
        <v/>
      </c>
      <c r="BO68" s="21" t="str">
        <f aca="false">IF(Tasks[[#This Row],[Task Name]]="","",IF(OR(TakeBaseline="Yes",N(Tasks[[#This Row],[Baseline Duration]])=0),Tasks[[#This Row],[_SpanDays]],Tasks[[#This Row],[Baseline Duration]]))</f>
        <v/>
      </c>
      <c r="BP68" s="86" t="str">
        <f aca="false">IF(Tasks[[#This Row],[Task Name]]="","",IF(OR(TakeBaseline="Yes",N(Tasks[[#This Row],[Baseline Work]])=0),Tasks[[#This Row],[Work]],Tasks[[#This Row],[Baseline Work]]))</f>
        <v/>
      </c>
      <c r="BQ68" s="7"/>
      <c r="BR68" s="7"/>
      <c r="BS68" s="22"/>
      <c r="BT68" s="88"/>
      <c r="BU68" s="23"/>
      <c r="BV68" s="23"/>
      <c r="BW68" s="23"/>
      <c r="BX68" s="89" t="str">
        <f aca="false">IF(AND(Tasks[[#This Row],[_IsLeaf]]=1,ISNUMBER(Tasks[[#This Row],[Optimistic]]),ISNUMBER(Tasks[[#This Row],[Pessimistic]])),ROUND((Tasks[[#This Row],[Optimistic]]+4*N(Tasks[[#This Row],[_Days]])+Tasks[[#This Row],[Pessimistic]])/6,1),"")</f>
        <v/>
      </c>
      <c r="BY68" s="87"/>
      <c r="BZ68" s="87"/>
      <c r="CA68" s="22"/>
      <c r="CB68" s="43" t="str">
        <f aca="false">IF(Tasks[[#This Row],[Task Name]]="","",MAX(1,N(Tasks[[#This Row],[Level]])))</f>
        <v/>
      </c>
      <c r="CC68" s="43" t="n">
        <f aca="false">ROW()-ROW(Tasks[[#Headers],[ID]])</f>
        <v>63</v>
      </c>
      <c r="CD68" s="43" t="n">
        <f aca="false">IF(OR(Tasks[[#This Row],[Task Name]]="",Tasks[[#This Row],[_Level]]&lt;=1),0,IFERROR(LOOKUP(2,1/(Tasks[[#Headers],[_Level]]:Tasks[[#This Row],[_Level]]=Tasks[[#This Row],[_Level]]-1),ROW(Tasks[[#Headers],[_Level]]:Tasks[[#This Row],[_Level]])),0))</f>
        <v>0</v>
      </c>
      <c r="CE68" s="43" t="n">
        <f aca="false">IFERROR(N(INDEX(Tasks[_Level],Tasks[[#This Row],[_Row]]+1)),0)</f>
        <v>0</v>
      </c>
      <c r="CF68" s="90" t="b">
        <f aca="false">AND(Tasks[[#This Row],[Task Name]]&lt;&gt;"",Tasks[[#This Row],[_NextLevel]]&gt;Tasks[[#This Row],[_Level]])</f>
        <v>0</v>
      </c>
      <c r="CG68" s="43" t="n">
        <f aca="false">IF(Tasks[[#This Row],[_IsSummary]],COUNTIF(Tasks[WBS],Tasks[[#This Row],[WBS]]&amp;".*"),0)</f>
        <v>0</v>
      </c>
      <c r="CH68" s="43" t="n">
        <f aca="false">IF(AND(Tasks[[#This Row],[Task Name]]&lt;&gt;"",NOT(Tasks[[#This Row],[_IsSummary]])),1,0)</f>
        <v>0</v>
      </c>
      <c r="CI68" s="43" t="n">
        <f aca="false">IF(N(Tasks[[#This Row],[_Pred1UID]])=0,0,IFERROR(MATCH(Tasks[[#This Row],[_Pred1UID]],Tasks[UID],0),-1))</f>
        <v>0</v>
      </c>
      <c r="CJ68" s="43" t="n">
        <f aca="false">IF(N(Tasks[[#This Row],[_Pred2UID]])=0,0,IFERROR(MATCH(Tasks[[#This Row],[_Pred2UID]],Tasks[UID],0),-1))</f>
        <v>0</v>
      </c>
      <c r="CK68" s="43" t="n">
        <f aca="false">IF(N(Tasks[[#This Row],[_Pred3UID]])=0,0,IFERROR(MATCH(Tasks[[#This Row],[_Pred3UID]],Tasks[UID],0),-1))</f>
        <v>0</v>
      </c>
      <c r="CL68" s="43" t="n">
        <f aca="false">IF(N(Tasks[[#This Row],[_Pred4UID]])=0,0,IFERROR(MATCH(Tasks[[#This Row],[_Pred4UID]],Tasks[UID],0),-1))</f>
        <v>0</v>
      </c>
      <c r="CM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8" s="91" t="n">
        <f aca="false">IF(OR(Tasks[[#This Row],[_ConstraintCode]]=2,Tasks[[#This Row],[_ConstraintCode]]=3,Tasks[[#This Row],[_ConstraintCode]]=4,Tasks[[#This Row],[_ConstraintCode]]=6),Tasks[[#This Row],[_ConstraintStart]],0)</f>
        <v>0</v>
      </c>
      <c r="CP68" s="91" t="n">
        <f aca="false">IF(OR(Tasks[[#This Row],[_ConstraintCode]]=2,Tasks[[#This Row],[_ConstraintCode]]=3,Tasks[[#This Row],[_ConstraintCode]]=5,Tasks[[#This Row],[_ConstraintCode]]=7),Tasks[[#This Row],[_ConstraintStart]],2958465)</f>
        <v>2958465</v>
      </c>
      <c r="CQ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91" t="str">
        <f aca="false">IF(NOT(Tasks[[#This Row],[_IsLeaf]]=1),"",IF(N(Tasks[[#This Row],[_Days]])&lt;=0,Tasks[[#This Row],[_LeafCalcStart]],WORKDAY.INTL(Tasks[[#This Row],[_LeafCalcStart]],Tasks[[#This Row],[_Days]]-1,WorkWeek,Holidays)))</f>
        <v/>
      </c>
      <c r="CS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3" t="str">
        <f aca="false">IF(Tasks[[#This Row],[_Predecessors]]="","",TRIM(MID(SUBSTITUTE(SUBSTITUTE(SUBSTITUTE(UPPER(Tasks[[#This Row],[_Predecessors]]),";",",")," ",""),",",REPT(" ",99)),1,99)))</f>
        <v/>
      </c>
      <c r="CV68" s="43" t="str">
        <f aca="false">IF(Tasks[[#This Row],[_Pred1Text]]="","",IFERROR(VALUE(LEFT(Tasks[[#This Row],[_Pred1Text]],MIN(FIND("F",Tasks[[#This Row],[_Pred1Text]]&amp;"F"),FIND("S",Tasks[[#This Row],[_Pred1Text]]&amp;"S"),FIND("+",Tasks[[#This Row],[_Pred1Text]]&amp;"+"),FIND("-",Tasks[[#This Row],[_Pred1Text]]&amp;"-"))-1)),""))</f>
        <v/>
      </c>
      <c r="CW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3" t="str">
        <f aca="false">IF(Tasks[[#This Row],[_Pred1Text]]="","",TRIM(MID(SUBSTITUTE(SUBSTITUTE(SUBSTITUTE(UPPER(Tasks[[#This Row],[_Predecessors]]),";",",")," ",""),",",REPT(" ",99)),100,99)))</f>
        <v/>
      </c>
      <c r="CZ68" s="43" t="str">
        <f aca="false">IF(Tasks[[#This Row],[_Pred2Text]]="","",IFERROR(VALUE(LEFT(Tasks[[#This Row],[_Pred2Text]],MIN(FIND("F",Tasks[[#This Row],[_Pred2Text]]&amp;"F"),FIND("S",Tasks[[#This Row],[_Pred2Text]]&amp;"S"),FIND("+",Tasks[[#This Row],[_Pred2Text]]&amp;"+"),FIND("-",Tasks[[#This Row],[_Pred2Text]]&amp;"-"))-1)),""))</f>
        <v/>
      </c>
      <c r="DA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3" t="str">
        <f aca="false">IF(Tasks[[#This Row],[_Pred2Text]]="","",TRIM(MID(SUBSTITUTE(SUBSTITUTE(SUBSTITUTE(UPPER(Tasks[[#This Row],[_Predecessors]]),";",",")," ",""),",",REPT(" ",99)),199,99)))</f>
        <v/>
      </c>
      <c r="DD68" s="43" t="str">
        <f aca="false">IF(Tasks[[#This Row],[_Pred3Text]]="","",IFERROR(VALUE(LEFT(Tasks[[#This Row],[_Pred3Text]],MIN(FIND("F",Tasks[[#This Row],[_Pred3Text]]&amp;"F"),FIND("S",Tasks[[#This Row],[_Pred3Text]]&amp;"S"),FIND("+",Tasks[[#This Row],[_Pred3Text]]&amp;"+"),FIND("-",Tasks[[#This Row],[_Pred3Text]]&amp;"-"))-1)),""))</f>
        <v/>
      </c>
      <c r="DE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3" t="str">
        <f aca="false">IF(Tasks[[#This Row],[_Pred3Text]]="","",TRIM(MID(SUBSTITUTE(SUBSTITUTE(SUBSTITUTE(UPPER(Tasks[[#This Row],[_Predecessors]]),";",",")," ",""),",",REPT(" ",99)),298,99)))</f>
        <v/>
      </c>
      <c r="DH68" s="43" t="str">
        <f aca="false">IF(Tasks[[#This Row],[_Pred4Text]]="","",IFERROR(VALUE(LEFT(Tasks[[#This Row],[_Pred4Text]],MIN(FIND("F",Tasks[[#This Row],[_Pred4Text]]&amp;"F"),FIND("S",Tasks[[#This Row],[_Pred4Text]]&amp;"S"),FIND("+",Tasks[[#This Row],[_Pred4Text]]&amp;"+"),FIND("-",Tasks[[#This Row],[_Pred4Text]]&amp;"-"))-1)),""))</f>
        <v/>
      </c>
      <c r="DI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3" t="str">
        <f aca="false">IF(OR(Tasks[[#This Row],[Task Name]]="",Tasks[[#This Row],[_Resources]]=""),"",TRIM(MID(SUBSTITUTE(Tasks[[#This Row],[_Resources]],",",REPT(" ",99)),1,99)))</f>
        <v/>
      </c>
      <c r="DL68" s="43" t="str">
        <f aca="false">IF(Tasks[[#This Row],[_Res1Text]]="","",TRIM(MID(SUBSTITUTE(Tasks[[#This Row],[_Resources]],",",REPT(" ",99)),100,99)))</f>
        <v/>
      </c>
      <c r="DM68" s="43" t="str">
        <f aca="false">IF(Tasks[[#This Row],[_Res2Text]]="","",TRIM(MID(SUBSTITUTE(Tasks[[#This Row],[_Resources]],",",REPT(" ",99)),199,99)))</f>
        <v/>
      </c>
      <c r="DN68" s="43" t="str">
        <f aca="false">IF(Tasks[[#This Row],[_Res3Text]]="","",TRIM(MID(SUBSTITUTE(Tasks[[#This Row],[_Resources]],",",REPT(" ",99)),298,99)))</f>
        <v/>
      </c>
      <c r="DO68" s="43" t="n">
        <f aca="false">IF(Tasks[[#This Row],[_Res1Text]]="",0,IFERROR(MATCH(TRIM(LEFT(Tasks[[#This Row],[_Res1Text]],FIND("[",Tasks[[#This Row],[_Res1Text]]&amp;"[")-1)),res_Name,0),IFERROR(MATCH(TRIM(LEFT(Tasks[[#This Row],[_Res1Text]],FIND("[",Tasks[[#This Row],[_Res1Text]]&amp;"[")-1)),res_Initials,0),0)))</f>
        <v>0</v>
      </c>
      <c r="DP68" s="43" t="n">
        <f aca="false">IF(Tasks[[#This Row],[_Res2Text]]="",0,IFERROR(MATCH(TRIM(LEFT(Tasks[[#This Row],[_Res2Text]],FIND("[",Tasks[[#This Row],[_Res2Text]]&amp;"[")-1)),res_Name,0),IFERROR(MATCH(TRIM(LEFT(Tasks[[#This Row],[_Res2Text]],FIND("[",Tasks[[#This Row],[_Res2Text]]&amp;"[")-1)),res_Initials,0),0)))</f>
        <v>0</v>
      </c>
      <c r="DQ68" s="43" t="n">
        <f aca="false">IF(Tasks[[#This Row],[_Res3Text]]="",0,IFERROR(MATCH(TRIM(LEFT(Tasks[[#This Row],[_Res3Text]],FIND("[",Tasks[[#This Row],[_Res3Text]]&amp;"[")-1)),res_Name,0),IFERROR(MATCH(TRIM(LEFT(Tasks[[#This Row],[_Res3Text]],FIND("[",Tasks[[#This Row],[_Res3Text]]&amp;"[")-1)),res_Initials,0),0)))</f>
        <v>0</v>
      </c>
      <c r="DR68" s="43" t="n">
        <f aca="false">IF(Tasks[[#This Row],[_Res4Text]]="",0,IFERROR(MATCH(TRIM(LEFT(Tasks[[#This Row],[_Res4Text]],FIND("[",Tasks[[#This Row],[_Res4Text]]&amp;"[")-1)),res_Name,0),IFERROR(MATCH(TRIM(LEFT(Tasks[[#This Row],[_Res4Text]],FIND("[",Tasks[[#This Row],[_Res4Text]]&amp;"[")-1)),res_Initials,0),0)))</f>
        <v>0</v>
      </c>
      <c r="DS68" s="43" t="str">
        <f aca="false">IF(Tasks[[#This Row],[_Res1Text]]="","",IF(Tasks[[#This Row],[_Res1Row]]&gt;0,INDEX(res_Name,Tasks[[#This Row],[_Res1Row]]),TRIM(LEFT(Tasks[[#This Row],[_Res1Text]],FIND("[",Tasks[[#This Row],[_Res1Text]]&amp;"[")-1))))</f>
        <v/>
      </c>
      <c r="DT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3" t="n">
        <f aca="false">IF(NOT(Tasks[[#This Row],[_IsLeaf]]=1),0,(Tasks[[#This Row],[_Resource1]]&lt;&gt;"")+(Tasks[[#This Row],[_Res2]]&lt;&gt;"")+(Tasks[[#This Row],[_Res3]]&lt;&gt;"")+(Tasks[[#This Row],[_Res4]]&lt;&gt;""))</f>
        <v>0</v>
      </c>
      <c r="DV68" s="43" t="str">
        <f aca="false">IF(Tasks[[#This Row],[_Res2Text]]="","",IF(Tasks[[#This Row],[_Res2Row]]&gt;0,INDEX(res_Name,Tasks[[#This Row],[_Res2Row]]),TRIM(LEFT(Tasks[[#This Row],[_Res2Text]],FIND("[",Tasks[[#This Row],[_Res2Text]]&amp;"[")-1))))</f>
        <v/>
      </c>
      <c r="DW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3" t="n">
        <f aca="false">IF(OR(NOT(Tasks[[#This Row],[_IsLeaf]]=1),Tasks[[#This Row],[_Res2Row]]=0),0,N(Tasks[[#This Row],[_Days]])*HoursPerDay*IF(Tasks[[#This Row],[_Res2Units]]="",DefaultUnits,Tasks[[#This Row],[_Res2Units]]))</f>
        <v>0</v>
      </c>
      <c r="DY68" s="43" t="n">
        <f aca="false">IF(AND(AND(Tasks[[#This Row],[_IsLeaf]]=1,Tasks[[#This Row],[_LeafTotalWork]]&gt;0),Tasks[[#This Row],[_Res2Work]]&gt;0),Tasks[[#This Row],[_Res2Work]]/(Tasks[[#This Row],[_FinishWorkday]]-Tasks[[#This Row],[_StartWorkday]]+1),0)</f>
        <v>0</v>
      </c>
      <c r="DZ68" s="43" t="n">
        <f aca="false">Tasks[[#This Row],[_Res2WorkPerWD]]*MAX(0,Tasks[[#This Row],[_StartWorkday]]-1)</f>
        <v>0</v>
      </c>
      <c r="EA68" s="43" t="n">
        <f aca="false">Tasks[[#This Row],[_Res2Work]]*Tasks[[#This Row],[_LeafProgress]]</f>
        <v>0</v>
      </c>
      <c r="EB68" s="43" t="str">
        <f aca="false">IF(Tasks[[#This Row],[_Res3Text]]="","",IF(Tasks[[#This Row],[_Res3Row]]&gt;0,INDEX(res_Name,Tasks[[#This Row],[_Res3Row]]),TRIM(LEFT(Tasks[[#This Row],[_Res3Text]],FIND("[",Tasks[[#This Row],[_Res3Text]]&amp;"[")-1))))</f>
        <v/>
      </c>
      <c r="EC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3" t="n">
        <f aca="false">IF(OR(NOT(Tasks[[#This Row],[_IsLeaf]]=1),Tasks[[#This Row],[_Res3Row]]=0),0,N(Tasks[[#This Row],[_Days]])*HoursPerDay*IF(Tasks[[#This Row],[_Res3Units]]="",DefaultUnits,Tasks[[#This Row],[_Res3Units]]))</f>
        <v>0</v>
      </c>
      <c r="EE68" s="43" t="n">
        <f aca="false">IF(AND(AND(Tasks[[#This Row],[_IsLeaf]]=1,Tasks[[#This Row],[_LeafTotalWork]]&gt;0),Tasks[[#This Row],[_Res3Work]]&gt;0),Tasks[[#This Row],[_Res3Work]]/(Tasks[[#This Row],[_FinishWorkday]]-Tasks[[#This Row],[_StartWorkday]]+1),0)</f>
        <v>0</v>
      </c>
      <c r="EF68" s="43" t="n">
        <f aca="false">Tasks[[#This Row],[_Res3WorkPerWD]]*MAX(0,Tasks[[#This Row],[_StartWorkday]]-1)</f>
        <v>0</v>
      </c>
      <c r="EG68" s="43" t="n">
        <f aca="false">Tasks[[#This Row],[_Res3Work]]*Tasks[[#This Row],[_LeafProgress]]</f>
        <v>0</v>
      </c>
      <c r="EH68" s="43" t="str">
        <f aca="false">IF(Tasks[[#This Row],[_Res4Text]]="","",IF(Tasks[[#This Row],[_Res4Row]]&gt;0,INDEX(res_Name,Tasks[[#This Row],[_Res4Row]]),TRIM(LEFT(Tasks[[#This Row],[_Res4Text]],FIND("[",Tasks[[#This Row],[_Res4Text]]&amp;"[")-1))))</f>
        <v/>
      </c>
      <c r="EI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3" t="n">
        <f aca="false">IF(OR(NOT(Tasks[[#This Row],[_IsLeaf]]=1),Tasks[[#This Row],[_Res4Row]]=0),0,N(Tasks[[#This Row],[_Days]])*HoursPerDay*IF(Tasks[[#This Row],[_Res4Units]]="",DefaultUnits,Tasks[[#This Row],[_Res4Units]]))</f>
        <v>0</v>
      </c>
      <c r="EK68" s="43" t="n">
        <f aca="false">IF(AND(AND(Tasks[[#This Row],[_IsLeaf]]=1,Tasks[[#This Row],[_LeafTotalWork]]&gt;0),Tasks[[#This Row],[_Res4Work]]&gt;0),Tasks[[#This Row],[_Res4Work]]/(Tasks[[#This Row],[_FinishWorkday]]-Tasks[[#This Row],[_StartWorkday]]+1),0)</f>
        <v>0</v>
      </c>
      <c r="EL68" s="43" t="n">
        <f aca="false">Tasks[[#This Row],[_Res4WorkPerWD]]*MAX(0,Tasks[[#This Row],[_StartWorkday]]-1)</f>
        <v>0</v>
      </c>
      <c r="EM68" s="43" t="n">
        <f aca="false">Tasks[[#This Row],[_Res4Work]]*Tasks[[#This Row],[_LeafProgress]]</f>
        <v>0</v>
      </c>
      <c r="EN68" s="43" t="n">
        <f aca="false">IF(ISNUMBER(Tasks[[#This Row],[% Complete]]),Tasks[[#This Row],[% Complete]],IF(Tasks[[#This Row],[Stage]]="",0,IFERROR(INDEX(stg_Pct,MATCH(Tasks[[#This Row],[Stage]],stg_Name,0)),0)))</f>
        <v>0</v>
      </c>
      <c r="EO68" s="43" t="n">
        <f aca="false">IF(NOT(Tasks[[#This Row],[_IsLeaf]]=1),0,IF(N(Tasks[[#This Row],[Actual Finish]])&gt;0,1,MIN(1,Tasks[[#This Row],[_Pct]])))</f>
        <v>0</v>
      </c>
      <c r="EP68" s="43" t="n">
        <f aca="false">IF(OR(NOT(Tasks[[#This Row],[_IsLeaf]]=1),Tasks[[#This Row],[_Res1Row]]=0),0,N(Tasks[[#This Row],[_Days]])*HoursPerDay*IF(Tasks[[#This Row],[_Units1]]="",DefaultUnits,Tasks[[#This Row],[_Units1]]))</f>
        <v>0</v>
      </c>
      <c r="EQ68" s="43" t="n">
        <f aca="false">Tasks[[#This Row],[_LeafWork]]+Tasks[[#This Row],[_Res2Work]]+Tasks[[#This Row],[_Res3Work]]+Tasks[[#This Row],[_Res4Work]]</f>
        <v>0</v>
      </c>
      <c r="ER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3" t="n">
        <f aca="false">IF(NOT(Tasks[[#This Row],[_IsLeaf]]=1),0,MAX(_xlfn.MAXIFS(Tasks[_Row],Tasks[_Pred1UID],Tasks[[#This Row],[UID]]),_xlfn.MAXIFS(Tasks[_Row],Tasks[_Pred2UID],Tasks[[#This Row],[UID]]),_xlfn.MAXIFS(Tasks[_Row],Tasks[_Pred3UID],Tasks[[#This Row],[UID]]),_xlfn.MAXIFS(Tasks[_Row],Tasks[_Pred4UID],Tasks[[#This Row],[UID]])))</f>
        <v>0</v>
      </c>
      <c r="FA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91" t="str">
        <f aca="false">IF(NOT(Tasks[[#This Row],[_IsLeaf]]=1),"",IF(N(Tasks[[#This Row],[_Days]])&lt;=0,Tasks[[#This Row],[_LeafLateFinish]],WORKDAY.INTL(Tasks[[#This Row],[_LeafLateFinish]],-(Tasks[[#This Row],[_Days]]-1),WorkWeek,Holidays)))</f>
        <v/>
      </c>
      <c r="FD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8" s="90" t="b">
        <f aca="false">AND(Tasks[[#This Row],[_IsLeaf]]=1,Tasks[[#This Row],[_LeafProgress]]&lt;1,N(Tasks[[#This Row],[_LeafTotalSlack]])&lt;=CriticalSlackDays)</f>
        <v>0</v>
      </c>
      <c r="FF68" s="43" t="n">
        <f aca="false">IF(AND(Tasks[[#This Row],[_IsLeaf]]=1,Tasks[[#This Row],[_ConstraintCode]]=1,Tasks[[#This Row],[Mode]]&lt;&gt;"Manual",N(Tasks[[#This Row],[Actual Start]])=0),MAX(0,N(Tasks[[#This Row],[Free Slack]])),0)</f>
        <v>0</v>
      </c>
      <c r="FG68" s="91" t="str">
        <f aca="false">IF(NOT(Tasks[[#This Row],[_IsLeaf]]=1),"",IF(Tasks[[#This Row],[_AlapShift]]=0,Tasks[[#This Row],[_LeafCalcStart]],WORKDAY.INTL(Tasks[[#This Row],[_LeafCalcStart]],Tasks[[#This Row],[_AlapShift]],WorkWeek,Holidays)))</f>
        <v/>
      </c>
      <c r="FH68" s="91" t="str">
        <f aca="false">IF(NOT(Tasks[[#This Row],[_IsLeaf]]=1),"",IF(Tasks[[#This Row],[_AlapShift]]=0,Tasks[[#This Row],[_LeafCalcFinish]],WORKDAY.INTL(Tasks[[#This Row],[_LeafCalcFinish]],Tasks[[#This Row],[_AlapShift]],WorkWeek,Holidays)))</f>
        <v/>
      </c>
      <c r="FI68" s="91" t="str">
        <f aca="false">IF(NOT(Tasks[[#This Row],[_IsLeaf]]=1),"",IF(Tasks[[#This Row],[_AlapShift]]=0,Tasks[[#This Row],[_LeafFcstStart]],WORKDAY.INTL(Tasks[[#This Row],[_LeafFcstStart]],Tasks[[#This Row],[_AlapShift]],WorkWeek,Holidays)))</f>
        <v/>
      </c>
      <c r="FJ68" s="91" t="str">
        <f aca="false">IF(NOT(Tasks[[#This Row],[_IsLeaf]]=1),"",IF(Tasks[[#This Row],[_AlapShift]]=0,Tasks[[#This Row],[_LeafFcstFinish]],WORKDAY.INTL(Tasks[[#This Row],[_LeafFcstFinish]],Tasks[[#This Row],[_AlapShift]],WorkWeek,Holidays)))</f>
        <v/>
      </c>
      <c r="FK68" s="91" t="str">
        <f aca="false">IF(Tasks[[#This Row],[Task Name]]="","",IF(Tasks[[#This Row],[_IsSummary]],MIN(INDEX(Tasks[_ShownCalcStart],Tasks[[#This Row],[_Row]]+1):INDEX(Tasks[_ShownCalcStart],Tasks[[#This Row],[_Row]]+Tasks[[#This Row],[_Descendants]])),Tasks[[#This Row],[_ShownCalcStart]]))</f>
        <v/>
      </c>
      <c r="FL68" s="91" t="str">
        <f aca="false">IF(Tasks[[#This Row],[Task Name]]="","",IF(Tasks[[#This Row],[_IsSummary]],MAX(INDEX(Tasks[_ShownCalcFinish],Tasks[[#This Row],[_Row]]+1):INDEX(Tasks[_ShownCalcFinish],Tasks[[#This Row],[_Row]]+Tasks[[#This Row],[_Descendants]])),Tasks[[#This Row],[_ShownCalcFinish]]))</f>
        <v/>
      </c>
      <c r="FM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8" s="43" t="n">
        <f aca="false">IF(AND(Tasks[[#This Row],[_IsLeaf]]=1,Tasks[[#This Row],[_LeafTotalWork]]&gt;0),NETWORKDAYS.INTL(ProjectStart,Tasks[[#This Row],[_ShownFcstStart]],WorkWeek,Holidays),0)</f>
        <v>0</v>
      </c>
      <c r="FZ68" s="43" t="n">
        <f aca="false">IF(AND(Tasks[[#This Row],[_IsLeaf]]=1,Tasks[[#This Row],[_LeafTotalWork]]&gt;0),MAX(Tasks[[#This Row],[_StartWorkday]],NETWORKDAYS.INTL(ProjectStart,Tasks[[#This Row],[_ShownFcstFinish]],WorkWeek,Holidays)),0)</f>
        <v>0</v>
      </c>
      <c r="GA68" s="43" t="n">
        <f aca="false">IF(AND(Tasks[[#This Row],[_IsLeaf]]=1,Tasks[[#This Row],[_LeafTotalWork]]&gt;0),Tasks[[#This Row],[_LeafWork]]/(Tasks[[#This Row],[_FinishWorkday]]-Tasks[[#This Row],[_StartWorkday]]+1),0)</f>
        <v>0</v>
      </c>
      <c r="GB68" s="43" t="n">
        <f aca="false">Tasks[[#This Row],[_WorkPerWorkday]]*(Tasks[[#This Row],[_StartWorkday]]-1)</f>
        <v>-0</v>
      </c>
      <c r="GC68" s="43" t="n">
        <f aca="false">IF(Tasks[[#This Row],[_IsLeaf]]=1,MAX(N(Tasks[[#This Row],[_Days]]),0.1),0)</f>
        <v>0</v>
      </c>
      <c r="GD68" s="43" t="n">
        <f aca="false">Tasks[[#This Row],[_WeightDur]]*Tasks[[#This Row],[_LeafProgress]]</f>
        <v>0</v>
      </c>
      <c r="GE68" s="43" t="n">
        <f aca="false">Tasks[[#This Row],[_WeightDur]]*Tasks[[#This Row],[_PlannedPct]]</f>
        <v>0</v>
      </c>
      <c r="GF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3" t="str">
        <f aca="false">IF(AND(Tasks[[#This Row],[_IsLeaf]]=1,N(Tasks[[#This Row],[_Days]])=0,Tasks[[#This Row],[_LeafProgress]]&lt;1),Tasks[[#This Row],[_ShownFcstFinish]]+Tasks[[#This Row],[_Row]]/100000,"")</f>
        <v/>
      </c>
      <c r="GH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8" s="43" t="str">
        <f aca="false">IF(Tasks[[#This Row],[Task Name]]="","",LEFT(Tasks[[#This Row],[WBS]],FIND(".",Tasks[[#This Row],[WBS]]&amp;".")-1))</f>
        <v/>
      </c>
      <c r="GJ68" s="43" t="str">
        <f aca="false">IF(AND(Tasks[[#This Row],[Task Name]]&lt;&gt;"",Tasks[[#This Row],[_Level]]=1),Tasks[[#This Row],[_Row]],"")</f>
        <v/>
      </c>
      <c r="GK68" s="43" t="str">
        <f aca="false">IF(AND(Tasks[[#This Row],[_IsLeaf]]=1,N(Tasks[[#This Row],[_Days]])=0),Tasks[[#This Row],[Planned Finish]]+Tasks[[#This Row],[_Row]]/100000,"")</f>
        <v/>
      </c>
      <c r="GL68" s="43" t="str">
        <f aca="false">IF(AND(Tasks[[#This Row],[_IsLeaf]]=1,Tasks[[#This Row],[_LeafProgress]]&lt;1,OR(N(Tasks[[#This Row],[Finish Var]])&gt;0,Tasks[[#This Row],[Status]]="Late Start")),MAX(0,Tasks[[#This Row],[Finish Var]])+1-Tasks[[#This Row],[_Row]]/1000000,"")</f>
        <v/>
      </c>
      <c r="GM68" s="43" t="str">
        <f aca="false">IF(AND(Tasks[[#This Row],[_IsLeaf]]=1,N(Tasks[[#This Row],[Actual Start]])=0,Tasks[[#This Row],[_ShownFcstStart]]&gt;=StatusDate,Tasks[[#This Row],[_ShownFcstStart]]&lt;=LookaheadEnd),Tasks[[#This Row],[_ShownFcstStart]]+Tasks[[#This Row],[_Row]]/100000,"")</f>
        <v/>
      </c>
      <c r="GN68" s="43" t="str">
        <f aca="false">IF(AND(Tasks[[#This Row],[_IsLeaf]]=1,Tasks[[#This Row],[_LeafProgress]]&lt;1,Tasks[[#This Row],[_ShownFcstFinish]]&gt;=StatusDate,Tasks[[#This Row],[_ShownFcstFinish]]&lt;=LookaheadEnd),Tasks[[#This Row],[_ShownFcstFinish]]+Tasks[[#This Row],[_Row]]/100000,"")</f>
        <v/>
      </c>
      <c r="GO68" s="43" t="str">
        <f aca="false">IF(Tasks[[#This Row],[_LeafCritical]],Tasks[[#This Row],[_ShownFcstStart]]+Tasks[[#This Row],[_Row]]/100000,"")</f>
        <v/>
      </c>
      <c r="GP68" s="43" t="n">
        <f aca="false">Tasks[[#This Row],[_LeafWork]]*Tasks[[#This Row],[_LeafProgress]]</f>
        <v>0</v>
      </c>
      <c r="GQ68" s="91" t="str">
        <f aca="false">IF(AND(Tasks[[#This Row],[_IsLeaf]]=1,Tasks[[#This Row],[_LeafProgress]]&gt;=1),IF(N(Tasks[[#This Row],[Actual Finish]])&gt;0,Tasks[[#This Row],[Actual Finish]],Tasks[[#This Row],[_ShownFcstFinish]]),"")</f>
        <v/>
      </c>
      <c r="GR68" s="43" t="n">
        <f aca="false">IF(Tasks[[#This Row],[_IsLeaf]]=1,N(Tasks[[#This Row],[Story Points]]),0)</f>
        <v>0</v>
      </c>
      <c r="GS68" s="43" t="str">
        <f aca="false">""</f>
        <v/>
      </c>
      <c r="GT68" s="90" t="b">
        <f aca="false">IF(Tasks[[#This Row],[Task Name]]="",FALSE(),AND(Tasks[[#This Row],[_IsLeaf]]=1,N(Tasks[[#This Row],[_Days]])=0))</f>
        <v>0</v>
      </c>
      <c r="GU68" s="91" t="n">
        <f aca="false">IF(Tasks[[#This Row],[Task Name]]="",0,IF(AND(Tasks[[#This Row],[_IsLeaf]]=1,NOT(Tasks[[#This Row],[_IsMilestone]]),N(Tasks[[#This Row],[Progress]])&gt;0),Tasks[[#This Row],[Start]],0))</f>
        <v>0</v>
      </c>
      <c r="GV68" s="91" t="n">
        <f aca="false">IF(Tasks[[#This Row],[_DoneFrom]]=0,0,IF(Tasks[[#This Row],[Progress]]&gt;=1,Tasks[[#This Row],[Finish]],MAX(Tasks[[#This Row],[_DoneFrom]],Tasks[[#This Row],[Start]]+ROUND((Tasks[[#This Row],[Finish]]-Tasks[[#This Row],[Start]]+1)*Tasks[[#This Row],[Progress]],0)-1)))</f>
        <v>0</v>
      </c>
      <c r="GW68" s="91" t="n">
        <f aca="false">IF(Tasks[[#This Row],[Task Name]]="",0,IF(OR(NOT(Tasks[[#This Row],[_IsLeaf]]=1),Tasks[[#This Row],[_IsMilestone]],N(Tasks[[#This Row],[Progress]])&gt;=1),0,IF(Tasks[[#This Row],[_DoneTo]]&gt;0,Tasks[[#This Row],[_DoneTo]]+1,Tasks[[#This Row],[Start]])))</f>
        <v>0</v>
      </c>
      <c r="GX68" s="91" t="n">
        <f aca="false">IF(Tasks[[#This Row],[_RemFrom]]=0,0,Tasks[[#This Row],[Finish]])</f>
        <v>0</v>
      </c>
      <c r="GY68" s="90" t="b">
        <f aca="false">IF(Tasks[[#This Row],[Task Name]]="",FALSE(),OR(NOT(BaselineSet),N(Tasks[[#This Row],[Baseline Start]])&gt;0))</f>
        <v>0</v>
      </c>
      <c r="GZ6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92" t="str">
        <f aca="false">IF(Tasks[[#This Row],[_IsLeaf]]=1,Tasks[[#This Row],[_Row]],"")</f>
        <v/>
      </c>
      <c r="HD68" s="92" t="str">
        <f aca="false">IFERROR(INDEX(Tasks[UID],SMALL(Tasks[_PickKey],Tasks[[#This Row],[_Row]]))&amp;" "&amp;INDEX(Tasks[Task Name],SMALL(Tasks[_PickKey],Tasks[[#This Row],[_Row]])),"")</f>
        <v/>
      </c>
      <c r="HE68" s="43" t="str">
        <f aca="false">IF(Tasks[[#This Row],[Task Name]]="","",IF(Tasks[[#This Row],[_IsSummary]],NETWORKDAYS.INTL(Tasks[[#This Row],[Start]],Tasks[[#This Row],[Finish]],WorkWeek,Holidays),N(Tasks[[#This Row],[_Days]])))</f>
        <v/>
      </c>
      <c r="HF68" s="43" t="n">
        <f aca="false">IF(Tasks[[#This Row],[Expected]]="",0,((Tasks[[#This Row],[Pessimistic]]-Tasks[[#This Row],[Optimistic]])/6)^2)</f>
        <v>0</v>
      </c>
      <c r="HG68" s="43" t="n">
        <f aca="false">IF(Tasks[[#This Row],[Expected]]="",0,Tasks[[#This Row],[Expected]]-N(Tasks[[#This Row],[_Days]]))</f>
        <v>0</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4"/>
      <c r="U69" s="23"/>
      <c r="V69" s="84"/>
      <c r="W69" s="23"/>
      <c r="X69" s="84"/>
      <c r="Y69" s="23"/>
      <c r="Z69" s="84"/>
      <c r="AA69" s="23"/>
      <c r="AB69" s="23"/>
      <c r="AC69" s="7"/>
      <c r="AD69" s="7"/>
      <c r="AE69" s="63" t="str">
        <f aca="false">IF(Tasks[[#This Row],[Task Name]]="","",IF(Tasks[[#This Row],[_IsSummary]],MIN(INDEX(Tasks[_ShownFcstStart],Tasks[[#This Row],[_Row]]+1):INDEX(Tasks[_ShownFcstStart],Tasks[[#This Row],[_Row]]+Tasks[[#This Row],[_Descendants]])),Tasks[[#This Row],[_ShownFcstStart]]))</f>
        <v/>
      </c>
      <c r="AF69" s="63"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9" s="7"/>
      <c r="AK69" s="22"/>
      <c r="AL69" s="23"/>
      <c r="AM69" s="7"/>
      <c r="AN69" s="47"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3" t="str">
        <f aca="false">IF(Tasks[[#This Row],[Task Name]]="","",IF(N(Tasks[[#This Row],[Baseline Start]])&gt;0,Tasks[[#This Row],[Baseline Start]],Tasks[[#This Row],[_CalcStart]]))</f>
        <v/>
      </c>
      <c r="AR69" s="63" t="str">
        <f aca="false">IF(Tasks[[#This Row],[Task Name]]="","",IF(N(Tasks[[#This Row],[Baseline Finish]])&gt;0,Tasks[[#This Row],[Baseline Finish]],Tasks[[#This Row],[_CalcFinish]]))</f>
        <v/>
      </c>
      <c r="AS69" s="47" t="str">
        <f aca="false">IF(Tasks[[#This Row],[Task Name]]="","",IF(Tasks[[#This Row],[Start]]&gt;=Tasks[[#This Row],[Planned Start]],NETWORKDAYS.INTL(Tasks[[#This Row],[Planned Start]],Tasks[[#This Row],[Start]],WorkWeek,Holidays)-1,1-NETWORKDAYS.INTL(Tasks[[#This Row],[Start]],Tasks[[#This Row],[Planned Start]],WorkWeek,Holidays)))</f>
        <v/>
      </c>
      <c r="AT69" s="63" t="str">
        <f aca="false">IF(Tasks[[#This Row],[Task Name]]="","",IF(Tasks[[#This Row],[_IsSummary]],MIN(INDEX(Tasks[_LeafLateStart],Tasks[[#This Row],[_Row]]+1):INDEX(Tasks[_LeafLateStart],Tasks[[#This Row],[_Row]]+Tasks[[#This Row],[_Descendants]])),Tasks[[#This Row],[_LeafLateStart]]))</f>
        <v/>
      </c>
      <c r="AU69" s="63" t="str">
        <f aca="false">IF(Tasks[[#This Row],[Task Name]]="","",IF(Tasks[[#This Row],[_IsSummary]],MAX(INDEX(Tasks[_LeafLateFinish],Tasks[[#This Row],[_Row]]+1):INDEX(Tasks[_LeafLateFinish],Tasks[[#This Row],[_Row]]+Tasks[[#This Row],[_Descendants]])),Tasks[[#This Row],[_LeafLateFinish]]))</f>
        <v/>
      </c>
      <c r="AV69" s="47"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5"/>
      <c r="BA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6"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7"/>
      <c r="BJ69" s="22"/>
      <c r="BK69" s="47" t="str">
        <f aca="false">IF(OR(Tasks[[#This Row],[Task Name]]="",Tasks[[#This Row],[Baseline Duration]]=""),"",Tasks[[#This Row],[_SpanDays]]-N(Tasks[[#This Row],[Baseline Duration]]))</f>
        <v/>
      </c>
      <c r="BL69" s="86" t="str">
        <f aca="false">IF(OR(Tasks[[#This Row],[Task Name]]="",Tasks[[#This Row],[Baseline Work]]=""),"",Tasks[[#This Row],[Work]]-N(Tasks[[#This Row],[Baseline Work]]))</f>
        <v/>
      </c>
      <c r="BM69" s="63" t="str">
        <f aca="false">IF(Tasks[[#This Row],[Task Name]]="","",IF(OR(TakeBaseline="Yes",N(Tasks[[#This Row],[Baseline Start]])=0),Tasks[[#This Row],[Start]],Tasks[[#This Row],[Baseline Start]]))</f>
        <v/>
      </c>
      <c r="BN69" s="63" t="str">
        <f aca="false">IF(Tasks[[#This Row],[Task Name]]="","",IF(OR(TakeBaseline="Yes",N(Tasks[[#This Row],[Baseline Finish]])=0),Tasks[[#This Row],[Finish]],Tasks[[#This Row],[Baseline Finish]]))</f>
        <v/>
      </c>
      <c r="BO69" s="21" t="str">
        <f aca="false">IF(Tasks[[#This Row],[Task Name]]="","",IF(OR(TakeBaseline="Yes",N(Tasks[[#This Row],[Baseline Duration]])=0),Tasks[[#This Row],[_SpanDays]],Tasks[[#This Row],[Baseline Duration]]))</f>
        <v/>
      </c>
      <c r="BP69" s="86" t="str">
        <f aca="false">IF(Tasks[[#This Row],[Task Name]]="","",IF(OR(TakeBaseline="Yes",N(Tasks[[#This Row],[Baseline Work]])=0),Tasks[[#This Row],[Work]],Tasks[[#This Row],[Baseline Work]]))</f>
        <v/>
      </c>
      <c r="BQ69" s="7"/>
      <c r="BR69" s="7"/>
      <c r="BS69" s="22"/>
      <c r="BT69" s="88"/>
      <c r="BU69" s="23"/>
      <c r="BV69" s="23"/>
      <c r="BW69" s="23"/>
      <c r="BX69" s="89" t="str">
        <f aca="false">IF(AND(Tasks[[#This Row],[_IsLeaf]]=1,ISNUMBER(Tasks[[#This Row],[Optimistic]]),ISNUMBER(Tasks[[#This Row],[Pessimistic]])),ROUND((Tasks[[#This Row],[Optimistic]]+4*N(Tasks[[#This Row],[_Days]])+Tasks[[#This Row],[Pessimistic]])/6,1),"")</f>
        <v/>
      </c>
      <c r="BY69" s="87"/>
      <c r="BZ69" s="87"/>
      <c r="CA69" s="22"/>
      <c r="CB69" s="43" t="str">
        <f aca="false">IF(Tasks[[#This Row],[Task Name]]="","",MAX(1,N(Tasks[[#This Row],[Level]])))</f>
        <v/>
      </c>
      <c r="CC69" s="43" t="n">
        <f aca="false">ROW()-ROW(Tasks[[#Headers],[ID]])</f>
        <v>64</v>
      </c>
      <c r="CD69" s="43" t="n">
        <f aca="false">IF(OR(Tasks[[#This Row],[Task Name]]="",Tasks[[#This Row],[_Level]]&lt;=1),0,IFERROR(LOOKUP(2,1/(Tasks[[#Headers],[_Level]]:Tasks[[#This Row],[_Level]]=Tasks[[#This Row],[_Level]]-1),ROW(Tasks[[#Headers],[_Level]]:Tasks[[#This Row],[_Level]])),0))</f>
        <v>0</v>
      </c>
      <c r="CE69" s="43" t="n">
        <f aca="false">IFERROR(N(INDEX(Tasks[_Level],Tasks[[#This Row],[_Row]]+1)),0)</f>
        <v>0</v>
      </c>
      <c r="CF69" s="90" t="b">
        <f aca="false">AND(Tasks[[#This Row],[Task Name]]&lt;&gt;"",Tasks[[#This Row],[_NextLevel]]&gt;Tasks[[#This Row],[_Level]])</f>
        <v>0</v>
      </c>
      <c r="CG69" s="43" t="n">
        <f aca="false">IF(Tasks[[#This Row],[_IsSummary]],COUNTIF(Tasks[WBS],Tasks[[#This Row],[WBS]]&amp;".*"),0)</f>
        <v>0</v>
      </c>
      <c r="CH69" s="43" t="n">
        <f aca="false">IF(AND(Tasks[[#This Row],[Task Name]]&lt;&gt;"",NOT(Tasks[[#This Row],[_IsSummary]])),1,0)</f>
        <v>0</v>
      </c>
      <c r="CI69" s="43" t="n">
        <f aca="false">IF(N(Tasks[[#This Row],[_Pred1UID]])=0,0,IFERROR(MATCH(Tasks[[#This Row],[_Pred1UID]],Tasks[UID],0),-1))</f>
        <v>0</v>
      </c>
      <c r="CJ69" s="43" t="n">
        <f aca="false">IF(N(Tasks[[#This Row],[_Pred2UID]])=0,0,IFERROR(MATCH(Tasks[[#This Row],[_Pred2UID]],Tasks[UID],0),-1))</f>
        <v>0</v>
      </c>
      <c r="CK69" s="43" t="n">
        <f aca="false">IF(N(Tasks[[#This Row],[_Pred3UID]])=0,0,IFERROR(MATCH(Tasks[[#This Row],[_Pred3UID]],Tasks[UID],0),-1))</f>
        <v>0</v>
      </c>
      <c r="CL69" s="43" t="n">
        <f aca="false">IF(N(Tasks[[#This Row],[_Pred4UID]])=0,0,IFERROR(MATCH(Tasks[[#This Row],[_Pred4UID]],Tasks[UID],0),-1))</f>
        <v>0</v>
      </c>
      <c r="CM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9" s="91" t="n">
        <f aca="false">IF(OR(Tasks[[#This Row],[_ConstraintCode]]=2,Tasks[[#This Row],[_ConstraintCode]]=3,Tasks[[#This Row],[_ConstraintCode]]=4,Tasks[[#This Row],[_ConstraintCode]]=6),Tasks[[#This Row],[_ConstraintStart]],0)</f>
        <v>0</v>
      </c>
      <c r="CP69" s="91" t="n">
        <f aca="false">IF(OR(Tasks[[#This Row],[_ConstraintCode]]=2,Tasks[[#This Row],[_ConstraintCode]]=3,Tasks[[#This Row],[_ConstraintCode]]=5,Tasks[[#This Row],[_ConstraintCode]]=7),Tasks[[#This Row],[_ConstraintStart]],2958465)</f>
        <v>2958465</v>
      </c>
      <c r="CQ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91" t="str">
        <f aca="false">IF(NOT(Tasks[[#This Row],[_IsLeaf]]=1),"",IF(N(Tasks[[#This Row],[_Days]])&lt;=0,Tasks[[#This Row],[_LeafCalcStart]],WORKDAY.INTL(Tasks[[#This Row],[_LeafCalcStart]],Tasks[[#This Row],[_Days]]-1,WorkWeek,Holidays)))</f>
        <v/>
      </c>
      <c r="CS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3" t="str">
        <f aca="false">IF(Tasks[[#This Row],[_Predecessors]]="","",TRIM(MID(SUBSTITUTE(SUBSTITUTE(SUBSTITUTE(UPPER(Tasks[[#This Row],[_Predecessors]]),";",",")," ",""),",",REPT(" ",99)),1,99)))</f>
        <v/>
      </c>
      <c r="CV69" s="43" t="str">
        <f aca="false">IF(Tasks[[#This Row],[_Pred1Text]]="","",IFERROR(VALUE(LEFT(Tasks[[#This Row],[_Pred1Text]],MIN(FIND("F",Tasks[[#This Row],[_Pred1Text]]&amp;"F"),FIND("S",Tasks[[#This Row],[_Pred1Text]]&amp;"S"),FIND("+",Tasks[[#This Row],[_Pred1Text]]&amp;"+"),FIND("-",Tasks[[#This Row],[_Pred1Text]]&amp;"-"))-1)),""))</f>
        <v/>
      </c>
      <c r="CW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3" t="str">
        <f aca="false">IF(Tasks[[#This Row],[_Pred1Text]]="","",TRIM(MID(SUBSTITUTE(SUBSTITUTE(SUBSTITUTE(UPPER(Tasks[[#This Row],[_Predecessors]]),";",",")," ",""),",",REPT(" ",99)),100,99)))</f>
        <v/>
      </c>
      <c r="CZ69" s="43" t="str">
        <f aca="false">IF(Tasks[[#This Row],[_Pred2Text]]="","",IFERROR(VALUE(LEFT(Tasks[[#This Row],[_Pred2Text]],MIN(FIND("F",Tasks[[#This Row],[_Pred2Text]]&amp;"F"),FIND("S",Tasks[[#This Row],[_Pred2Text]]&amp;"S"),FIND("+",Tasks[[#This Row],[_Pred2Text]]&amp;"+"),FIND("-",Tasks[[#This Row],[_Pred2Text]]&amp;"-"))-1)),""))</f>
        <v/>
      </c>
      <c r="DA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3" t="str">
        <f aca="false">IF(Tasks[[#This Row],[_Pred2Text]]="","",TRIM(MID(SUBSTITUTE(SUBSTITUTE(SUBSTITUTE(UPPER(Tasks[[#This Row],[_Predecessors]]),";",",")," ",""),",",REPT(" ",99)),199,99)))</f>
        <v/>
      </c>
      <c r="DD69" s="43" t="str">
        <f aca="false">IF(Tasks[[#This Row],[_Pred3Text]]="","",IFERROR(VALUE(LEFT(Tasks[[#This Row],[_Pred3Text]],MIN(FIND("F",Tasks[[#This Row],[_Pred3Text]]&amp;"F"),FIND("S",Tasks[[#This Row],[_Pred3Text]]&amp;"S"),FIND("+",Tasks[[#This Row],[_Pred3Text]]&amp;"+"),FIND("-",Tasks[[#This Row],[_Pred3Text]]&amp;"-"))-1)),""))</f>
        <v/>
      </c>
      <c r="DE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3" t="str">
        <f aca="false">IF(Tasks[[#This Row],[_Pred3Text]]="","",TRIM(MID(SUBSTITUTE(SUBSTITUTE(SUBSTITUTE(UPPER(Tasks[[#This Row],[_Predecessors]]),";",",")," ",""),",",REPT(" ",99)),298,99)))</f>
        <v/>
      </c>
      <c r="DH69" s="43" t="str">
        <f aca="false">IF(Tasks[[#This Row],[_Pred4Text]]="","",IFERROR(VALUE(LEFT(Tasks[[#This Row],[_Pred4Text]],MIN(FIND("F",Tasks[[#This Row],[_Pred4Text]]&amp;"F"),FIND("S",Tasks[[#This Row],[_Pred4Text]]&amp;"S"),FIND("+",Tasks[[#This Row],[_Pred4Text]]&amp;"+"),FIND("-",Tasks[[#This Row],[_Pred4Text]]&amp;"-"))-1)),""))</f>
        <v/>
      </c>
      <c r="DI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3" t="str">
        <f aca="false">IF(OR(Tasks[[#This Row],[Task Name]]="",Tasks[[#This Row],[_Resources]]=""),"",TRIM(MID(SUBSTITUTE(Tasks[[#This Row],[_Resources]],",",REPT(" ",99)),1,99)))</f>
        <v/>
      </c>
      <c r="DL69" s="43" t="str">
        <f aca="false">IF(Tasks[[#This Row],[_Res1Text]]="","",TRIM(MID(SUBSTITUTE(Tasks[[#This Row],[_Resources]],",",REPT(" ",99)),100,99)))</f>
        <v/>
      </c>
      <c r="DM69" s="43" t="str">
        <f aca="false">IF(Tasks[[#This Row],[_Res2Text]]="","",TRIM(MID(SUBSTITUTE(Tasks[[#This Row],[_Resources]],",",REPT(" ",99)),199,99)))</f>
        <v/>
      </c>
      <c r="DN69" s="43" t="str">
        <f aca="false">IF(Tasks[[#This Row],[_Res3Text]]="","",TRIM(MID(SUBSTITUTE(Tasks[[#This Row],[_Resources]],",",REPT(" ",99)),298,99)))</f>
        <v/>
      </c>
      <c r="DO69" s="43" t="n">
        <f aca="false">IF(Tasks[[#This Row],[_Res1Text]]="",0,IFERROR(MATCH(TRIM(LEFT(Tasks[[#This Row],[_Res1Text]],FIND("[",Tasks[[#This Row],[_Res1Text]]&amp;"[")-1)),res_Name,0),IFERROR(MATCH(TRIM(LEFT(Tasks[[#This Row],[_Res1Text]],FIND("[",Tasks[[#This Row],[_Res1Text]]&amp;"[")-1)),res_Initials,0),0)))</f>
        <v>0</v>
      </c>
      <c r="DP69" s="43" t="n">
        <f aca="false">IF(Tasks[[#This Row],[_Res2Text]]="",0,IFERROR(MATCH(TRIM(LEFT(Tasks[[#This Row],[_Res2Text]],FIND("[",Tasks[[#This Row],[_Res2Text]]&amp;"[")-1)),res_Name,0),IFERROR(MATCH(TRIM(LEFT(Tasks[[#This Row],[_Res2Text]],FIND("[",Tasks[[#This Row],[_Res2Text]]&amp;"[")-1)),res_Initials,0),0)))</f>
        <v>0</v>
      </c>
      <c r="DQ69" s="43" t="n">
        <f aca="false">IF(Tasks[[#This Row],[_Res3Text]]="",0,IFERROR(MATCH(TRIM(LEFT(Tasks[[#This Row],[_Res3Text]],FIND("[",Tasks[[#This Row],[_Res3Text]]&amp;"[")-1)),res_Name,0),IFERROR(MATCH(TRIM(LEFT(Tasks[[#This Row],[_Res3Text]],FIND("[",Tasks[[#This Row],[_Res3Text]]&amp;"[")-1)),res_Initials,0),0)))</f>
        <v>0</v>
      </c>
      <c r="DR69" s="43" t="n">
        <f aca="false">IF(Tasks[[#This Row],[_Res4Text]]="",0,IFERROR(MATCH(TRIM(LEFT(Tasks[[#This Row],[_Res4Text]],FIND("[",Tasks[[#This Row],[_Res4Text]]&amp;"[")-1)),res_Name,0),IFERROR(MATCH(TRIM(LEFT(Tasks[[#This Row],[_Res4Text]],FIND("[",Tasks[[#This Row],[_Res4Text]]&amp;"[")-1)),res_Initials,0),0)))</f>
        <v>0</v>
      </c>
      <c r="DS69" s="43" t="str">
        <f aca="false">IF(Tasks[[#This Row],[_Res1Text]]="","",IF(Tasks[[#This Row],[_Res1Row]]&gt;0,INDEX(res_Name,Tasks[[#This Row],[_Res1Row]]),TRIM(LEFT(Tasks[[#This Row],[_Res1Text]],FIND("[",Tasks[[#This Row],[_Res1Text]]&amp;"[")-1))))</f>
        <v/>
      </c>
      <c r="DT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3" t="n">
        <f aca="false">IF(NOT(Tasks[[#This Row],[_IsLeaf]]=1),0,(Tasks[[#This Row],[_Resource1]]&lt;&gt;"")+(Tasks[[#This Row],[_Res2]]&lt;&gt;"")+(Tasks[[#This Row],[_Res3]]&lt;&gt;"")+(Tasks[[#This Row],[_Res4]]&lt;&gt;""))</f>
        <v>0</v>
      </c>
      <c r="DV69" s="43" t="str">
        <f aca="false">IF(Tasks[[#This Row],[_Res2Text]]="","",IF(Tasks[[#This Row],[_Res2Row]]&gt;0,INDEX(res_Name,Tasks[[#This Row],[_Res2Row]]),TRIM(LEFT(Tasks[[#This Row],[_Res2Text]],FIND("[",Tasks[[#This Row],[_Res2Text]]&amp;"[")-1))))</f>
        <v/>
      </c>
      <c r="DW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3" t="n">
        <f aca="false">IF(OR(NOT(Tasks[[#This Row],[_IsLeaf]]=1),Tasks[[#This Row],[_Res2Row]]=0),0,N(Tasks[[#This Row],[_Days]])*HoursPerDay*IF(Tasks[[#This Row],[_Res2Units]]="",DefaultUnits,Tasks[[#This Row],[_Res2Units]]))</f>
        <v>0</v>
      </c>
      <c r="DY69" s="43" t="n">
        <f aca="false">IF(AND(AND(Tasks[[#This Row],[_IsLeaf]]=1,Tasks[[#This Row],[_LeafTotalWork]]&gt;0),Tasks[[#This Row],[_Res2Work]]&gt;0),Tasks[[#This Row],[_Res2Work]]/(Tasks[[#This Row],[_FinishWorkday]]-Tasks[[#This Row],[_StartWorkday]]+1),0)</f>
        <v>0</v>
      </c>
      <c r="DZ69" s="43" t="n">
        <f aca="false">Tasks[[#This Row],[_Res2WorkPerWD]]*MAX(0,Tasks[[#This Row],[_StartWorkday]]-1)</f>
        <v>0</v>
      </c>
      <c r="EA69" s="43" t="n">
        <f aca="false">Tasks[[#This Row],[_Res2Work]]*Tasks[[#This Row],[_LeafProgress]]</f>
        <v>0</v>
      </c>
      <c r="EB69" s="43" t="str">
        <f aca="false">IF(Tasks[[#This Row],[_Res3Text]]="","",IF(Tasks[[#This Row],[_Res3Row]]&gt;0,INDEX(res_Name,Tasks[[#This Row],[_Res3Row]]),TRIM(LEFT(Tasks[[#This Row],[_Res3Text]],FIND("[",Tasks[[#This Row],[_Res3Text]]&amp;"[")-1))))</f>
        <v/>
      </c>
      <c r="EC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3" t="n">
        <f aca="false">IF(OR(NOT(Tasks[[#This Row],[_IsLeaf]]=1),Tasks[[#This Row],[_Res3Row]]=0),0,N(Tasks[[#This Row],[_Days]])*HoursPerDay*IF(Tasks[[#This Row],[_Res3Units]]="",DefaultUnits,Tasks[[#This Row],[_Res3Units]]))</f>
        <v>0</v>
      </c>
      <c r="EE69" s="43" t="n">
        <f aca="false">IF(AND(AND(Tasks[[#This Row],[_IsLeaf]]=1,Tasks[[#This Row],[_LeafTotalWork]]&gt;0),Tasks[[#This Row],[_Res3Work]]&gt;0),Tasks[[#This Row],[_Res3Work]]/(Tasks[[#This Row],[_FinishWorkday]]-Tasks[[#This Row],[_StartWorkday]]+1),0)</f>
        <v>0</v>
      </c>
      <c r="EF69" s="43" t="n">
        <f aca="false">Tasks[[#This Row],[_Res3WorkPerWD]]*MAX(0,Tasks[[#This Row],[_StartWorkday]]-1)</f>
        <v>0</v>
      </c>
      <c r="EG69" s="43" t="n">
        <f aca="false">Tasks[[#This Row],[_Res3Work]]*Tasks[[#This Row],[_LeafProgress]]</f>
        <v>0</v>
      </c>
      <c r="EH69" s="43" t="str">
        <f aca="false">IF(Tasks[[#This Row],[_Res4Text]]="","",IF(Tasks[[#This Row],[_Res4Row]]&gt;0,INDEX(res_Name,Tasks[[#This Row],[_Res4Row]]),TRIM(LEFT(Tasks[[#This Row],[_Res4Text]],FIND("[",Tasks[[#This Row],[_Res4Text]]&amp;"[")-1))))</f>
        <v/>
      </c>
      <c r="EI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3" t="n">
        <f aca="false">IF(OR(NOT(Tasks[[#This Row],[_IsLeaf]]=1),Tasks[[#This Row],[_Res4Row]]=0),0,N(Tasks[[#This Row],[_Days]])*HoursPerDay*IF(Tasks[[#This Row],[_Res4Units]]="",DefaultUnits,Tasks[[#This Row],[_Res4Units]]))</f>
        <v>0</v>
      </c>
      <c r="EK69" s="43" t="n">
        <f aca="false">IF(AND(AND(Tasks[[#This Row],[_IsLeaf]]=1,Tasks[[#This Row],[_LeafTotalWork]]&gt;0),Tasks[[#This Row],[_Res4Work]]&gt;0),Tasks[[#This Row],[_Res4Work]]/(Tasks[[#This Row],[_FinishWorkday]]-Tasks[[#This Row],[_StartWorkday]]+1),0)</f>
        <v>0</v>
      </c>
      <c r="EL69" s="43" t="n">
        <f aca="false">Tasks[[#This Row],[_Res4WorkPerWD]]*MAX(0,Tasks[[#This Row],[_StartWorkday]]-1)</f>
        <v>0</v>
      </c>
      <c r="EM69" s="43" t="n">
        <f aca="false">Tasks[[#This Row],[_Res4Work]]*Tasks[[#This Row],[_LeafProgress]]</f>
        <v>0</v>
      </c>
      <c r="EN69" s="43" t="n">
        <f aca="false">IF(ISNUMBER(Tasks[[#This Row],[% Complete]]),Tasks[[#This Row],[% Complete]],IF(Tasks[[#This Row],[Stage]]="",0,IFERROR(INDEX(stg_Pct,MATCH(Tasks[[#This Row],[Stage]],stg_Name,0)),0)))</f>
        <v>0</v>
      </c>
      <c r="EO69" s="43" t="n">
        <f aca="false">IF(NOT(Tasks[[#This Row],[_IsLeaf]]=1),0,IF(N(Tasks[[#This Row],[Actual Finish]])&gt;0,1,MIN(1,Tasks[[#This Row],[_Pct]])))</f>
        <v>0</v>
      </c>
      <c r="EP69" s="43" t="n">
        <f aca="false">IF(OR(NOT(Tasks[[#This Row],[_IsLeaf]]=1),Tasks[[#This Row],[_Res1Row]]=0),0,N(Tasks[[#This Row],[_Days]])*HoursPerDay*IF(Tasks[[#This Row],[_Units1]]="",DefaultUnits,Tasks[[#This Row],[_Units1]]))</f>
        <v>0</v>
      </c>
      <c r="EQ69" s="43" t="n">
        <f aca="false">Tasks[[#This Row],[_LeafWork]]+Tasks[[#This Row],[_Res2Work]]+Tasks[[#This Row],[_Res3Work]]+Tasks[[#This Row],[_Res4Work]]</f>
        <v>0</v>
      </c>
      <c r="ER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3" t="n">
        <f aca="false">IF(NOT(Tasks[[#This Row],[_IsLeaf]]=1),0,MAX(_xlfn.MAXIFS(Tasks[_Row],Tasks[_Pred1UID],Tasks[[#This Row],[UID]]),_xlfn.MAXIFS(Tasks[_Row],Tasks[_Pred2UID],Tasks[[#This Row],[UID]]),_xlfn.MAXIFS(Tasks[_Row],Tasks[_Pred3UID],Tasks[[#This Row],[UID]]),_xlfn.MAXIFS(Tasks[_Row],Tasks[_Pred4UID],Tasks[[#This Row],[UID]])))</f>
        <v>0</v>
      </c>
      <c r="FA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91" t="str">
        <f aca="false">IF(NOT(Tasks[[#This Row],[_IsLeaf]]=1),"",IF(N(Tasks[[#This Row],[_Days]])&lt;=0,Tasks[[#This Row],[_LeafLateFinish]],WORKDAY.INTL(Tasks[[#This Row],[_LeafLateFinish]],-(Tasks[[#This Row],[_Days]]-1),WorkWeek,Holidays)))</f>
        <v/>
      </c>
      <c r="FD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9" s="90" t="b">
        <f aca="false">AND(Tasks[[#This Row],[_IsLeaf]]=1,Tasks[[#This Row],[_LeafProgress]]&lt;1,N(Tasks[[#This Row],[_LeafTotalSlack]])&lt;=CriticalSlackDays)</f>
        <v>0</v>
      </c>
      <c r="FF69" s="43" t="n">
        <f aca="false">IF(AND(Tasks[[#This Row],[_IsLeaf]]=1,Tasks[[#This Row],[_ConstraintCode]]=1,Tasks[[#This Row],[Mode]]&lt;&gt;"Manual",N(Tasks[[#This Row],[Actual Start]])=0),MAX(0,N(Tasks[[#This Row],[Free Slack]])),0)</f>
        <v>0</v>
      </c>
      <c r="FG69" s="91" t="str">
        <f aca="false">IF(NOT(Tasks[[#This Row],[_IsLeaf]]=1),"",IF(Tasks[[#This Row],[_AlapShift]]=0,Tasks[[#This Row],[_LeafCalcStart]],WORKDAY.INTL(Tasks[[#This Row],[_LeafCalcStart]],Tasks[[#This Row],[_AlapShift]],WorkWeek,Holidays)))</f>
        <v/>
      </c>
      <c r="FH69" s="91" t="str">
        <f aca="false">IF(NOT(Tasks[[#This Row],[_IsLeaf]]=1),"",IF(Tasks[[#This Row],[_AlapShift]]=0,Tasks[[#This Row],[_LeafCalcFinish]],WORKDAY.INTL(Tasks[[#This Row],[_LeafCalcFinish]],Tasks[[#This Row],[_AlapShift]],WorkWeek,Holidays)))</f>
        <v/>
      </c>
      <c r="FI69" s="91" t="str">
        <f aca="false">IF(NOT(Tasks[[#This Row],[_IsLeaf]]=1),"",IF(Tasks[[#This Row],[_AlapShift]]=0,Tasks[[#This Row],[_LeafFcstStart]],WORKDAY.INTL(Tasks[[#This Row],[_LeafFcstStart]],Tasks[[#This Row],[_AlapShift]],WorkWeek,Holidays)))</f>
        <v/>
      </c>
      <c r="FJ69" s="91" t="str">
        <f aca="false">IF(NOT(Tasks[[#This Row],[_IsLeaf]]=1),"",IF(Tasks[[#This Row],[_AlapShift]]=0,Tasks[[#This Row],[_LeafFcstFinish]],WORKDAY.INTL(Tasks[[#This Row],[_LeafFcstFinish]],Tasks[[#This Row],[_AlapShift]],WorkWeek,Holidays)))</f>
        <v/>
      </c>
      <c r="FK69" s="91" t="str">
        <f aca="false">IF(Tasks[[#This Row],[Task Name]]="","",IF(Tasks[[#This Row],[_IsSummary]],MIN(INDEX(Tasks[_ShownCalcStart],Tasks[[#This Row],[_Row]]+1):INDEX(Tasks[_ShownCalcStart],Tasks[[#This Row],[_Row]]+Tasks[[#This Row],[_Descendants]])),Tasks[[#This Row],[_ShownCalcStart]]))</f>
        <v/>
      </c>
      <c r="FL69" s="91" t="str">
        <f aca="false">IF(Tasks[[#This Row],[Task Name]]="","",IF(Tasks[[#This Row],[_IsSummary]],MAX(INDEX(Tasks[_ShownCalcFinish],Tasks[[#This Row],[_Row]]+1):INDEX(Tasks[_ShownCalcFinish],Tasks[[#This Row],[_Row]]+Tasks[[#This Row],[_Descendants]])),Tasks[[#This Row],[_ShownCalcFinish]]))</f>
        <v/>
      </c>
      <c r="FM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9" s="43" t="n">
        <f aca="false">IF(AND(Tasks[[#This Row],[_IsLeaf]]=1,Tasks[[#This Row],[_LeafTotalWork]]&gt;0),NETWORKDAYS.INTL(ProjectStart,Tasks[[#This Row],[_ShownFcstStart]],WorkWeek,Holidays),0)</f>
        <v>0</v>
      </c>
      <c r="FZ69" s="43" t="n">
        <f aca="false">IF(AND(Tasks[[#This Row],[_IsLeaf]]=1,Tasks[[#This Row],[_LeafTotalWork]]&gt;0),MAX(Tasks[[#This Row],[_StartWorkday]],NETWORKDAYS.INTL(ProjectStart,Tasks[[#This Row],[_ShownFcstFinish]],WorkWeek,Holidays)),0)</f>
        <v>0</v>
      </c>
      <c r="GA69" s="43" t="n">
        <f aca="false">IF(AND(Tasks[[#This Row],[_IsLeaf]]=1,Tasks[[#This Row],[_LeafTotalWork]]&gt;0),Tasks[[#This Row],[_LeafWork]]/(Tasks[[#This Row],[_FinishWorkday]]-Tasks[[#This Row],[_StartWorkday]]+1),0)</f>
        <v>0</v>
      </c>
      <c r="GB69" s="43" t="n">
        <f aca="false">Tasks[[#This Row],[_WorkPerWorkday]]*(Tasks[[#This Row],[_StartWorkday]]-1)</f>
        <v>-0</v>
      </c>
      <c r="GC69" s="43" t="n">
        <f aca="false">IF(Tasks[[#This Row],[_IsLeaf]]=1,MAX(N(Tasks[[#This Row],[_Days]]),0.1),0)</f>
        <v>0</v>
      </c>
      <c r="GD69" s="43" t="n">
        <f aca="false">Tasks[[#This Row],[_WeightDur]]*Tasks[[#This Row],[_LeafProgress]]</f>
        <v>0</v>
      </c>
      <c r="GE69" s="43" t="n">
        <f aca="false">Tasks[[#This Row],[_WeightDur]]*Tasks[[#This Row],[_PlannedPct]]</f>
        <v>0</v>
      </c>
      <c r="GF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3" t="str">
        <f aca="false">IF(AND(Tasks[[#This Row],[_IsLeaf]]=1,N(Tasks[[#This Row],[_Days]])=0,Tasks[[#This Row],[_LeafProgress]]&lt;1),Tasks[[#This Row],[_ShownFcstFinish]]+Tasks[[#This Row],[_Row]]/100000,"")</f>
        <v/>
      </c>
      <c r="GH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9" s="43" t="str">
        <f aca="false">IF(Tasks[[#This Row],[Task Name]]="","",LEFT(Tasks[[#This Row],[WBS]],FIND(".",Tasks[[#This Row],[WBS]]&amp;".")-1))</f>
        <v/>
      </c>
      <c r="GJ69" s="43" t="str">
        <f aca="false">IF(AND(Tasks[[#This Row],[Task Name]]&lt;&gt;"",Tasks[[#This Row],[_Level]]=1),Tasks[[#This Row],[_Row]],"")</f>
        <v/>
      </c>
      <c r="GK69" s="43" t="str">
        <f aca="false">IF(AND(Tasks[[#This Row],[_IsLeaf]]=1,N(Tasks[[#This Row],[_Days]])=0),Tasks[[#This Row],[Planned Finish]]+Tasks[[#This Row],[_Row]]/100000,"")</f>
        <v/>
      </c>
      <c r="GL69" s="43" t="str">
        <f aca="false">IF(AND(Tasks[[#This Row],[_IsLeaf]]=1,Tasks[[#This Row],[_LeafProgress]]&lt;1,OR(N(Tasks[[#This Row],[Finish Var]])&gt;0,Tasks[[#This Row],[Status]]="Late Start")),MAX(0,Tasks[[#This Row],[Finish Var]])+1-Tasks[[#This Row],[_Row]]/1000000,"")</f>
        <v/>
      </c>
      <c r="GM69" s="43" t="str">
        <f aca="false">IF(AND(Tasks[[#This Row],[_IsLeaf]]=1,N(Tasks[[#This Row],[Actual Start]])=0,Tasks[[#This Row],[_ShownFcstStart]]&gt;=StatusDate,Tasks[[#This Row],[_ShownFcstStart]]&lt;=LookaheadEnd),Tasks[[#This Row],[_ShownFcstStart]]+Tasks[[#This Row],[_Row]]/100000,"")</f>
        <v/>
      </c>
      <c r="GN69" s="43" t="str">
        <f aca="false">IF(AND(Tasks[[#This Row],[_IsLeaf]]=1,Tasks[[#This Row],[_LeafProgress]]&lt;1,Tasks[[#This Row],[_ShownFcstFinish]]&gt;=StatusDate,Tasks[[#This Row],[_ShownFcstFinish]]&lt;=LookaheadEnd),Tasks[[#This Row],[_ShownFcstFinish]]+Tasks[[#This Row],[_Row]]/100000,"")</f>
        <v/>
      </c>
      <c r="GO69" s="43" t="str">
        <f aca="false">IF(Tasks[[#This Row],[_LeafCritical]],Tasks[[#This Row],[_ShownFcstStart]]+Tasks[[#This Row],[_Row]]/100000,"")</f>
        <v/>
      </c>
      <c r="GP69" s="43" t="n">
        <f aca="false">Tasks[[#This Row],[_LeafWork]]*Tasks[[#This Row],[_LeafProgress]]</f>
        <v>0</v>
      </c>
      <c r="GQ69" s="91" t="str">
        <f aca="false">IF(AND(Tasks[[#This Row],[_IsLeaf]]=1,Tasks[[#This Row],[_LeafProgress]]&gt;=1),IF(N(Tasks[[#This Row],[Actual Finish]])&gt;0,Tasks[[#This Row],[Actual Finish]],Tasks[[#This Row],[_ShownFcstFinish]]),"")</f>
        <v/>
      </c>
      <c r="GR69" s="43" t="n">
        <f aca="false">IF(Tasks[[#This Row],[_IsLeaf]]=1,N(Tasks[[#This Row],[Story Points]]),0)</f>
        <v>0</v>
      </c>
      <c r="GS69" s="43" t="str">
        <f aca="false">""</f>
        <v/>
      </c>
      <c r="GT69" s="90" t="b">
        <f aca="false">IF(Tasks[[#This Row],[Task Name]]="",FALSE(),AND(Tasks[[#This Row],[_IsLeaf]]=1,N(Tasks[[#This Row],[_Days]])=0))</f>
        <v>0</v>
      </c>
      <c r="GU69" s="91" t="n">
        <f aca="false">IF(Tasks[[#This Row],[Task Name]]="",0,IF(AND(Tasks[[#This Row],[_IsLeaf]]=1,NOT(Tasks[[#This Row],[_IsMilestone]]),N(Tasks[[#This Row],[Progress]])&gt;0),Tasks[[#This Row],[Start]],0))</f>
        <v>0</v>
      </c>
      <c r="GV69" s="91" t="n">
        <f aca="false">IF(Tasks[[#This Row],[_DoneFrom]]=0,0,IF(Tasks[[#This Row],[Progress]]&gt;=1,Tasks[[#This Row],[Finish]],MAX(Tasks[[#This Row],[_DoneFrom]],Tasks[[#This Row],[Start]]+ROUND((Tasks[[#This Row],[Finish]]-Tasks[[#This Row],[Start]]+1)*Tasks[[#This Row],[Progress]],0)-1)))</f>
        <v>0</v>
      </c>
      <c r="GW69" s="91" t="n">
        <f aca="false">IF(Tasks[[#This Row],[Task Name]]="",0,IF(OR(NOT(Tasks[[#This Row],[_IsLeaf]]=1),Tasks[[#This Row],[_IsMilestone]],N(Tasks[[#This Row],[Progress]])&gt;=1),0,IF(Tasks[[#This Row],[_DoneTo]]&gt;0,Tasks[[#This Row],[_DoneTo]]+1,Tasks[[#This Row],[Start]])))</f>
        <v>0</v>
      </c>
      <c r="GX69" s="91" t="n">
        <f aca="false">IF(Tasks[[#This Row],[_RemFrom]]=0,0,Tasks[[#This Row],[Finish]])</f>
        <v>0</v>
      </c>
      <c r="GY69" s="90" t="b">
        <f aca="false">IF(Tasks[[#This Row],[Task Name]]="",FALSE(),OR(NOT(BaselineSet),N(Tasks[[#This Row],[Baseline Start]])&gt;0))</f>
        <v>0</v>
      </c>
      <c r="GZ6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92" t="str">
        <f aca="false">IF(Tasks[[#This Row],[_IsLeaf]]=1,Tasks[[#This Row],[_Row]],"")</f>
        <v/>
      </c>
      <c r="HD69" s="92" t="str">
        <f aca="false">IFERROR(INDEX(Tasks[UID],SMALL(Tasks[_PickKey],Tasks[[#This Row],[_Row]]))&amp;" "&amp;INDEX(Tasks[Task Name],SMALL(Tasks[_PickKey],Tasks[[#This Row],[_Row]])),"")</f>
        <v/>
      </c>
      <c r="HE69" s="43" t="str">
        <f aca="false">IF(Tasks[[#This Row],[Task Name]]="","",IF(Tasks[[#This Row],[_IsSummary]],NETWORKDAYS.INTL(Tasks[[#This Row],[Start]],Tasks[[#This Row],[Finish]],WorkWeek,Holidays),N(Tasks[[#This Row],[_Days]])))</f>
        <v/>
      </c>
      <c r="HF69" s="43" t="n">
        <f aca="false">IF(Tasks[[#This Row],[Expected]]="",0,((Tasks[[#This Row],[Pessimistic]]-Tasks[[#This Row],[Optimistic]])/6)^2)</f>
        <v>0</v>
      </c>
      <c r="HG69" s="43" t="n">
        <f aca="false">IF(Tasks[[#This Row],[Expected]]="",0,Tasks[[#This Row],[Expected]]-N(Tasks[[#This Row],[_Days]]))</f>
        <v>0</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4"/>
      <c r="U70" s="23"/>
      <c r="V70" s="84"/>
      <c r="W70" s="23"/>
      <c r="X70" s="84"/>
      <c r="Y70" s="23"/>
      <c r="Z70" s="84"/>
      <c r="AA70" s="23"/>
      <c r="AB70" s="23"/>
      <c r="AC70" s="7"/>
      <c r="AD70" s="7"/>
      <c r="AE70" s="63" t="str">
        <f aca="false">IF(Tasks[[#This Row],[Task Name]]="","",IF(Tasks[[#This Row],[_IsSummary]],MIN(INDEX(Tasks[_ShownFcstStart],Tasks[[#This Row],[_Row]]+1):INDEX(Tasks[_ShownFcstStart],Tasks[[#This Row],[_Row]]+Tasks[[#This Row],[_Descendants]])),Tasks[[#This Row],[_ShownFcstStart]]))</f>
        <v/>
      </c>
      <c r="AF70" s="63"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0" s="7"/>
      <c r="AK70" s="22"/>
      <c r="AL70" s="23"/>
      <c r="AM70" s="7"/>
      <c r="AN70" s="47"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3" t="str">
        <f aca="false">IF(Tasks[[#This Row],[Task Name]]="","",IF(N(Tasks[[#This Row],[Baseline Start]])&gt;0,Tasks[[#This Row],[Baseline Start]],Tasks[[#This Row],[_CalcStart]]))</f>
        <v/>
      </c>
      <c r="AR70" s="63" t="str">
        <f aca="false">IF(Tasks[[#This Row],[Task Name]]="","",IF(N(Tasks[[#This Row],[Baseline Finish]])&gt;0,Tasks[[#This Row],[Baseline Finish]],Tasks[[#This Row],[_CalcFinish]]))</f>
        <v/>
      </c>
      <c r="AS70" s="47" t="str">
        <f aca="false">IF(Tasks[[#This Row],[Task Name]]="","",IF(Tasks[[#This Row],[Start]]&gt;=Tasks[[#This Row],[Planned Start]],NETWORKDAYS.INTL(Tasks[[#This Row],[Planned Start]],Tasks[[#This Row],[Start]],WorkWeek,Holidays)-1,1-NETWORKDAYS.INTL(Tasks[[#This Row],[Start]],Tasks[[#This Row],[Planned Start]],WorkWeek,Holidays)))</f>
        <v/>
      </c>
      <c r="AT70" s="63" t="str">
        <f aca="false">IF(Tasks[[#This Row],[Task Name]]="","",IF(Tasks[[#This Row],[_IsSummary]],MIN(INDEX(Tasks[_LeafLateStart],Tasks[[#This Row],[_Row]]+1):INDEX(Tasks[_LeafLateStart],Tasks[[#This Row],[_Row]]+Tasks[[#This Row],[_Descendants]])),Tasks[[#This Row],[_LeafLateStart]]))</f>
        <v/>
      </c>
      <c r="AU70" s="63" t="str">
        <f aca="false">IF(Tasks[[#This Row],[Task Name]]="","",IF(Tasks[[#This Row],[_IsSummary]],MAX(INDEX(Tasks[_LeafLateFinish],Tasks[[#This Row],[_Row]]+1):INDEX(Tasks[_LeafLateFinish],Tasks[[#This Row],[_Row]]+Tasks[[#This Row],[_Descendants]])),Tasks[[#This Row],[_LeafLateFinish]]))</f>
        <v/>
      </c>
      <c r="AV70" s="47"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5"/>
      <c r="BA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6"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7"/>
      <c r="BJ70" s="22"/>
      <c r="BK70" s="47" t="str">
        <f aca="false">IF(OR(Tasks[[#This Row],[Task Name]]="",Tasks[[#This Row],[Baseline Duration]]=""),"",Tasks[[#This Row],[_SpanDays]]-N(Tasks[[#This Row],[Baseline Duration]]))</f>
        <v/>
      </c>
      <c r="BL70" s="86" t="str">
        <f aca="false">IF(OR(Tasks[[#This Row],[Task Name]]="",Tasks[[#This Row],[Baseline Work]]=""),"",Tasks[[#This Row],[Work]]-N(Tasks[[#This Row],[Baseline Work]]))</f>
        <v/>
      </c>
      <c r="BM70" s="63" t="str">
        <f aca="false">IF(Tasks[[#This Row],[Task Name]]="","",IF(OR(TakeBaseline="Yes",N(Tasks[[#This Row],[Baseline Start]])=0),Tasks[[#This Row],[Start]],Tasks[[#This Row],[Baseline Start]]))</f>
        <v/>
      </c>
      <c r="BN70" s="63" t="str">
        <f aca="false">IF(Tasks[[#This Row],[Task Name]]="","",IF(OR(TakeBaseline="Yes",N(Tasks[[#This Row],[Baseline Finish]])=0),Tasks[[#This Row],[Finish]],Tasks[[#This Row],[Baseline Finish]]))</f>
        <v/>
      </c>
      <c r="BO70" s="21" t="str">
        <f aca="false">IF(Tasks[[#This Row],[Task Name]]="","",IF(OR(TakeBaseline="Yes",N(Tasks[[#This Row],[Baseline Duration]])=0),Tasks[[#This Row],[_SpanDays]],Tasks[[#This Row],[Baseline Duration]]))</f>
        <v/>
      </c>
      <c r="BP70" s="86" t="str">
        <f aca="false">IF(Tasks[[#This Row],[Task Name]]="","",IF(OR(TakeBaseline="Yes",N(Tasks[[#This Row],[Baseline Work]])=0),Tasks[[#This Row],[Work]],Tasks[[#This Row],[Baseline Work]]))</f>
        <v/>
      </c>
      <c r="BQ70" s="7"/>
      <c r="BR70" s="7"/>
      <c r="BS70" s="22"/>
      <c r="BT70" s="88"/>
      <c r="BU70" s="23"/>
      <c r="BV70" s="23"/>
      <c r="BW70" s="23"/>
      <c r="BX70" s="89" t="str">
        <f aca="false">IF(AND(Tasks[[#This Row],[_IsLeaf]]=1,ISNUMBER(Tasks[[#This Row],[Optimistic]]),ISNUMBER(Tasks[[#This Row],[Pessimistic]])),ROUND((Tasks[[#This Row],[Optimistic]]+4*N(Tasks[[#This Row],[_Days]])+Tasks[[#This Row],[Pessimistic]])/6,1),"")</f>
        <v/>
      </c>
      <c r="BY70" s="87"/>
      <c r="BZ70" s="87"/>
      <c r="CA70" s="22"/>
      <c r="CB70" s="43" t="str">
        <f aca="false">IF(Tasks[[#This Row],[Task Name]]="","",MAX(1,N(Tasks[[#This Row],[Level]])))</f>
        <v/>
      </c>
      <c r="CC70" s="43" t="n">
        <f aca="false">ROW()-ROW(Tasks[[#Headers],[ID]])</f>
        <v>65</v>
      </c>
      <c r="CD70" s="43" t="n">
        <f aca="false">IF(OR(Tasks[[#This Row],[Task Name]]="",Tasks[[#This Row],[_Level]]&lt;=1),0,IFERROR(LOOKUP(2,1/(Tasks[[#Headers],[_Level]]:Tasks[[#This Row],[_Level]]=Tasks[[#This Row],[_Level]]-1),ROW(Tasks[[#Headers],[_Level]]:Tasks[[#This Row],[_Level]])),0))</f>
        <v>0</v>
      </c>
      <c r="CE70" s="43" t="n">
        <f aca="false">IFERROR(N(INDEX(Tasks[_Level],Tasks[[#This Row],[_Row]]+1)),0)</f>
        <v>0</v>
      </c>
      <c r="CF70" s="90" t="b">
        <f aca="false">AND(Tasks[[#This Row],[Task Name]]&lt;&gt;"",Tasks[[#This Row],[_NextLevel]]&gt;Tasks[[#This Row],[_Level]])</f>
        <v>0</v>
      </c>
      <c r="CG70" s="43" t="n">
        <f aca="false">IF(Tasks[[#This Row],[_IsSummary]],COUNTIF(Tasks[WBS],Tasks[[#This Row],[WBS]]&amp;".*"),0)</f>
        <v>0</v>
      </c>
      <c r="CH70" s="43" t="n">
        <f aca="false">IF(AND(Tasks[[#This Row],[Task Name]]&lt;&gt;"",NOT(Tasks[[#This Row],[_IsSummary]])),1,0)</f>
        <v>0</v>
      </c>
      <c r="CI70" s="43" t="n">
        <f aca="false">IF(N(Tasks[[#This Row],[_Pred1UID]])=0,0,IFERROR(MATCH(Tasks[[#This Row],[_Pred1UID]],Tasks[UID],0),-1))</f>
        <v>0</v>
      </c>
      <c r="CJ70" s="43" t="n">
        <f aca="false">IF(N(Tasks[[#This Row],[_Pred2UID]])=0,0,IFERROR(MATCH(Tasks[[#This Row],[_Pred2UID]],Tasks[UID],0),-1))</f>
        <v>0</v>
      </c>
      <c r="CK70" s="43" t="n">
        <f aca="false">IF(N(Tasks[[#This Row],[_Pred3UID]])=0,0,IFERROR(MATCH(Tasks[[#This Row],[_Pred3UID]],Tasks[UID],0),-1))</f>
        <v>0</v>
      </c>
      <c r="CL70" s="43" t="n">
        <f aca="false">IF(N(Tasks[[#This Row],[_Pred4UID]])=0,0,IFERROR(MATCH(Tasks[[#This Row],[_Pred4UID]],Tasks[UID],0),-1))</f>
        <v>0</v>
      </c>
      <c r="CM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0" s="91" t="n">
        <f aca="false">IF(OR(Tasks[[#This Row],[_ConstraintCode]]=2,Tasks[[#This Row],[_ConstraintCode]]=3,Tasks[[#This Row],[_ConstraintCode]]=4,Tasks[[#This Row],[_ConstraintCode]]=6),Tasks[[#This Row],[_ConstraintStart]],0)</f>
        <v>0</v>
      </c>
      <c r="CP70" s="91" t="n">
        <f aca="false">IF(OR(Tasks[[#This Row],[_ConstraintCode]]=2,Tasks[[#This Row],[_ConstraintCode]]=3,Tasks[[#This Row],[_ConstraintCode]]=5,Tasks[[#This Row],[_ConstraintCode]]=7),Tasks[[#This Row],[_ConstraintStart]],2958465)</f>
        <v>2958465</v>
      </c>
      <c r="CQ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91" t="str">
        <f aca="false">IF(NOT(Tasks[[#This Row],[_IsLeaf]]=1),"",IF(N(Tasks[[#This Row],[_Days]])&lt;=0,Tasks[[#This Row],[_LeafCalcStart]],WORKDAY.INTL(Tasks[[#This Row],[_LeafCalcStart]],Tasks[[#This Row],[_Days]]-1,WorkWeek,Holidays)))</f>
        <v/>
      </c>
      <c r="CS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3" t="str">
        <f aca="false">IF(Tasks[[#This Row],[_Predecessors]]="","",TRIM(MID(SUBSTITUTE(SUBSTITUTE(SUBSTITUTE(UPPER(Tasks[[#This Row],[_Predecessors]]),";",",")," ",""),",",REPT(" ",99)),1,99)))</f>
        <v/>
      </c>
      <c r="CV70" s="43" t="str">
        <f aca="false">IF(Tasks[[#This Row],[_Pred1Text]]="","",IFERROR(VALUE(LEFT(Tasks[[#This Row],[_Pred1Text]],MIN(FIND("F",Tasks[[#This Row],[_Pred1Text]]&amp;"F"),FIND("S",Tasks[[#This Row],[_Pred1Text]]&amp;"S"),FIND("+",Tasks[[#This Row],[_Pred1Text]]&amp;"+"),FIND("-",Tasks[[#This Row],[_Pred1Text]]&amp;"-"))-1)),""))</f>
        <v/>
      </c>
      <c r="CW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3" t="str">
        <f aca="false">IF(Tasks[[#This Row],[_Pred1Text]]="","",TRIM(MID(SUBSTITUTE(SUBSTITUTE(SUBSTITUTE(UPPER(Tasks[[#This Row],[_Predecessors]]),";",",")," ",""),",",REPT(" ",99)),100,99)))</f>
        <v/>
      </c>
      <c r="CZ70" s="43" t="str">
        <f aca="false">IF(Tasks[[#This Row],[_Pred2Text]]="","",IFERROR(VALUE(LEFT(Tasks[[#This Row],[_Pred2Text]],MIN(FIND("F",Tasks[[#This Row],[_Pred2Text]]&amp;"F"),FIND("S",Tasks[[#This Row],[_Pred2Text]]&amp;"S"),FIND("+",Tasks[[#This Row],[_Pred2Text]]&amp;"+"),FIND("-",Tasks[[#This Row],[_Pred2Text]]&amp;"-"))-1)),""))</f>
        <v/>
      </c>
      <c r="DA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3" t="str">
        <f aca="false">IF(Tasks[[#This Row],[_Pred2Text]]="","",TRIM(MID(SUBSTITUTE(SUBSTITUTE(SUBSTITUTE(UPPER(Tasks[[#This Row],[_Predecessors]]),";",",")," ",""),",",REPT(" ",99)),199,99)))</f>
        <v/>
      </c>
      <c r="DD70" s="43" t="str">
        <f aca="false">IF(Tasks[[#This Row],[_Pred3Text]]="","",IFERROR(VALUE(LEFT(Tasks[[#This Row],[_Pred3Text]],MIN(FIND("F",Tasks[[#This Row],[_Pred3Text]]&amp;"F"),FIND("S",Tasks[[#This Row],[_Pred3Text]]&amp;"S"),FIND("+",Tasks[[#This Row],[_Pred3Text]]&amp;"+"),FIND("-",Tasks[[#This Row],[_Pred3Text]]&amp;"-"))-1)),""))</f>
        <v/>
      </c>
      <c r="DE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3" t="str">
        <f aca="false">IF(Tasks[[#This Row],[_Pred3Text]]="","",TRIM(MID(SUBSTITUTE(SUBSTITUTE(SUBSTITUTE(UPPER(Tasks[[#This Row],[_Predecessors]]),";",",")," ",""),",",REPT(" ",99)),298,99)))</f>
        <v/>
      </c>
      <c r="DH70" s="43" t="str">
        <f aca="false">IF(Tasks[[#This Row],[_Pred4Text]]="","",IFERROR(VALUE(LEFT(Tasks[[#This Row],[_Pred4Text]],MIN(FIND("F",Tasks[[#This Row],[_Pred4Text]]&amp;"F"),FIND("S",Tasks[[#This Row],[_Pred4Text]]&amp;"S"),FIND("+",Tasks[[#This Row],[_Pred4Text]]&amp;"+"),FIND("-",Tasks[[#This Row],[_Pred4Text]]&amp;"-"))-1)),""))</f>
        <v/>
      </c>
      <c r="DI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3" t="str">
        <f aca="false">IF(OR(Tasks[[#This Row],[Task Name]]="",Tasks[[#This Row],[_Resources]]=""),"",TRIM(MID(SUBSTITUTE(Tasks[[#This Row],[_Resources]],",",REPT(" ",99)),1,99)))</f>
        <v/>
      </c>
      <c r="DL70" s="43" t="str">
        <f aca="false">IF(Tasks[[#This Row],[_Res1Text]]="","",TRIM(MID(SUBSTITUTE(Tasks[[#This Row],[_Resources]],",",REPT(" ",99)),100,99)))</f>
        <v/>
      </c>
      <c r="DM70" s="43" t="str">
        <f aca="false">IF(Tasks[[#This Row],[_Res2Text]]="","",TRIM(MID(SUBSTITUTE(Tasks[[#This Row],[_Resources]],",",REPT(" ",99)),199,99)))</f>
        <v/>
      </c>
      <c r="DN70" s="43" t="str">
        <f aca="false">IF(Tasks[[#This Row],[_Res3Text]]="","",TRIM(MID(SUBSTITUTE(Tasks[[#This Row],[_Resources]],",",REPT(" ",99)),298,99)))</f>
        <v/>
      </c>
      <c r="DO70" s="43" t="n">
        <f aca="false">IF(Tasks[[#This Row],[_Res1Text]]="",0,IFERROR(MATCH(TRIM(LEFT(Tasks[[#This Row],[_Res1Text]],FIND("[",Tasks[[#This Row],[_Res1Text]]&amp;"[")-1)),res_Name,0),IFERROR(MATCH(TRIM(LEFT(Tasks[[#This Row],[_Res1Text]],FIND("[",Tasks[[#This Row],[_Res1Text]]&amp;"[")-1)),res_Initials,0),0)))</f>
        <v>0</v>
      </c>
      <c r="DP70" s="43" t="n">
        <f aca="false">IF(Tasks[[#This Row],[_Res2Text]]="",0,IFERROR(MATCH(TRIM(LEFT(Tasks[[#This Row],[_Res2Text]],FIND("[",Tasks[[#This Row],[_Res2Text]]&amp;"[")-1)),res_Name,0),IFERROR(MATCH(TRIM(LEFT(Tasks[[#This Row],[_Res2Text]],FIND("[",Tasks[[#This Row],[_Res2Text]]&amp;"[")-1)),res_Initials,0),0)))</f>
        <v>0</v>
      </c>
      <c r="DQ70" s="43" t="n">
        <f aca="false">IF(Tasks[[#This Row],[_Res3Text]]="",0,IFERROR(MATCH(TRIM(LEFT(Tasks[[#This Row],[_Res3Text]],FIND("[",Tasks[[#This Row],[_Res3Text]]&amp;"[")-1)),res_Name,0),IFERROR(MATCH(TRIM(LEFT(Tasks[[#This Row],[_Res3Text]],FIND("[",Tasks[[#This Row],[_Res3Text]]&amp;"[")-1)),res_Initials,0),0)))</f>
        <v>0</v>
      </c>
      <c r="DR70" s="43" t="n">
        <f aca="false">IF(Tasks[[#This Row],[_Res4Text]]="",0,IFERROR(MATCH(TRIM(LEFT(Tasks[[#This Row],[_Res4Text]],FIND("[",Tasks[[#This Row],[_Res4Text]]&amp;"[")-1)),res_Name,0),IFERROR(MATCH(TRIM(LEFT(Tasks[[#This Row],[_Res4Text]],FIND("[",Tasks[[#This Row],[_Res4Text]]&amp;"[")-1)),res_Initials,0),0)))</f>
        <v>0</v>
      </c>
      <c r="DS70" s="43" t="str">
        <f aca="false">IF(Tasks[[#This Row],[_Res1Text]]="","",IF(Tasks[[#This Row],[_Res1Row]]&gt;0,INDEX(res_Name,Tasks[[#This Row],[_Res1Row]]),TRIM(LEFT(Tasks[[#This Row],[_Res1Text]],FIND("[",Tasks[[#This Row],[_Res1Text]]&amp;"[")-1))))</f>
        <v/>
      </c>
      <c r="DT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3" t="n">
        <f aca="false">IF(NOT(Tasks[[#This Row],[_IsLeaf]]=1),0,(Tasks[[#This Row],[_Resource1]]&lt;&gt;"")+(Tasks[[#This Row],[_Res2]]&lt;&gt;"")+(Tasks[[#This Row],[_Res3]]&lt;&gt;"")+(Tasks[[#This Row],[_Res4]]&lt;&gt;""))</f>
        <v>0</v>
      </c>
      <c r="DV70" s="43" t="str">
        <f aca="false">IF(Tasks[[#This Row],[_Res2Text]]="","",IF(Tasks[[#This Row],[_Res2Row]]&gt;0,INDEX(res_Name,Tasks[[#This Row],[_Res2Row]]),TRIM(LEFT(Tasks[[#This Row],[_Res2Text]],FIND("[",Tasks[[#This Row],[_Res2Text]]&amp;"[")-1))))</f>
        <v/>
      </c>
      <c r="DW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3" t="n">
        <f aca="false">IF(OR(NOT(Tasks[[#This Row],[_IsLeaf]]=1),Tasks[[#This Row],[_Res2Row]]=0),0,N(Tasks[[#This Row],[_Days]])*HoursPerDay*IF(Tasks[[#This Row],[_Res2Units]]="",DefaultUnits,Tasks[[#This Row],[_Res2Units]]))</f>
        <v>0</v>
      </c>
      <c r="DY70" s="43" t="n">
        <f aca="false">IF(AND(AND(Tasks[[#This Row],[_IsLeaf]]=1,Tasks[[#This Row],[_LeafTotalWork]]&gt;0),Tasks[[#This Row],[_Res2Work]]&gt;0),Tasks[[#This Row],[_Res2Work]]/(Tasks[[#This Row],[_FinishWorkday]]-Tasks[[#This Row],[_StartWorkday]]+1),0)</f>
        <v>0</v>
      </c>
      <c r="DZ70" s="43" t="n">
        <f aca="false">Tasks[[#This Row],[_Res2WorkPerWD]]*MAX(0,Tasks[[#This Row],[_StartWorkday]]-1)</f>
        <v>0</v>
      </c>
      <c r="EA70" s="43" t="n">
        <f aca="false">Tasks[[#This Row],[_Res2Work]]*Tasks[[#This Row],[_LeafProgress]]</f>
        <v>0</v>
      </c>
      <c r="EB70" s="43" t="str">
        <f aca="false">IF(Tasks[[#This Row],[_Res3Text]]="","",IF(Tasks[[#This Row],[_Res3Row]]&gt;0,INDEX(res_Name,Tasks[[#This Row],[_Res3Row]]),TRIM(LEFT(Tasks[[#This Row],[_Res3Text]],FIND("[",Tasks[[#This Row],[_Res3Text]]&amp;"[")-1))))</f>
        <v/>
      </c>
      <c r="EC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3" t="n">
        <f aca="false">IF(OR(NOT(Tasks[[#This Row],[_IsLeaf]]=1),Tasks[[#This Row],[_Res3Row]]=0),0,N(Tasks[[#This Row],[_Days]])*HoursPerDay*IF(Tasks[[#This Row],[_Res3Units]]="",DefaultUnits,Tasks[[#This Row],[_Res3Units]]))</f>
        <v>0</v>
      </c>
      <c r="EE70" s="43" t="n">
        <f aca="false">IF(AND(AND(Tasks[[#This Row],[_IsLeaf]]=1,Tasks[[#This Row],[_LeafTotalWork]]&gt;0),Tasks[[#This Row],[_Res3Work]]&gt;0),Tasks[[#This Row],[_Res3Work]]/(Tasks[[#This Row],[_FinishWorkday]]-Tasks[[#This Row],[_StartWorkday]]+1),0)</f>
        <v>0</v>
      </c>
      <c r="EF70" s="43" t="n">
        <f aca="false">Tasks[[#This Row],[_Res3WorkPerWD]]*MAX(0,Tasks[[#This Row],[_StartWorkday]]-1)</f>
        <v>0</v>
      </c>
      <c r="EG70" s="43" t="n">
        <f aca="false">Tasks[[#This Row],[_Res3Work]]*Tasks[[#This Row],[_LeafProgress]]</f>
        <v>0</v>
      </c>
      <c r="EH70" s="43" t="str">
        <f aca="false">IF(Tasks[[#This Row],[_Res4Text]]="","",IF(Tasks[[#This Row],[_Res4Row]]&gt;0,INDEX(res_Name,Tasks[[#This Row],[_Res4Row]]),TRIM(LEFT(Tasks[[#This Row],[_Res4Text]],FIND("[",Tasks[[#This Row],[_Res4Text]]&amp;"[")-1))))</f>
        <v/>
      </c>
      <c r="EI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3" t="n">
        <f aca="false">IF(OR(NOT(Tasks[[#This Row],[_IsLeaf]]=1),Tasks[[#This Row],[_Res4Row]]=0),0,N(Tasks[[#This Row],[_Days]])*HoursPerDay*IF(Tasks[[#This Row],[_Res4Units]]="",DefaultUnits,Tasks[[#This Row],[_Res4Units]]))</f>
        <v>0</v>
      </c>
      <c r="EK70" s="43" t="n">
        <f aca="false">IF(AND(AND(Tasks[[#This Row],[_IsLeaf]]=1,Tasks[[#This Row],[_LeafTotalWork]]&gt;0),Tasks[[#This Row],[_Res4Work]]&gt;0),Tasks[[#This Row],[_Res4Work]]/(Tasks[[#This Row],[_FinishWorkday]]-Tasks[[#This Row],[_StartWorkday]]+1),0)</f>
        <v>0</v>
      </c>
      <c r="EL70" s="43" t="n">
        <f aca="false">Tasks[[#This Row],[_Res4WorkPerWD]]*MAX(0,Tasks[[#This Row],[_StartWorkday]]-1)</f>
        <v>0</v>
      </c>
      <c r="EM70" s="43" t="n">
        <f aca="false">Tasks[[#This Row],[_Res4Work]]*Tasks[[#This Row],[_LeafProgress]]</f>
        <v>0</v>
      </c>
      <c r="EN70" s="43" t="n">
        <f aca="false">IF(ISNUMBER(Tasks[[#This Row],[% Complete]]),Tasks[[#This Row],[% Complete]],IF(Tasks[[#This Row],[Stage]]="",0,IFERROR(INDEX(stg_Pct,MATCH(Tasks[[#This Row],[Stage]],stg_Name,0)),0)))</f>
        <v>0</v>
      </c>
      <c r="EO70" s="43" t="n">
        <f aca="false">IF(NOT(Tasks[[#This Row],[_IsLeaf]]=1),0,IF(N(Tasks[[#This Row],[Actual Finish]])&gt;0,1,MIN(1,Tasks[[#This Row],[_Pct]])))</f>
        <v>0</v>
      </c>
      <c r="EP70" s="43" t="n">
        <f aca="false">IF(OR(NOT(Tasks[[#This Row],[_IsLeaf]]=1),Tasks[[#This Row],[_Res1Row]]=0),0,N(Tasks[[#This Row],[_Days]])*HoursPerDay*IF(Tasks[[#This Row],[_Units1]]="",DefaultUnits,Tasks[[#This Row],[_Units1]]))</f>
        <v>0</v>
      </c>
      <c r="EQ70" s="43" t="n">
        <f aca="false">Tasks[[#This Row],[_LeafWork]]+Tasks[[#This Row],[_Res2Work]]+Tasks[[#This Row],[_Res3Work]]+Tasks[[#This Row],[_Res4Work]]</f>
        <v>0</v>
      </c>
      <c r="ER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3" t="n">
        <f aca="false">IF(NOT(Tasks[[#This Row],[_IsLeaf]]=1),0,MAX(_xlfn.MAXIFS(Tasks[_Row],Tasks[_Pred1UID],Tasks[[#This Row],[UID]]),_xlfn.MAXIFS(Tasks[_Row],Tasks[_Pred2UID],Tasks[[#This Row],[UID]]),_xlfn.MAXIFS(Tasks[_Row],Tasks[_Pred3UID],Tasks[[#This Row],[UID]]),_xlfn.MAXIFS(Tasks[_Row],Tasks[_Pred4UID],Tasks[[#This Row],[UID]])))</f>
        <v>0</v>
      </c>
      <c r="FA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91" t="str">
        <f aca="false">IF(NOT(Tasks[[#This Row],[_IsLeaf]]=1),"",IF(N(Tasks[[#This Row],[_Days]])&lt;=0,Tasks[[#This Row],[_LeafLateFinish]],WORKDAY.INTL(Tasks[[#This Row],[_LeafLateFinish]],-(Tasks[[#This Row],[_Days]]-1),WorkWeek,Holidays)))</f>
        <v/>
      </c>
      <c r="FD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0" s="90" t="b">
        <f aca="false">AND(Tasks[[#This Row],[_IsLeaf]]=1,Tasks[[#This Row],[_LeafProgress]]&lt;1,N(Tasks[[#This Row],[_LeafTotalSlack]])&lt;=CriticalSlackDays)</f>
        <v>0</v>
      </c>
      <c r="FF70" s="43" t="n">
        <f aca="false">IF(AND(Tasks[[#This Row],[_IsLeaf]]=1,Tasks[[#This Row],[_ConstraintCode]]=1,Tasks[[#This Row],[Mode]]&lt;&gt;"Manual",N(Tasks[[#This Row],[Actual Start]])=0),MAX(0,N(Tasks[[#This Row],[Free Slack]])),0)</f>
        <v>0</v>
      </c>
      <c r="FG70" s="91" t="str">
        <f aca="false">IF(NOT(Tasks[[#This Row],[_IsLeaf]]=1),"",IF(Tasks[[#This Row],[_AlapShift]]=0,Tasks[[#This Row],[_LeafCalcStart]],WORKDAY.INTL(Tasks[[#This Row],[_LeafCalcStart]],Tasks[[#This Row],[_AlapShift]],WorkWeek,Holidays)))</f>
        <v/>
      </c>
      <c r="FH70" s="91" t="str">
        <f aca="false">IF(NOT(Tasks[[#This Row],[_IsLeaf]]=1),"",IF(Tasks[[#This Row],[_AlapShift]]=0,Tasks[[#This Row],[_LeafCalcFinish]],WORKDAY.INTL(Tasks[[#This Row],[_LeafCalcFinish]],Tasks[[#This Row],[_AlapShift]],WorkWeek,Holidays)))</f>
        <v/>
      </c>
      <c r="FI70" s="91" t="str">
        <f aca="false">IF(NOT(Tasks[[#This Row],[_IsLeaf]]=1),"",IF(Tasks[[#This Row],[_AlapShift]]=0,Tasks[[#This Row],[_LeafFcstStart]],WORKDAY.INTL(Tasks[[#This Row],[_LeafFcstStart]],Tasks[[#This Row],[_AlapShift]],WorkWeek,Holidays)))</f>
        <v/>
      </c>
      <c r="FJ70" s="91" t="str">
        <f aca="false">IF(NOT(Tasks[[#This Row],[_IsLeaf]]=1),"",IF(Tasks[[#This Row],[_AlapShift]]=0,Tasks[[#This Row],[_LeafFcstFinish]],WORKDAY.INTL(Tasks[[#This Row],[_LeafFcstFinish]],Tasks[[#This Row],[_AlapShift]],WorkWeek,Holidays)))</f>
        <v/>
      </c>
      <c r="FK70" s="91" t="str">
        <f aca="false">IF(Tasks[[#This Row],[Task Name]]="","",IF(Tasks[[#This Row],[_IsSummary]],MIN(INDEX(Tasks[_ShownCalcStart],Tasks[[#This Row],[_Row]]+1):INDEX(Tasks[_ShownCalcStart],Tasks[[#This Row],[_Row]]+Tasks[[#This Row],[_Descendants]])),Tasks[[#This Row],[_ShownCalcStart]]))</f>
        <v/>
      </c>
      <c r="FL70" s="91" t="str">
        <f aca="false">IF(Tasks[[#This Row],[Task Name]]="","",IF(Tasks[[#This Row],[_IsSummary]],MAX(INDEX(Tasks[_ShownCalcFinish],Tasks[[#This Row],[_Row]]+1):INDEX(Tasks[_ShownCalcFinish],Tasks[[#This Row],[_Row]]+Tasks[[#This Row],[_Descendants]])),Tasks[[#This Row],[_ShownCalcFinish]]))</f>
        <v/>
      </c>
      <c r="FM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0" s="43" t="n">
        <f aca="false">IF(AND(Tasks[[#This Row],[_IsLeaf]]=1,Tasks[[#This Row],[_LeafTotalWork]]&gt;0),NETWORKDAYS.INTL(ProjectStart,Tasks[[#This Row],[_ShownFcstStart]],WorkWeek,Holidays),0)</f>
        <v>0</v>
      </c>
      <c r="FZ70" s="43" t="n">
        <f aca="false">IF(AND(Tasks[[#This Row],[_IsLeaf]]=1,Tasks[[#This Row],[_LeafTotalWork]]&gt;0),MAX(Tasks[[#This Row],[_StartWorkday]],NETWORKDAYS.INTL(ProjectStart,Tasks[[#This Row],[_ShownFcstFinish]],WorkWeek,Holidays)),0)</f>
        <v>0</v>
      </c>
      <c r="GA70" s="43" t="n">
        <f aca="false">IF(AND(Tasks[[#This Row],[_IsLeaf]]=1,Tasks[[#This Row],[_LeafTotalWork]]&gt;0),Tasks[[#This Row],[_LeafWork]]/(Tasks[[#This Row],[_FinishWorkday]]-Tasks[[#This Row],[_StartWorkday]]+1),0)</f>
        <v>0</v>
      </c>
      <c r="GB70" s="43" t="n">
        <f aca="false">Tasks[[#This Row],[_WorkPerWorkday]]*(Tasks[[#This Row],[_StartWorkday]]-1)</f>
        <v>-0</v>
      </c>
      <c r="GC70" s="43" t="n">
        <f aca="false">IF(Tasks[[#This Row],[_IsLeaf]]=1,MAX(N(Tasks[[#This Row],[_Days]]),0.1),0)</f>
        <v>0</v>
      </c>
      <c r="GD70" s="43" t="n">
        <f aca="false">Tasks[[#This Row],[_WeightDur]]*Tasks[[#This Row],[_LeafProgress]]</f>
        <v>0</v>
      </c>
      <c r="GE70" s="43" t="n">
        <f aca="false">Tasks[[#This Row],[_WeightDur]]*Tasks[[#This Row],[_PlannedPct]]</f>
        <v>0</v>
      </c>
      <c r="GF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3" t="str">
        <f aca="false">IF(AND(Tasks[[#This Row],[_IsLeaf]]=1,N(Tasks[[#This Row],[_Days]])=0,Tasks[[#This Row],[_LeafProgress]]&lt;1),Tasks[[#This Row],[_ShownFcstFinish]]+Tasks[[#This Row],[_Row]]/100000,"")</f>
        <v/>
      </c>
      <c r="GH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0" s="43" t="str">
        <f aca="false">IF(Tasks[[#This Row],[Task Name]]="","",LEFT(Tasks[[#This Row],[WBS]],FIND(".",Tasks[[#This Row],[WBS]]&amp;".")-1))</f>
        <v/>
      </c>
      <c r="GJ70" s="43" t="str">
        <f aca="false">IF(AND(Tasks[[#This Row],[Task Name]]&lt;&gt;"",Tasks[[#This Row],[_Level]]=1),Tasks[[#This Row],[_Row]],"")</f>
        <v/>
      </c>
      <c r="GK70" s="43" t="str">
        <f aca="false">IF(AND(Tasks[[#This Row],[_IsLeaf]]=1,N(Tasks[[#This Row],[_Days]])=0),Tasks[[#This Row],[Planned Finish]]+Tasks[[#This Row],[_Row]]/100000,"")</f>
        <v/>
      </c>
      <c r="GL70" s="43" t="str">
        <f aca="false">IF(AND(Tasks[[#This Row],[_IsLeaf]]=1,Tasks[[#This Row],[_LeafProgress]]&lt;1,OR(N(Tasks[[#This Row],[Finish Var]])&gt;0,Tasks[[#This Row],[Status]]="Late Start")),MAX(0,Tasks[[#This Row],[Finish Var]])+1-Tasks[[#This Row],[_Row]]/1000000,"")</f>
        <v/>
      </c>
      <c r="GM70" s="43" t="str">
        <f aca="false">IF(AND(Tasks[[#This Row],[_IsLeaf]]=1,N(Tasks[[#This Row],[Actual Start]])=0,Tasks[[#This Row],[_ShownFcstStart]]&gt;=StatusDate,Tasks[[#This Row],[_ShownFcstStart]]&lt;=LookaheadEnd),Tasks[[#This Row],[_ShownFcstStart]]+Tasks[[#This Row],[_Row]]/100000,"")</f>
        <v/>
      </c>
      <c r="GN70" s="43" t="str">
        <f aca="false">IF(AND(Tasks[[#This Row],[_IsLeaf]]=1,Tasks[[#This Row],[_LeafProgress]]&lt;1,Tasks[[#This Row],[_ShownFcstFinish]]&gt;=StatusDate,Tasks[[#This Row],[_ShownFcstFinish]]&lt;=LookaheadEnd),Tasks[[#This Row],[_ShownFcstFinish]]+Tasks[[#This Row],[_Row]]/100000,"")</f>
        <v/>
      </c>
      <c r="GO70" s="43" t="str">
        <f aca="false">IF(Tasks[[#This Row],[_LeafCritical]],Tasks[[#This Row],[_ShownFcstStart]]+Tasks[[#This Row],[_Row]]/100000,"")</f>
        <v/>
      </c>
      <c r="GP70" s="43" t="n">
        <f aca="false">Tasks[[#This Row],[_LeafWork]]*Tasks[[#This Row],[_LeafProgress]]</f>
        <v>0</v>
      </c>
      <c r="GQ70" s="91" t="str">
        <f aca="false">IF(AND(Tasks[[#This Row],[_IsLeaf]]=1,Tasks[[#This Row],[_LeafProgress]]&gt;=1),IF(N(Tasks[[#This Row],[Actual Finish]])&gt;0,Tasks[[#This Row],[Actual Finish]],Tasks[[#This Row],[_ShownFcstFinish]]),"")</f>
        <v/>
      </c>
      <c r="GR70" s="43" t="n">
        <f aca="false">IF(Tasks[[#This Row],[_IsLeaf]]=1,N(Tasks[[#This Row],[Story Points]]),0)</f>
        <v>0</v>
      </c>
      <c r="GS70" s="43" t="str">
        <f aca="false">""</f>
        <v/>
      </c>
      <c r="GT70" s="90" t="b">
        <f aca="false">IF(Tasks[[#This Row],[Task Name]]="",FALSE(),AND(Tasks[[#This Row],[_IsLeaf]]=1,N(Tasks[[#This Row],[_Days]])=0))</f>
        <v>0</v>
      </c>
      <c r="GU70" s="91" t="n">
        <f aca="false">IF(Tasks[[#This Row],[Task Name]]="",0,IF(AND(Tasks[[#This Row],[_IsLeaf]]=1,NOT(Tasks[[#This Row],[_IsMilestone]]),N(Tasks[[#This Row],[Progress]])&gt;0),Tasks[[#This Row],[Start]],0))</f>
        <v>0</v>
      </c>
      <c r="GV70" s="91" t="n">
        <f aca="false">IF(Tasks[[#This Row],[_DoneFrom]]=0,0,IF(Tasks[[#This Row],[Progress]]&gt;=1,Tasks[[#This Row],[Finish]],MAX(Tasks[[#This Row],[_DoneFrom]],Tasks[[#This Row],[Start]]+ROUND((Tasks[[#This Row],[Finish]]-Tasks[[#This Row],[Start]]+1)*Tasks[[#This Row],[Progress]],0)-1)))</f>
        <v>0</v>
      </c>
      <c r="GW70" s="91" t="n">
        <f aca="false">IF(Tasks[[#This Row],[Task Name]]="",0,IF(OR(NOT(Tasks[[#This Row],[_IsLeaf]]=1),Tasks[[#This Row],[_IsMilestone]],N(Tasks[[#This Row],[Progress]])&gt;=1),0,IF(Tasks[[#This Row],[_DoneTo]]&gt;0,Tasks[[#This Row],[_DoneTo]]+1,Tasks[[#This Row],[Start]])))</f>
        <v>0</v>
      </c>
      <c r="GX70" s="91" t="n">
        <f aca="false">IF(Tasks[[#This Row],[_RemFrom]]=0,0,Tasks[[#This Row],[Finish]])</f>
        <v>0</v>
      </c>
      <c r="GY70" s="90" t="b">
        <f aca="false">IF(Tasks[[#This Row],[Task Name]]="",FALSE(),OR(NOT(BaselineSet),N(Tasks[[#This Row],[Baseline Start]])&gt;0))</f>
        <v>0</v>
      </c>
      <c r="GZ7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92" t="str">
        <f aca="false">IF(Tasks[[#This Row],[_IsLeaf]]=1,Tasks[[#This Row],[_Row]],"")</f>
        <v/>
      </c>
      <c r="HD70" s="92" t="str">
        <f aca="false">IFERROR(INDEX(Tasks[UID],SMALL(Tasks[_PickKey],Tasks[[#This Row],[_Row]]))&amp;" "&amp;INDEX(Tasks[Task Name],SMALL(Tasks[_PickKey],Tasks[[#This Row],[_Row]])),"")</f>
        <v/>
      </c>
      <c r="HE70" s="43" t="str">
        <f aca="false">IF(Tasks[[#This Row],[Task Name]]="","",IF(Tasks[[#This Row],[_IsSummary]],NETWORKDAYS.INTL(Tasks[[#This Row],[Start]],Tasks[[#This Row],[Finish]],WorkWeek,Holidays),N(Tasks[[#This Row],[_Days]])))</f>
        <v/>
      </c>
      <c r="HF70" s="43" t="n">
        <f aca="false">IF(Tasks[[#This Row],[Expected]]="",0,((Tasks[[#This Row],[Pessimistic]]-Tasks[[#This Row],[Optimistic]])/6)^2)</f>
        <v>0</v>
      </c>
      <c r="HG70" s="43" t="n">
        <f aca="false">IF(Tasks[[#This Row],[Expected]]="",0,Tasks[[#This Row],[Expected]]-N(Tasks[[#This Row],[_Days]]))</f>
        <v>0</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4"/>
      <c r="U71" s="23"/>
      <c r="V71" s="84"/>
      <c r="W71" s="23"/>
      <c r="X71" s="84"/>
      <c r="Y71" s="23"/>
      <c r="Z71" s="84"/>
      <c r="AA71" s="23"/>
      <c r="AB71" s="23"/>
      <c r="AC71" s="7"/>
      <c r="AD71" s="7"/>
      <c r="AE71" s="63" t="str">
        <f aca="false">IF(Tasks[[#This Row],[Task Name]]="","",IF(Tasks[[#This Row],[_IsSummary]],MIN(INDEX(Tasks[_ShownFcstStart],Tasks[[#This Row],[_Row]]+1):INDEX(Tasks[_ShownFcstStart],Tasks[[#This Row],[_Row]]+Tasks[[#This Row],[_Descendants]])),Tasks[[#This Row],[_ShownFcstStart]]))</f>
        <v/>
      </c>
      <c r="AF71" s="63"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1" s="7"/>
      <c r="AK71" s="22"/>
      <c r="AL71" s="23"/>
      <c r="AM71" s="7"/>
      <c r="AN71" s="47"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3" t="str">
        <f aca="false">IF(Tasks[[#This Row],[Task Name]]="","",IF(N(Tasks[[#This Row],[Baseline Start]])&gt;0,Tasks[[#This Row],[Baseline Start]],Tasks[[#This Row],[_CalcStart]]))</f>
        <v/>
      </c>
      <c r="AR71" s="63" t="str">
        <f aca="false">IF(Tasks[[#This Row],[Task Name]]="","",IF(N(Tasks[[#This Row],[Baseline Finish]])&gt;0,Tasks[[#This Row],[Baseline Finish]],Tasks[[#This Row],[_CalcFinish]]))</f>
        <v/>
      </c>
      <c r="AS71" s="47" t="str">
        <f aca="false">IF(Tasks[[#This Row],[Task Name]]="","",IF(Tasks[[#This Row],[Start]]&gt;=Tasks[[#This Row],[Planned Start]],NETWORKDAYS.INTL(Tasks[[#This Row],[Planned Start]],Tasks[[#This Row],[Start]],WorkWeek,Holidays)-1,1-NETWORKDAYS.INTL(Tasks[[#This Row],[Start]],Tasks[[#This Row],[Planned Start]],WorkWeek,Holidays)))</f>
        <v/>
      </c>
      <c r="AT71" s="63" t="str">
        <f aca="false">IF(Tasks[[#This Row],[Task Name]]="","",IF(Tasks[[#This Row],[_IsSummary]],MIN(INDEX(Tasks[_LeafLateStart],Tasks[[#This Row],[_Row]]+1):INDEX(Tasks[_LeafLateStart],Tasks[[#This Row],[_Row]]+Tasks[[#This Row],[_Descendants]])),Tasks[[#This Row],[_LeafLateStart]]))</f>
        <v/>
      </c>
      <c r="AU71" s="63" t="str">
        <f aca="false">IF(Tasks[[#This Row],[Task Name]]="","",IF(Tasks[[#This Row],[_IsSummary]],MAX(INDEX(Tasks[_LeafLateFinish],Tasks[[#This Row],[_Row]]+1):INDEX(Tasks[_LeafLateFinish],Tasks[[#This Row],[_Row]]+Tasks[[#This Row],[_Descendants]])),Tasks[[#This Row],[_LeafLateFinish]]))</f>
        <v/>
      </c>
      <c r="AV71" s="47"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5"/>
      <c r="BA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6"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7"/>
      <c r="BJ71" s="22"/>
      <c r="BK71" s="47" t="str">
        <f aca="false">IF(OR(Tasks[[#This Row],[Task Name]]="",Tasks[[#This Row],[Baseline Duration]]=""),"",Tasks[[#This Row],[_SpanDays]]-N(Tasks[[#This Row],[Baseline Duration]]))</f>
        <v/>
      </c>
      <c r="BL71" s="86" t="str">
        <f aca="false">IF(OR(Tasks[[#This Row],[Task Name]]="",Tasks[[#This Row],[Baseline Work]]=""),"",Tasks[[#This Row],[Work]]-N(Tasks[[#This Row],[Baseline Work]]))</f>
        <v/>
      </c>
      <c r="BM71" s="63" t="str">
        <f aca="false">IF(Tasks[[#This Row],[Task Name]]="","",IF(OR(TakeBaseline="Yes",N(Tasks[[#This Row],[Baseline Start]])=0),Tasks[[#This Row],[Start]],Tasks[[#This Row],[Baseline Start]]))</f>
        <v/>
      </c>
      <c r="BN71" s="63" t="str">
        <f aca="false">IF(Tasks[[#This Row],[Task Name]]="","",IF(OR(TakeBaseline="Yes",N(Tasks[[#This Row],[Baseline Finish]])=0),Tasks[[#This Row],[Finish]],Tasks[[#This Row],[Baseline Finish]]))</f>
        <v/>
      </c>
      <c r="BO71" s="21" t="str">
        <f aca="false">IF(Tasks[[#This Row],[Task Name]]="","",IF(OR(TakeBaseline="Yes",N(Tasks[[#This Row],[Baseline Duration]])=0),Tasks[[#This Row],[_SpanDays]],Tasks[[#This Row],[Baseline Duration]]))</f>
        <v/>
      </c>
      <c r="BP71" s="86" t="str">
        <f aca="false">IF(Tasks[[#This Row],[Task Name]]="","",IF(OR(TakeBaseline="Yes",N(Tasks[[#This Row],[Baseline Work]])=0),Tasks[[#This Row],[Work]],Tasks[[#This Row],[Baseline Work]]))</f>
        <v/>
      </c>
      <c r="BQ71" s="7"/>
      <c r="BR71" s="7"/>
      <c r="BS71" s="22"/>
      <c r="BT71" s="88"/>
      <c r="BU71" s="23"/>
      <c r="BV71" s="23"/>
      <c r="BW71" s="23"/>
      <c r="BX71" s="89" t="str">
        <f aca="false">IF(AND(Tasks[[#This Row],[_IsLeaf]]=1,ISNUMBER(Tasks[[#This Row],[Optimistic]]),ISNUMBER(Tasks[[#This Row],[Pessimistic]])),ROUND((Tasks[[#This Row],[Optimistic]]+4*N(Tasks[[#This Row],[_Days]])+Tasks[[#This Row],[Pessimistic]])/6,1),"")</f>
        <v/>
      </c>
      <c r="BY71" s="87"/>
      <c r="BZ71" s="87"/>
      <c r="CA71" s="22"/>
      <c r="CB71" s="43" t="str">
        <f aca="false">IF(Tasks[[#This Row],[Task Name]]="","",MAX(1,N(Tasks[[#This Row],[Level]])))</f>
        <v/>
      </c>
      <c r="CC71" s="43" t="n">
        <f aca="false">ROW()-ROW(Tasks[[#Headers],[ID]])</f>
        <v>66</v>
      </c>
      <c r="CD71" s="43" t="n">
        <f aca="false">IF(OR(Tasks[[#This Row],[Task Name]]="",Tasks[[#This Row],[_Level]]&lt;=1),0,IFERROR(LOOKUP(2,1/(Tasks[[#Headers],[_Level]]:Tasks[[#This Row],[_Level]]=Tasks[[#This Row],[_Level]]-1),ROW(Tasks[[#Headers],[_Level]]:Tasks[[#This Row],[_Level]])),0))</f>
        <v>0</v>
      </c>
      <c r="CE71" s="43" t="n">
        <f aca="false">IFERROR(N(INDEX(Tasks[_Level],Tasks[[#This Row],[_Row]]+1)),0)</f>
        <v>0</v>
      </c>
      <c r="CF71" s="90" t="b">
        <f aca="false">AND(Tasks[[#This Row],[Task Name]]&lt;&gt;"",Tasks[[#This Row],[_NextLevel]]&gt;Tasks[[#This Row],[_Level]])</f>
        <v>0</v>
      </c>
      <c r="CG71" s="43" t="n">
        <f aca="false">IF(Tasks[[#This Row],[_IsSummary]],COUNTIF(Tasks[WBS],Tasks[[#This Row],[WBS]]&amp;".*"),0)</f>
        <v>0</v>
      </c>
      <c r="CH71" s="43" t="n">
        <f aca="false">IF(AND(Tasks[[#This Row],[Task Name]]&lt;&gt;"",NOT(Tasks[[#This Row],[_IsSummary]])),1,0)</f>
        <v>0</v>
      </c>
      <c r="CI71" s="43" t="n">
        <f aca="false">IF(N(Tasks[[#This Row],[_Pred1UID]])=0,0,IFERROR(MATCH(Tasks[[#This Row],[_Pred1UID]],Tasks[UID],0),-1))</f>
        <v>0</v>
      </c>
      <c r="CJ71" s="43" t="n">
        <f aca="false">IF(N(Tasks[[#This Row],[_Pred2UID]])=0,0,IFERROR(MATCH(Tasks[[#This Row],[_Pred2UID]],Tasks[UID],0),-1))</f>
        <v>0</v>
      </c>
      <c r="CK71" s="43" t="n">
        <f aca="false">IF(N(Tasks[[#This Row],[_Pred3UID]])=0,0,IFERROR(MATCH(Tasks[[#This Row],[_Pred3UID]],Tasks[UID],0),-1))</f>
        <v>0</v>
      </c>
      <c r="CL71" s="43" t="n">
        <f aca="false">IF(N(Tasks[[#This Row],[_Pred4UID]])=0,0,IFERROR(MATCH(Tasks[[#This Row],[_Pred4UID]],Tasks[UID],0),-1))</f>
        <v>0</v>
      </c>
      <c r="CM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1" s="91" t="n">
        <f aca="false">IF(OR(Tasks[[#This Row],[_ConstraintCode]]=2,Tasks[[#This Row],[_ConstraintCode]]=3,Tasks[[#This Row],[_ConstraintCode]]=4,Tasks[[#This Row],[_ConstraintCode]]=6),Tasks[[#This Row],[_ConstraintStart]],0)</f>
        <v>0</v>
      </c>
      <c r="CP71" s="91" t="n">
        <f aca="false">IF(OR(Tasks[[#This Row],[_ConstraintCode]]=2,Tasks[[#This Row],[_ConstraintCode]]=3,Tasks[[#This Row],[_ConstraintCode]]=5,Tasks[[#This Row],[_ConstraintCode]]=7),Tasks[[#This Row],[_ConstraintStart]],2958465)</f>
        <v>2958465</v>
      </c>
      <c r="CQ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91" t="str">
        <f aca="false">IF(NOT(Tasks[[#This Row],[_IsLeaf]]=1),"",IF(N(Tasks[[#This Row],[_Days]])&lt;=0,Tasks[[#This Row],[_LeafCalcStart]],WORKDAY.INTL(Tasks[[#This Row],[_LeafCalcStart]],Tasks[[#This Row],[_Days]]-1,WorkWeek,Holidays)))</f>
        <v/>
      </c>
      <c r="CS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3" t="str">
        <f aca="false">IF(Tasks[[#This Row],[_Predecessors]]="","",TRIM(MID(SUBSTITUTE(SUBSTITUTE(SUBSTITUTE(UPPER(Tasks[[#This Row],[_Predecessors]]),";",",")," ",""),",",REPT(" ",99)),1,99)))</f>
        <v/>
      </c>
      <c r="CV71" s="43" t="str">
        <f aca="false">IF(Tasks[[#This Row],[_Pred1Text]]="","",IFERROR(VALUE(LEFT(Tasks[[#This Row],[_Pred1Text]],MIN(FIND("F",Tasks[[#This Row],[_Pred1Text]]&amp;"F"),FIND("S",Tasks[[#This Row],[_Pred1Text]]&amp;"S"),FIND("+",Tasks[[#This Row],[_Pred1Text]]&amp;"+"),FIND("-",Tasks[[#This Row],[_Pred1Text]]&amp;"-"))-1)),""))</f>
        <v/>
      </c>
      <c r="CW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3" t="str">
        <f aca="false">IF(Tasks[[#This Row],[_Pred1Text]]="","",TRIM(MID(SUBSTITUTE(SUBSTITUTE(SUBSTITUTE(UPPER(Tasks[[#This Row],[_Predecessors]]),";",",")," ",""),",",REPT(" ",99)),100,99)))</f>
        <v/>
      </c>
      <c r="CZ71" s="43" t="str">
        <f aca="false">IF(Tasks[[#This Row],[_Pred2Text]]="","",IFERROR(VALUE(LEFT(Tasks[[#This Row],[_Pred2Text]],MIN(FIND("F",Tasks[[#This Row],[_Pred2Text]]&amp;"F"),FIND("S",Tasks[[#This Row],[_Pred2Text]]&amp;"S"),FIND("+",Tasks[[#This Row],[_Pred2Text]]&amp;"+"),FIND("-",Tasks[[#This Row],[_Pred2Text]]&amp;"-"))-1)),""))</f>
        <v/>
      </c>
      <c r="DA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3" t="str">
        <f aca="false">IF(Tasks[[#This Row],[_Pred2Text]]="","",TRIM(MID(SUBSTITUTE(SUBSTITUTE(SUBSTITUTE(UPPER(Tasks[[#This Row],[_Predecessors]]),";",",")," ",""),",",REPT(" ",99)),199,99)))</f>
        <v/>
      </c>
      <c r="DD71" s="43" t="str">
        <f aca="false">IF(Tasks[[#This Row],[_Pred3Text]]="","",IFERROR(VALUE(LEFT(Tasks[[#This Row],[_Pred3Text]],MIN(FIND("F",Tasks[[#This Row],[_Pred3Text]]&amp;"F"),FIND("S",Tasks[[#This Row],[_Pred3Text]]&amp;"S"),FIND("+",Tasks[[#This Row],[_Pred3Text]]&amp;"+"),FIND("-",Tasks[[#This Row],[_Pred3Text]]&amp;"-"))-1)),""))</f>
        <v/>
      </c>
      <c r="DE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3" t="str">
        <f aca="false">IF(Tasks[[#This Row],[_Pred3Text]]="","",TRIM(MID(SUBSTITUTE(SUBSTITUTE(SUBSTITUTE(UPPER(Tasks[[#This Row],[_Predecessors]]),";",",")," ",""),",",REPT(" ",99)),298,99)))</f>
        <v/>
      </c>
      <c r="DH71" s="43" t="str">
        <f aca="false">IF(Tasks[[#This Row],[_Pred4Text]]="","",IFERROR(VALUE(LEFT(Tasks[[#This Row],[_Pred4Text]],MIN(FIND("F",Tasks[[#This Row],[_Pred4Text]]&amp;"F"),FIND("S",Tasks[[#This Row],[_Pred4Text]]&amp;"S"),FIND("+",Tasks[[#This Row],[_Pred4Text]]&amp;"+"),FIND("-",Tasks[[#This Row],[_Pred4Text]]&amp;"-"))-1)),""))</f>
        <v/>
      </c>
      <c r="DI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3" t="str">
        <f aca="false">IF(OR(Tasks[[#This Row],[Task Name]]="",Tasks[[#This Row],[_Resources]]=""),"",TRIM(MID(SUBSTITUTE(Tasks[[#This Row],[_Resources]],",",REPT(" ",99)),1,99)))</f>
        <v/>
      </c>
      <c r="DL71" s="43" t="str">
        <f aca="false">IF(Tasks[[#This Row],[_Res1Text]]="","",TRIM(MID(SUBSTITUTE(Tasks[[#This Row],[_Resources]],",",REPT(" ",99)),100,99)))</f>
        <v/>
      </c>
      <c r="DM71" s="43" t="str">
        <f aca="false">IF(Tasks[[#This Row],[_Res2Text]]="","",TRIM(MID(SUBSTITUTE(Tasks[[#This Row],[_Resources]],",",REPT(" ",99)),199,99)))</f>
        <v/>
      </c>
      <c r="DN71" s="43" t="str">
        <f aca="false">IF(Tasks[[#This Row],[_Res3Text]]="","",TRIM(MID(SUBSTITUTE(Tasks[[#This Row],[_Resources]],",",REPT(" ",99)),298,99)))</f>
        <v/>
      </c>
      <c r="DO71" s="43" t="n">
        <f aca="false">IF(Tasks[[#This Row],[_Res1Text]]="",0,IFERROR(MATCH(TRIM(LEFT(Tasks[[#This Row],[_Res1Text]],FIND("[",Tasks[[#This Row],[_Res1Text]]&amp;"[")-1)),res_Name,0),IFERROR(MATCH(TRIM(LEFT(Tasks[[#This Row],[_Res1Text]],FIND("[",Tasks[[#This Row],[_Res1Text]]&amp;"[")-1)),res_Initials,0),0)))</f>
        <v>0</v>
      </c>
      <c r="DP71" s="43" t="n">
        <f aca="false">IF(Tasks[[#This Row],[_Res2Text]]="",0,IFERROR(MATCH(TRIM(LEFT(Tasks[[#This Row],[_Res2Text]],FIND("[",Tasks[[#This Row],[_Res2Text]]&amp;"[")-1)),res_Name,0),IFERROR(MATCH(TRIM(LEFT(Tasks[[#This Row],[_Res2Text]],FIND("[",Tasks[[#This Row],[_Res2Text]]&amp;"[")-1)),res_Initials,0),0)))</f>
        <v>0</v>
      </c>
      <c r="DQ71" s="43" t="n">
        <f aca="false">IF(Tasks[[#This Row],[_Res3Text]]="",0,IFERROR(MATCH(TRIM(LEFT(Tasks[[#This Row],[_Res3Text]],FIND("[",Tasks[[#This Row],[_Res3Text]]&amp;"[")-1)),res_Name,0),IFERROR(MATCH(TRIM(LEFT(Tasks[[#This Row],[_Res3Text]],FIND("[",Tasks[[#This Row],[_Res3Text]]&amp;"[")-1)),res_Initials,0),0)))</f>
        <v>0</v>
      </c>
      <c r="DR71" s="43" t="n">
        <f aca="false">IF(Tasks[[#This Row],[_Res4Text]]="",0,IFERROR(MATCH(TRIM(LEFT(Tasks[[#This Row],[_Res4Text]],FIND("[",Tasks[[#This Row],[_Res4Text]]&amp;"[")-1)),res_Name,0),IFERROR(MATCH(TRIM(LEFT(Tasks[[#This Row],[_Res4Text]],FIND("[",Tasks[[#This Row],[_Res4Text]]&amp;"[")-1)),res_Initials,0),0)))</f>
        <v>0</v>
      </c>
      <c r="DS71" s="43" t="str">
        <f aca="false">IF(Tasks[[#This Row],[_Res1Text]]="","",IF(Tasks[[#This Row],[_Res1Row]]&gt;0,INDEX(res_Name,Tasks[[#This Row],[_Res1Row]]),TRIM(LEFT(Tasks[[#This Row],[_Res1Text]],FIND("[",Tasks[[#This Row],[_Res1Text]]&amp;"[")-1))))</f>
        <v/>
      </c>
      <c r="DT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3" t="n">
        <f aca="false">IF(NOT(Tasks[[#This Row],[_IsLeaf]]=1),0,(Tasks[[#This Row],[_Resource1]]&lt;&gt;"")+(Tasks[[#This Row],[_Res2]]&lt;&gt;"")+(Tasks[[#This Row],[_Res3]]&lt;&gt;"")+(Tasks[[#This Row],[_Res4]]&lt;&gt;""))</f>
        <v>0</v>
      </c>
      <c r="DV71" s="43" t="str">
        <f aca="false">IF(Tasks[[#This Row],[_Res2Text]]="","",IF(Tasks[[#This Row],[_Res2Row]]&gt;0,INDEX(res_Name,Tasks[[#This Row],[_Res2Row]]),TRIM(LEFT(Tasks[[#This Row],[_Res2Text]],FIND("[",Tasks[[#This Row],[_Res2Text]]&amp;"[")-1))))</f>
        <v/>
      </c>
      <c r="DW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3" t="n">
        <f aca="false">IF(OR(NOT(Tasks[[#This Row],[_IsLeaf]]=1),Tasks[[#This Row],[_Res2Row]]=0),0,N(Tasks[[#This Row],[_Days]])*HoursPerDay*IF(Tasks[[#This Row],[_Res2Units]]="",DefaultUnits,Tasks[[#This Row],[_Res2Units]]))</f>
        <v>0</v>
      </c>
      <c r="DY71" s="43" t="n">
        <f aca="false">IF(AND(AND(Tasks[[#This Row],[_IsLeaf]]=1,Tasks[[#This Row],[_LeafTotalWork]]&gt;0),Tasks[[#This Row],[_Res2Work]]&gt;0),Tasks[[#This Row],[_Res2Work]]/(Tasks[[#This Row],[_FinishWorkday]]-Tasks[[#This Row],[_StartWorkday]]+1),0)</f>
        <v>0</v>
      </c>
      <c r="DZ71" s="43" t="n">
        <f aca="false">Tasks[[#This Row],[_Res2WorkPerWD]]*MAX(0,Tasks[[#This Row],[_StartWorkday]]-1)</f>
        <v>0</v>
      </c>
      <c r="EA71" s="43" t="n">
        <f aca="false">Tasks[[#This Row],[_Res2Work]]*Tasks[[#This Row],[_LeafProgress]]</f>
        <v>0</v>
      </c>
      <c r="EB71" s="43" t="str">
        <f aca="false">IF(Tasks[[#This Row],[_Res3Text]]="","",IF(Tasks[[#This Row],[_Res3Row]]&gt;0,INDEX(res_Name,Tasks[[#This Row],[_Res3Row]]),TRIM(LEFT(Tasks[[#This Row],[_Res3Text]],FIND("[",Tasks[[#This Row],[_Res3Text]]&amp;"[")-1))))</f>
        <v/>
      </c>
      <c r="EC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3" t="n">
        <f aca="false">IF(OR(NOT(Tasks[[#This Row],[_IsLeaf]]=1),Tasks[[#This Row],[_Res3Row]]=0),0,N(Tasks[[#This Row],[_Days]])*HoursPerDay*IF(Tasks[[#This Row],[_Res3Units]]="",DefaultUnits,Tasks[[#This Row],[_Res3Units]]))</f>
        <v>0</v>
      </c>
      <c r="EE71" s="43" t="n">
        <f aca="false">IF(AND(AND(Tasks[[#This Row],[_IsLeaf]]=1,Tasks[[#This Row],[_LeafTotalWork]]&gt;0),Tasks[[#This Row],[_Res3Work]]&gt;0),Tasks[[#This Row],[_Res3Work]]/(Tasks[[#This Row],[_FinishWorkday]]-Tasks[[#This Row],[_StartWorkday]]+1),0)</f>
        <v>0</v>
      </c>
      <c r="EF71" s="43" t="n">
        <f aca="false">Tasks[[#This Row],[_Res3WorkPerWD]]*MAX(0,Tasks[[#This Row],[_StartWorkday]]-1)</f>
        <v>0</v>
      </c>
      <c r="EG71" s="43" t="n">
        <f aca="false">Tasks[[#This Row],[_Res3Work]]*Tasks[[#This Row],[_LeafProgress]]</f>
        <v>0</v>
      </c>
      <c r="EH71" s="43" t="str">
        <f aca="false">IF(Tasks[[#This Row],[_Res4Text]]="","",IF(Tasks[[#This Row],[_Res4Row]]&gt;0,INDEX(res_Name,Tasks[[#This Row],[_Res4Row]]),TRIM(LEFT(Tasks[[#This Row],[_Res4Text]],FIND("[",Tasks[[#This Row],[_Res4Text]]&amp;"[")-1))))</f>
        <v/>
      </c>
      <c r="EI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3" t="n">
        <f aca="false">IF(OR(NOT(Tasks[[#This Row],[_IsLeaf]]=1),Tasks[[#This Row],[_Res4Row]]=0),0,N(Tasks[[#This Row],[_Days]])*HoursPerDay*IF(Tasks[[#This Row],[_Res4Units]]="",DefaultUnits,Tasks[[#This Row],[_Res4Units]]))</f>
        <v>0</v>
      </c>
      <c r="EK71" s="43" t="n">
        <f aca="false">IF(AND(AND(Tasks[[#This Row],[_IsLeaf]]=1,Tasks[[#This Row],[_LeafTotalWork]]&gt;0),Tasks[[#This Row],[_Res4Work]]&gt;0),Tasks[[#This Row],[_Res4Work]]/(Tasks[[#This Row],[_FinishWorkday]]-Tasks[[#This Row],[_StartWorkday]]+1),0)</f>
        <v>0</v>
      </c>
      <c r="EL71" s="43" t="n">
        <f aca="false">Tasks[[#This Row],[_Res4WorkPerWD]]*MAX(0,Tasks[[#This Row],[_StartWorkday]]-1)</f>
        <v>0</v>
      </c>
      <c r="EM71" s="43" t="n">
        <f aca="false">Tasks[[#This Row],[_Res4Work]]*Tasks[[#This Row],[_LeafProgress]]</f>
        <v>0</v>
      </c>
      <c r="EN71" s="43" t="n">
        <f aca="false">IF(ISNUMBER(Tasks[[#This Row],[% Complete]]),Tasks[[#This Row],[% Complete]],IF(Tasks[[#This Row],[Stage]]="",0,IFERROR(INDEX(stg_Pct,MATCH(Tasks[[#This Row],[Stage]],stg_Name,0)),0)))</f>
        <v>0</v>
      </c>
      <c r="EO71" s="43" t="n">
        <f aca="false">IF(NOT(Tasks[[#This Row],[_IsLeaf]]=1),0,IF(N(Tasks[[#This Row],[Actual Finish]])&gt;0,1,MIN(1,Tasks[[#This Row],[_Pct]])))</f>
        <v>0</v>
      </c>
      <c r="EP71" s="43" t="n">
        <f aca="false">IF(OR(NOT(Tasks[[#This Row],[_IsLeaf]]=1),Tasks[[#This Row],[_Res1Row]]=0),0,N(Tasks[[#This Row],[_Days]])*HoursPerDay*IF(Tasks[[#This Row],[_Units1]]="",DefaultUnits,Tasks[[#This Row],[_Units1]]))</f>
        <v>0</v>
      </c>
      <c r="EQ71" s="43" t="n">
        <f aca="false">Tasks[[#This Row],[_LeafWork]]+Tasks[[#This Row],[_Res2Work]]+Tasks[[#This Row],[_Res3Work]]+Tasks[[#This Row],[_Res4Work]]</f>
        <v>0</v>
      </c>
      <c r="ER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3" t="n">
        <f aca="false">IF(NOT(Tasks[[#This Row],[_IsLeaf]]=1),0,MAX(_xlfn.MAXIFS(Tasks[_Row],Tasks[_Pred1UID],Tasks[[#This Row],[UID]]),_xlfn.MAXIFS(Tasks[_Row],Tasks[_Pred2UID],Tasks[[#This Row],[UID]]),_xlfn.MAXIFS(Tasks[_Row],Tasks[_Pred3UID],Tasks[[#This Row],[UID]]),_xlfn.MAXIFS(Tasks[_Row],Tasks[_Pred4UID],Tasks[[#This Row],[UID]])))</f>
        <v>0</v>
      </c>
      <c r="FA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91" t="str">
        <f aca="false">IF(NOT(Tasks[[#This Row],[_IsLeaf]]=1),"",IF(N(Tasks[[#This Row],[_Days]])&lt;=0,Tasks[[#This Row],[_LeafLateFinish]],WORKDAY.INTL(Tasks[[#This Row],[_LeafLateFinish]],-(Tasks[[#This Row],[_Days]]-1),WorkWeek,Holidays)))</f>
        <v/>
      </c>
      <c r="FD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1" s="90" t="b">
        <f aca="false">AND(Tasks[[#This Row],[_IsLeaf]]=1,Tasks[[#This Row],[_LeafProgress]]&lt;1,N(Tasks[[#This Row],[_LeafTotalSlack]])&lt;=CriticalSlackDays)</f>
        <v>0</v>
      </c>
      <c r="FF71" s="43" t="n">
        <f aca="false">IF(AND(Tasks[[#This Row],[_IsLeaf]]=1,Tasks[[#This Row],[_ConstraintCode]]=1,Tasks[[#This Row],[Mode]]&lt;&gt;"Manual",N(Tasks[[#This Row],[Actual Start]])=0),MAX(0,N(Tasks[[#This Row],[Free Slack]])),0)</f>
        <v>0</v>
      </c>
      <c r="FG71" s="91" t="str">
        <f aca="false">IF(NOT(Tasks[[#This Row],[_IsLeaf]]=1),"",IF(Tasks[[#This Row],[_AlapShift]]=0,Tasks[[#This Row],[_LeafCalcStart]],WORKDAY.INTL(Tasks[[#This Row],[_LeafCalcStart]],Tasks[[#This Row],[_AlapShift]],WorkWeek,Holidays)))</f>
        <v/>
      </c>
      <c r="FH71" s="91" t="str">
        <f aca="false">IF(NOT(Tasks[[#This Row],[_IsLeaf]]=1),"",IF(Tasks[[#This Row],[_AlapShift]]=0,Tasks[[#This Row],[_LeafCalcFinish]],WORKDAY.INTL(Tasks[[#This Row],[_LeafCalcFinish]],Tasks[[#This Row],[_AlapShift]],WorkWeek,Holidays)))</f>
        <v/>
      </c>
      <c r="FI71" s="91" t="str">
        <f aca="false">IF(NOT(Tasks[[#This Row],[_IsLeaf]]=1),"",IF(Tasks[[#This Row],[_AlapShift]]=0,Tasks[[#This Row],[_LeafFcstStart]],WORKDAY.INTL(Tasks[[#This Row],[_LeafFcstStart]],Tasks[[#This Row],[_AlapShift]],WorkWeek,Holidays)))</f>
        <v/>
      </c>
      <c r="FJ71" s="91" t="str">
        <f aca="false">IF(NOT(Tasks[[#This Row],[_IsLeaf]]=1),"",IF(Tasks[[#This Row],[_AlapShift]]=0,Tasks[[#This Row],[_LeafFcstFinish]],WORKDAY.INTL(Tasks[[#This Row],[_LeafFcstFinish]],Tasks[[#This Row],[_AlapShift]],WorkWeek,Holidays)))</f>
        <v/>
      </c>
      <c r="FK71" s="91" t="str">
        <f aca="false">IF(Tasks[[#This Row],[Task Name]]="","",IF(Tasks[[#This Row],[_IsSummary]],MIN(INDEX(Tasks[_ShownCalcStart],Tasks[[#This Row],[_Row]]+1):INDEX(Tasks[_ShownCalcStart],Tasks[[#This Row],[_Row]]+Tasks[[#This Row],[_Descendants]])),Tasks[[#This Row],[_ShownCalcStart]]))</f>
        <v/>
      </c>
      <c r="FL71" s="91" t="str">
        <f aca="false">IF(Tasks[[#This Row],[Task Name]]="","",IF(Tasks[[#This Row],[_IsSummary]],MAX(INDEX(Tasks[_ShownCalcFinish],Tasks[[#This Row],[_Row]]+1):INDEX(Tasks[_ShownCalcFinish],Tasks[[#This Row],[_Row]]+Tasks[[#This Row],[_Descendants]])),Tasks[[#This Row],[_ShownCalcFinish]]))</f>
        <v/>
      </c>
      <c r="FM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1" s="43" t="n">
        <f aca="false">IF(AND(Tasks[[#This Row],[_IsLeaf]]=1,Tasks[[#This Row],[_LeafTotalWork]]&gt;0),NETWORKDAYS.INTL(ProjectStart,Tasks[[#This Row],[_ShownFcstStart]],WorkWeek,Holidays),0)</f>
        <v>0</v>
      </c>
      <c r="FZ71" s="43" t="n">
        <f aca="false">IF(AND(Tasks[[#This Row],[_IsLeaf]]=1,Tasks[[#This Row],[_LeafTotalWork]]&gt;0),MAX(Tasks[[#This Row],[_StartWorkday]],NETWORKDAYS.INTL(ProjectStart,Tasks[[#This Row],[_ShownFcstFinish]],WorkWeek,Holidays)),0)</f>
        <v>0</v>
      </c>
      <c r="GA71" s="43" t="n">
        <f aca="false">IF(AND(Tasks[[#This Row],[_IsLeaf]]=1,Tasks[[#This Row],[_LeafTotalWork]]&gt;0),Tasks[[#This Row],[_LeafWork]]/(Tasks[[#This Row],[_FinishWorkday]]-Tasks[[#This Row],[_StartWorkday]]+1),0)</f>
        <v>0</v>
      </c>
      <c r="GB71" s="43" t="n">
        <f aca="false">Tasks[[#This Row],[_WorkPerWorkday]]*(Tasks[[#This Row],[_StartWorkday]]-1)</f>
        <v>-0</v>
      </c>
      <c r="GC71" s="43" t="n">
        <f aca="false">IF(Tasks[[#This Row],[_IsLeaf]]=1,MAX(N(Tasks[[#This Row],[_Days]]),0.1),0)</f>
        <v>0</v>
      </c>
      <c r="GD71" s="43" t="n">
        <f aca="false">Tasks[[#This Row],[_WeightDur]]*Tasks[[#This Row],[_LeafProgress]]</f>
        <v>0</v>
      </c>
      <c r="GE71" s="43" t="n">
        <f aca="false">Tasks[[#This Row],[_WeightDur]]*Tasks[[#This Row],[_PlannedPct]]</f>
        <v>0</v>
      </c>
      <c r="GF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3" t="str">
        <f aca="false">IF(AND(Tasks[[#This Row],[_IsLeaf]]=1,N(Tasks[[#This Row],[_Days]])=0,Tasks[[#This Row],[_LeafProgress]]&lt;1),Tasks[[#This Row],[_ShownFcstFinish]]+Tasks[[#This Row],[_Row]]/100000,"")</f>
        <v/>
      </c>
      <c r="GH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1" s="43" t="str">
        <f aca="false">IF(Tasks[[#This Row],[Task Name]]="","",LEFT(Tasks[[#This Row],[WBS]],FIND(".",Tasks[[#This Row],[WBS]]&amp;".")-1))</f>
        <v/>
      </c>
      <c r="GJ71" s="43" t="str">
        <f aca="false">IF(AND(Tasks[[#This Row],[Task Name]]&lt;&gt;"",Tasks[[#This Row],[_Level]]=1),Tasks[[#This Row],[_Row]],"")</f>
        <v/>
      </c>
      <c r="GK71" s="43" t="str">
        <f aca="false">IF(AND(Tasks[[#This Row],[_IsLeaf]]=1,N(Tasks[[#This Row],[_Days]])=0),Tasks[[#This Row],[Planned Finish]]+Tasks[[#This Row],[_Row]]/100000,"")</f>
        <v/>
      </c>
      <c r="GL71" s="43" t="str">
        <f aca="false">IF(AND(Tasks[[#This Row],[_IsLeaf]]=1,Tasks[[#This Row],[_LeafProgress]]&lt;1,OR(N(Tasks[[#This Row],[Finish Var]])&gt;0,Tasks[[#This Row],[Status]]="Late Start")),MAX(0,Tasks[[#This Row],[Finish Var]])+1-Tasks[[#This Row],[_Row]]/1000000,"")</f>
        <v/>
      </c>
      <c r="GM71" s="43" t="str">
        <f aca="false">IF(AND(Tasks[[#This Row],[_IsLeaf]]=1,N(Tasks[[#This Row],[Actual Start]])=0,Tasks[[#This Row],[_ShownFcstStart]]&gt;=StatusDate,Tasks[[#This Row],[_ShownFcstStart]]&lt;=LookaheadEnd),Tasks[[#This Row],[_ShownFcstStart]]+Tasks[[#This Row],[_Row]]/100000,"")</f>
        <v/>
      </c>
      <c r="GN71" s="43" t="str">
        <f aca="false">IF(AND(Tasks[[#This Row],[_IsLeaf]]=1,Tasks[[#This Row],[_LeafProgress]]&lt;1,Tasks[[#This Row],[_ShownFcstFinish]]&gt;=StatusDate,Tasks[[#This Row],[_ShownFcstFinish]]&lt;=LookaheadEnd),Tasks[[#This Row],[_ShownFcstFinish]]+Tasks[[#This Row],[_Row]]/100000,"")</f>
        <v/>
      </c>
      <c r="GO71" s="43" t="str">
        <f aca="false">IF(Tasks[[#This Row],[_LeafCritical]],Tasks[[#This Row],[_ShownFcstStart]]+Tasks[[#This Row],[_Row]]/100000,"")</f>
        <v/>
      </c>
      <c r="GP71" s="43" t="n">
        <f aca="false">Tasks[[#This Row],[_LeafWork]]*Tasks[[#This Row],[_LeafProgress]]</f>
        <v>0</v>
      </c>
      <c r="GQ71" s="91" t="str">
        <f aca="false">IF(AND(Tasks[[#This Row],[_IsLeaf]]=1,Tasks[[#This Row],[_LeafProgress]]&gt;=1),IF(N(Tasks[[#This Row],[Actual Finish]])&gt;0,Tasks[[#This Row],[Actual Finish]],Tasks[[#This Row],[_ShownFcstFinish]]),"")</f>
        <v/>
      </c>
      <c r="GR71" s="43" t="n">
        <f aca="false">IF(Tasks[[#This Row],[_IsLeaf]]=1,N(Tasks[[#This Row],[Story Points]]),0)</f>
        <v>0</v>
      </c>
      <c r="GS71" s="43" t="str">
        <f aca="false">""</f>
        <v/>
      </c>
      <c r="GT71" s="90" t="b">
        <f aca="false">IF(Tasks[[#This Row],[Task Name]]="",FALSE(),AND(Tasks[[#This Row],[_IsLeaf]]=1,N(Tasks[[#This Row],[_Days]])=0))</f>
        <v>0</v>
      </c>
      <c r="GU71" s="91" t="n">
        <f aca="false">IF(Tasks[[#This Row],[Task Name]]="",0,IF(AND(Tasks[[#This Row],[_IsLeaf]]=1,NOT(Tasks[[#This Row],[_IsMilestone]]),N(Tasks[[#This Row],[Progress]])&gt;0),Tasks[[#This Row],[Start]],0))</f>
        <v>0</v>
      </c>
      <c r="GV71" s="91" t="n">
        <f aca="false">IF(Tasks[[#This Row],[_DoneFrom]]=0,0,IF(Tasks[[#This Row],[Progress]]&gt;=1,Tasks[[#This Row],[Finish]],MAX(Tasks[[#This Row],[_DoneFrom]],Tasks[[#This Row],[Start]]+ROUND((Tasks[[#This Row],[Finish]]-Tasks[[#This Row],[Start]]+1)*Tasks[[#This Row],[Progress]],0)-1)))</f>
        <v>0</v>
      </c>
      <c r="GW71" s="91" t="n">
        <f aca="false">IF(Tasks[[#This Row],[Task Name]]="",0,IF(OR(NOT(Tasks[[#This Row],[_IsLeaf]]=1),Tasks[[#This Row],[_IsMilestone]],N(Tasks[[#This Row],[Progress]])&gt;=1),0,IF(Tasks[[#This Row],[_DoneTo]]&gt;0,Tasks[[#This Row],[_DoneTo]]+1,Tasks[[#This Row],[Start]])))</f>
        <v>0</v>
      </c>
      <c r="GX71" s="91" t="n">
        <f aca="false">IF(Tasks[[#This Row],[_RemFrom]]=0,0,Tasks[[#This Row],[Finish]])</f>
        <v>0</v>
      </c>
      <c r="GY71" s="90" t="b">
        <f aca="false">IF(Tasks[[#This Row],[Task Name]]="",FALSE(),OR(NOT(BaselineSet),N(Tasks[[#This Row],[Baseline Start]])&gt;0))</f>
        <v>0</v>
      </c>
      <c r="GZ7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92" t="str">
        <f aca="false">IF(Tasks[[#This Row],[_IsLeaf]]=1,Tasks[[#This Row],[_Row]],"")</f>
        <v/>
      </c>
      <c r="HD71" s="92" t="str">
        <f aca="false">IFERROR(INDEX(Tasks[UID],SMALL(Tasks[_PickKey],Tasks[[#This Row],[_Row]]))&amp;" "&amp;INDEX(Tasks[Task Name],SMALL(Tasks[_PickKey],Tasks[[#This Row],[_Row]])),"")</f>
        <v/>
      </c>
      <c r="HE71" s="43" t="str">
        <f aca="false">IF(Tasks[[#This Row],[Task Name]]="","",IF(Tasks[[#This Row],[_IsSummary]],NETWORKDAYS.INTL(Tasks[[#This Row],[Start]],Tasks[[#This Row],[Finish]],WorkWeek,Holidays),N(Tasks[[#This Row],[_Days]])))</f>
        <v/>
      </c>
      <c r="HF71" s="43" t="n">
        <f aca="false">IF(Tasks[[#This Row],[Expected]]="",0,((Tasks[[#This Row],[Pessimistic]]-Tasks[[#This Row],[Optimistic]])/6)^2)</f>
        <v>0</v>
      </c>
      <c r="HG71" s="43" t="n">
        <f aca="false">IF(Tasks[[#This Row],[Expected]]="",0,Tasks[[#This Row],[Expected]]-N(Tasks[[#This Row],[_Days]]))</f>
        <v>0</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4"/>
      <c r="U72" s="23"/>
      <c r="V72" s="84"/>
      <c r="W72" s="23"/>
      <c r="X72" s="84"/>
      <c r="Y72" s="23"/>
      <c r="Z72" s="84"/>
      <c r="AA72" s="23"/>
      <c r="AB72" s="23"/>
      <c r="AC72" s="7"/>
      <c r="AD72" s="7"/>
      <c r="AE72" s="63" t="str">
        <f aca="false">IF(Tasks[[#This Row],[Task Name]]="","",IF(Tasks[[#This Row],[_IsSummary]],MIN(INDEX(Tasks[_ShownFcstStart],Tasks[[#This Row],[_Row]]+1):INDEX(Tasks[_ShownFcstStart],Tasks[[#This Row],[_Row]]+Tasks[[#This Row],[_Descendants]])),Tasks[[#This Row],[_ShownFcstStart]]))</f>
        <v/>
      </c>
      <c r="AF72" s="63"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2" s="7"/>
      <c r="AK72" s="22"/>
      <c r="AL72" s="23"/>
      <c r="AM72" s="7"/>
      <c r="AN72" s="47"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3" t="str">
        <f aca="false">IF(Tasks[[#This Row],[Task Name]]="","",IF(N(Tasks[[#This Row],[Baseline Start]])&gt;0,Tasks[[#This Row],[Baseline Start]],Tasks[[#This Row],[_CalcStart]]))</f>
        <v/>
      </c>
      <c r="AR72" s="63" t="str">
        <f aca="false">IF(Tasks[[#This Row],[Task Name]]="","",IF(N(Tasks[[#This Row],[Baseline Finish]])&gt;0,Tasks[[#This Row],[Baseline Finish]],Tasks[[#This Row],[_CalcFinish]]))</f>
        <v/>
      </c>
      <c r="AS72" s="47" t="str">
        <f aca="false">IF(Tasks[[#This Row],[Task Name]]="","",IF(Tasks[[#This Row],[Start]]&gt;=Tasks[[#This Row],[Planned Start]],NETWORKDAYS.INTL(Tasks[[#This Row],[Planned Start]],Tasks[[#This Row],[Start]],WorkWeek,Holidays)-1,1-NETWORKDAYS.INTL(Tasks[[#This Row],[Start]],Tasks[[#This Row],[Planned Start]],WorkWeek,Holidays)))</f>
        <v/>
      </c>
      <c r="AT72" s="63" t="str">
        <f aca="false">IF(Tasks[[#This Row],[Task Name]]="","",IF(Tasks[[#This Row],[_IsSummary]],MIN(INDEX(Tasks[_LeafLateStart],Tasks[[#This Row],[_Row]]+1):INDEX(Tasks[_LeafLateStart],Tasks[[#This Row],[_Row]]+Tasks[[#This Row],[_Descendants]])),Tasks[[#This Row],[_LeafLateStart]]))</f>
        <v/>
      </c>
      <c r="AU72" s="63" t="str">
        <f aca="false">IF(Tasks[[#This Row],[Task Name]]="","",IF(Tasks[[#This Row],[_IsSummary]],MAX(INDEX(Tasks[_LeafLateFinish],Tasks[[#This Row],[_Row]]+1):INDEX(Tasks[_LeafLateFinish],Tasks[[#This Row],[_Row]]+Tasks[[#This Row],[_Descendants]])),Tasks[[#This Row],[_LeafLateFinish]]))</f>
        <v/>
      </c>
      <c r="AV72" s="47"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5"/>
      <c r="BA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6"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7"/>
      <c r="BJ72" s="22"/>
      <c r="BK72" s="47" t="str">
        <f aca="false">IF(OR(Tasks[[#This Row],[Task Name]]="",Tasks[[#This Row],[Baseline Duration]]=""),"",Tasks[[#This Row],[_SpanDays]]-N(Tasks[[#This Row],[Baseline Duration]]))</f>
        <v/>
      </c>
      <c r="BL72" s="86" t="str">
        <f aca="false">IF(OR(Tasks[[#This Row],[Task Name]]="",Tasks[[#This Row],[Baseline Work]]=""),"",Tasks[[#This Row],[Work]]-N(Tasks[[#This Row],[Baseline Work]]))</f>
        <v/>
      </c>
      <c r="BM72" s="63" t="str">
        <f aca="false">IF(Tasks[[#This Row],[Task Name]]="","",IF(OR(TakeBaseline="Yes",N(Tasks[[#This Row],[Baseline Start]])=0),Tasks[[#This Row],[Start]],Tasks[[#This Row],[Baseline Start]]))</f>
        <v/>
      </c>
      <c r="BN72" s="63" t="str">
        <f aca="false">IF(Tasks[[#This Row],[Task Name]]="","",IF(OR(TakeBaseline="Yes",N(Tasks[[#This Row],[Baseline Finish]])=0),Tasks[[#This Row],[Finish]],Tasks[[#This Row],[Baseline Finish]]))</f>
        <v/>
      </c>
      <c r="BO72" s="21" t="str">
        <f aca="false">IF(Tasks[[#This Row],[Task Name]]="","",IF(OR(TakeBaseline="Yes",N(Tasks[[#This Row],[Baseline Duration]])=0),Tasks[[#This Row],[_SpanDays]],Tasks[[#This Row],[Baseline Duration]]))</f>
        <v/>
      </c>
      <c r="BP72" s="86" t="str">
        <f aca="false">IF(Tasks[[#This Row],[Task Name]]="","",IF(OR(TakeBaseline="Yes",N(Tasks[[#This Row],[Baseline Work]])=0),Tasks[[#This Row],[Work]],Tasks[[#This Row],[Baseline Work]]))</f>
        <v/>
      </c>
      <c r="BQ72" s="7"/>
      <c r="BR72" s="7"/>
      <c r="BS72" s="22"/>
      <c r="BT72" s="88"/>
      <c r="BU72" s="23"/>
      <c r="BV72" s="23"/>
      <c r="BW72" s="23"/>
      <c r="BX72" s="89" t="str">
        <f aca="false">IF(AND(Tasks[[#This Row],[_IsLeaf]]=1,ISNUMBER(Tasks[[#This Row],[Optimistic]]),ISNUMBER(Tasks[[#This Row],[Pessimistic]])),ROUND((Tasks[[#This Row],[Optimistic]]+4*N(Tasks[[#This Row],[_Days]])+Tasks[[#This Row],[Pessimistic]])/6,1),"")</f>
        <v/>
      </c>
      <c r="BY72" s="87"/>
      <c r="BZ72" s="87"/>
      <c r="CA72" s="22"/>
      <c r="CB72" s="43" t="str">
        <f aca="false">IF(Tasks[[#This Row],[Task Name]]="","",MAX(1,N(Tasks[[#This Row],[Level]])))</f>
        <v/>
      </c>
      <c r="CC72" s="43" t="n">
        <f aca="false">ROW()-ROW(Tasks[[#Headers],[ID]])</f>
        <v>67</v>
      </c>
      <c r="CD72" s="43" t="n">
        <f aca="false">IF(OR(Tasks[[#This Row],[Task Name]]="",Tasks[[#This Row],[_Level]]&lt;=1),0,IFERROR(LOOKUP(2,1/(Tasks[[#Headers],[_Level]]:Tasks[[#This Row],[_Level]]=Tasks[[#This Row],[_Level]]-1),ROW(Tasks[[#Headers],[_Level]]:Tasks[[#This Row],[_Level]])),0))</f>
        <v>0</v>
      </c>
      <c r="CE72" s="43" t="n">
        <f aca="false">IFERROR(N(INDEX(Tasks[_Level],Tasks[[#This Row],[_Row]]+1)),0)</f>
        <v>0</v>
      </c>
      <c r="CF72" s="90" t="b">
        <f aca="false">AND(Tasks[[#This Row],[Task Name]]&lt;&gt;"",Tasks[[#This Row],[_NextLevel]]&gt;Tasks[[#This Row],[_Level]])</f>
        <v>0</v>
      </c>
      <c r="CG72" s="43" t="n">
        <f aca="false">IF(Tasks[[#This Row],[_IsSummary]],COUNTIF(Tasks[WBS],Tasks[[#This Row],[WBS]]&amp;".*"),0)</f>
        <v>0</v>
      </c>
      <c r="CH72" s="43" t="n">
        <f aca="false">IF(AND(Tasks[[#This Row],[Task Name]]&lt;&gt;"",NOT(Tasks[[#This Row],[_IsSummary]])),1,0)</f>
        <v>0</v>
      </c>
      <c r="CI72" s="43" t="n">
        <f aca="false">IF(N(Tasks[[#This Row],[_Pred1UID]])=0,0,IFERROR(MATCH(Tasks[[#This Row],[_Pred1UID]],Tasks[UID],0),-1))</f>
        <v>0</v>
      </c>
      <c r="CJ72" s="43" t="n">
        <f aca="false">IF(N(Tasks[[#This Row],[_Pred2UID]])=0,0,IFERROR(MATCH(Tasks[[#This Row],[_Pred2UID]],Tasks[UID],0),-1))</f>
        <v>0</v>
      </c>
      <c r="CK72" s="43" t="n">
        <f aca="false">IF(N(Tasks[[#This Row],[_Pred3UID]])=0,0,IFERROR(MATCH(Tasks[[#This Row],[_Pred3UID]],Tasks[UID],0),-1))</f>
        <v>0</v>
      </c>
      <c r="CL72" s="43" t="n">
        <f aca="false">IF(N(Tasks[[#This Row],[_Pred4UID]])=0,0,IFERROR(MATCH(Tasks[[#This Row],[_Pred4UID]],Tasks[UID],0),-1))</f>
        <v>0</v>
      </c>
      <c r="CM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2" s="91" t="n">
        <f aca="false">IF(OR(Tasks[[#This Row],[_ConstraintCode]]=2,Tasks[[#This Row],[_ConstraintCode]]=3,Tasks[[#This Row],[_ConstraintCode]]=4,Tasks[[#This Row],[_ConstraintCode]]=6),Tasks[[#This Row],[_ConstraintStart]],0)</f>
        <v>0</v>
      </c>
      <c r="CP72" s="91" t="n">
        <f aca="false">IF(OR(Tasks[[#This Row],[_ConstraintCode]]=2,Tasks[[#This Row],[_ConstraintCode]]=3,Tasks[[#This Row],[_ConstraintCode]]=5,Tasks[[#This Row],[_ConstraintCode]]=7),Tasks[[#This Row],[_ConstraintStart]],2958465)</f>
        <v>2958465</v>
      </c>
      <c r="CQ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91" t="str">
        <f aca="false">IF(NOT(Tasks[[#This Row],[_IsLeaf]]=1),"",IF(N(Tasks[[#This Row],[_Days]])&lt;=0,Tasks[[#This Row],[_LeafCalcStart]],WORKDAY.INTL(Tasks[[#This Row],[_LeafCalcStart]],Tasks[[#This Row],[_Days]]-1,WorkWeek,Holidays)))</f>
        <v/>
      </c>
      <c r="CS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3" t="str">
        <f aca="false">IF(Tasks[[#This Row],[_Predecessors]]="","",TRIM(MID(SUBSTITUTE(SUBSTITUTE(SUBSTITUTE(UPPER(Tasks[[#This Row],[_Predecessors]]),";",",")," ",""),",",REPT(" ",99)),1,99)))</f>
        <v/>
      </c>
      <c r="CV72" s="43" t="str">
        <f aca="false">IF(Tasks[[#This Row],[_Pred1Text]]="","",IFERROR(VALUE(LEFT(Tasks[[#This Row],[_Pred1Text]],MIN(FIND("F",Tasks[[#This Row],[_Pred1Text]]&amp;"F"),FIND("S",Tasks[[#This Row],[_Pred1Text]]&amp;"S"),FIND("+",Tasks[[#This Row],[_Pred1Text]]&amp;"+"),FIND("-",Tasks[[#This Row],[_Pred1Text]]&amp;"-"))-1)),""))</f>
        <v/>
      </c>
      <c r="CW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3" t="str">
        <f aca="false">IF(Tasks[[#This Row],[_Pred1Text]]="","",TRIM(MID(SUBSTITUTE(SUBSTITUTE(SUBSTITUTE(UPPER(Tasks[[#This Row],[_Predecessors]]),";",",")," ",""),",",REPT(" ",99)),100,99)))</f>
        <v/>
      </c>
      <c r="CZ72" s="43" t="str">
        <f aca="false">IF(Tasks[[#This Row],[_Pred2Text]]="","",IFERROR(VALUE(LEFT(Tasks[[#This Row],[_Pred2Text]],MIN(FIND("F",Tasks[[#This Row],[_Pred2Text]]&amp;"F"),FIND("S",Tasks[[#This Row],[_Pred2Text]]&amp;"S"),FIND("+",Tasks[[#This Row],[_Pred2Text]]&amp;"+"),FIND("-",Tasks[[#This Row],[_Pred2Text]]&amp;"-"))-1)),""))</f>
        <v/>
      </c>
      <c r="DA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3" t="str">
        <f aca="false">IF(Tasks[[#This Row],[_Pred2Text]]="","",TRIM(MID(SUBSTITUTE(SUBSTITUTE(SUBSTITUTE(UPPER(Tasks[[#This Row],[_Predecessors]]),";",",")," ",""),",",REPT(" ",99)),199,99)))</f>
        <v/>
      </c>
      <c r="DD72" s="43" t="str">
        <f aca="false">IF(Tasks[[#This Row],[_Pred3Text]]="","",IFERROR(VALUE(LEFT(Tasks[[#This Row],[_Pred3Text]],MIN(FIND("F",Tasks[[#This Row],[_Pred3Text]]&amp;"F"),FIND("S",Tasks[[#This Row],[_Pred3Text]]&amp;"S"),FIND("+",Tasks[[#This Row],[_Pred3Text]]&amp;"+"),FIND("-",Tasks[[#This Row],[_Pred3Text]]&amp;"-"))-1)),""))</f>
        <v/>
      </c>
      <c r="DE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3" t="str">
        <f aca="false">IF(Tasks[[#This Row],[_Pred3Text]]="","",TRIM(MID(SUBSTITUTE(SUBSTITUTE(SUBSTITUTE(UPPER(Tasks[[#This Row],[_Predecessors]]),";",",")," ",""),",",REPT(" ",99)),298,99)))</f>
        <v/>
      </c>
      <c r="DH72" s="43" t="str">
        <f aca="false">IF(Tasks[[#This Row],[_Pred4Text]]="","",IFERROR(VALUE(LEFT(Tasks[[#This Row],[_Pred4Text]],MIN(FIND("F",Tasks[[#This Row],[_Pred4Text]]&amp;"F"),FIND("S",Tasks[[#This Row],[_Pred4Text]]&amp;"S"),FIND("+",Tasks[[#This Row],[_Pred4Text]]&amp;"+"),FIND("-",Tasks[[#This Row],[_Pred4Text]]&amp;"-"))-1)),""))</f>
        <v/>
      </c>
      <c r="DI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3" t="str">
        <f aca="false">IF(OR(Tasks[[#This Row],[Task Name]]="",Tasks[[#This Row],[_Resources]]=""),"",TRIM(MID(SUBSTITUTE(Tasks[[#This Row],[_Resources]],",",REPT(" ",99)),1,99)))</f>
        <v/>
      </c>
      <c r="DL72" s="43" t="str">
        <f aca="false">IF(Tasks[[#This Row],[_Res1Text]]="","",TRIM(MID(SUBSTITUTE(Tasks[[#This Row],[_Resources]],",",REPT(" ",99)),100,99)))</f>
        <v/>
      </c>
      <c r="DM72" s="43" t="str">
        <f aca="false">IF(Tasks[[#This Row],[_Res2Text]]="","",TRIM(MID(SUBSTITUTE(Tasks[[#This Row],[_Resources]],",",REPT(" ",99)),199,99)))</f>
        <v/>
      </c>
      <c r="DN72" s="43" t="str">
        <f aca="false">IF(Tasks[[#This Row],[_Res3Text]]="","",TRIM(MID(SUBSTITUTE(Tasks[[#This Row],[_Resources]],",",REPT(" ",99)),298,99)))</f>
        <v/>
      </c>
      <c r="DO72" s="43" t="n">
        <f aca="false">IF(Tasks[[#This Row],[_Res1Text]]="",0,IFERROR(MATCH(TRIM(LEFT(Tasks[[#This Row],[_Res1Text]],FIND("[",Tasks[[#This Row],[_Res1Text]]&amp;"[")-1)),res_Name,0),IFERROR(MATCH(TRIM(LEFT(Tasks[[#This Row],[_Res1Text]],FIND("[",Tasks[[#This Row],[_Res1Text]]&amp;"[")-1)),res_Initials,0),0)))</f>
        <v>0</v>
      </c>
      <c r="DP72" s="43" t="n">
        <f aca="false">IF(Tasks[[#This Row],[_Res2Text]]="",0,IFERROR(MATCH(TRIM(LEFT(Tasks[[#This Row],[_Res2Text]],FIND("[",Tasks[[#This Row],[_Res2Text]]&amp;"[")-1)),res_Name,0),IFERROR(MATCH(TRIM(LEFT(Tasks[[#This Row],[_Res2Text]],FIND("[",Tasks[[#This Row],[_Res2Text]]&amp;"[")-1)),res_Initials,0),0)))</f>
        <v>0</v>
      </c>
      <c r="DQ72" s="43" t="n">
        <f aca="false">IF(Tasks[[#This Row],[_Res3Text]]="",0,IFERROR(MATCH(TRIM(LEFT(Tasks[[#This Row],[_Res3Text]],FIND("[",Tasks[[#This Row],[_Res3Text]]&amp;"[")-1)),res_Name,0),IFERROR(MATCH(TRIM(LEFT(Tasks[[#This Row],[_Res3Text]],FIND("[",Tasks[[#This Row],[_Res3Text]]&amp;"[")-1)),res_Initials,0),0)))</f>
        <v>0</v>
      </c>
      <c r="DR72" s="43" t="n">
        <f aca="false">IF(Tasks[[#This Row],[_Res4Text]]="",0,IFERROR(MATCH(TRIM(LEFT(Tasks[[#This Row],[_Res4Text]],FIND("[",Tasks[[#This Row],[_Res4Text]]&amp;"[")-1)),res_Name,0),IFERROR(MATCH(TRIM(LEFT(Tasks[[#This Row],[_Res4Text]],FIND("[",Tasks[[#This Row],[_Res4Text]]&amp;"[")-1)),res_Initials,0),0)))</f>
        <v>0</v>
      </c>
      <c r="DS72" s="43" t="str">
        <f aca="false">IF(Tasks[[#This Row],[_Res1Text]]="","",IF(Tasks[[#This Row],[_Res1Row]]&gt;0,INDEX(res_Name,Tasks[[#This Row],[_Res1Row]]),TRIM(LEFT(Tasks[[#This Row],[_Res1Text]],FIND("[",Tasks[[#This Row],[_Res1Text]]&amp;"[")-1))))</f>
        <v/>
      </c>
      <c r="DT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3" t="n">
        <f aca="false">IF(NOT(Tasks[[#This Row],[_IsLeaf]]=1),0,(Tasks[[#This Row],[_Resource1]]&lt;&gt;"")+(Tasks[[#This Row],[_Res2]]&lt;&gt;"")+(Tasks[[#This Row],[_Res3]]&lt;&gt;"")+(Tasks[[#This Row],[_Res4]]&lt;&gt;""))</f>
        <v>0</v>
      </c>
      <c r="DV72" s="43" t="str">
        <f aca="false">IF(Tasks[[#This Row],[_Res2Text]]="","",IF(Tasks[[#This Row],[_Res2Row]]&gt;0,INDEX(res_Name,Tasks[[#This Row],[_Res2Row]]),TRIM(LEFT(Tasks[[#This Row],[_Res2Text]],FIND("[",Tasks[[#This Row],[_Res2Text]]&amp;"[")-1))))</f>
        <v/>
      </c>
      <c r="DW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3" t="n">
        <f aca="false">IF(OR(NOT(Tasks[[#This Row],[_IsLeaf]]=1),Tasks[[#This Row],[_Res2Row]]=0),0,N(Tasks[[#This Row],[_Days]])*HoursPerDay*IF(Tasks[[#This Row],[_Res2Units]]="",DefaultUnits,Tasks[[#This Row],[_Res2Units]]))</f>
        <v>0</v>
      </c>
      <c r="DY72" s="43" t="n">
        <f aca="false">IF(AND(AND(Tasks[[#This Row],[_IsLeaf]]=1,Tasks[[#This Row],[_LeafTotalWork]]&gt;0),Tasks[[#This Row],[_Res2Work]]&gt;0),Tasks[[#This Row],[_Res2Work]]/(Tasks[[#This Row],[_FinishWorkday]]-Tasks[[#This Row],[_StartWorkday]]+1),0)</f>
        <v>0</v>
      </c>
      <c r="DZ72" s="43" t="n">
        <f aca="false">Tasks[[#This Row],[_Res2WorkPerWD]]*MAX(0,Tasks[[#This Row],[_StartWorkday]]-1)</f>
        <v>0</v>
      </c>
      <c r="EA72" s="43" t="n">
        <f aca="false">Tasks[[#This Row],[_Res2Work]]*Tasks[[#This Row],[_LeafProgress]]</f>
        <v>0</v>
      </c>
      <c r="EB72" s="43" t="str">
        <f aca="false">IF(Tasks[[#This Row],[_Res3Text]]="","",IF(Tasks[[#This Row],[_Res3Row]]&gt;0,INDEX(res_Name,Tasks[[#This Row],[_Res3Row]]),TRIM(LEFT(Tasks[[#This Row],[_Res3Text]],FIND("[",Tasks[[#This Row],[_Res3Text]]&amp;"[")-1))))</f>
        <v/>
      </c>
      <c r="EC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3" t="n">
        <f aca="false">IF(OR(NOT(Tasks[[#This Row],[_IsLeaf]]=1),Tasks[[#This Row],[_Res3Row]]=0),0,N(Tasks[[#This Row],[_Days]])*HoursPerDay*IF(Tasks[[#This Row],[_Res3Units]]="",DefaultUnits,Tasks[[#This Row],[_Res3Units]]))</f>
        <v>0</v>
      </c>
      <c r="EE72" s="43" t="n">
        <f aca="false">IF(AND(AND(Tasks[[#This Row],[_IsLeaf]]=1,Tasks[[#This Row],[_LeafTotalWork]]&gt;0),Tasks[[#This Row],[_Res3Work]]&gt;0),Tasks[[#This Row],[_Res3Work]]/(Tasks[[#This Row],[_FinishWorkday]]-Tasks[[#This Row],[_StartWorkday]]+1),0)</f>
        <v>0</v>
      </c>
      <c r="EF72" s="43" t="n">
        <f aca="false">Tasks[[#This Row],[_Res3WorkPerWD]]*MAX(0,Tasks[[#This Row],[_StartWorkday]]-1)</f>
        <v>0</v>
      </c>
      <c r="EG72" s="43" t="n">
        <f aca="false">Tasks[[#This Row],[_Res3Work]]*Tasks[[#This Row],[_LeafProgress]]</f>
        <v>0</v>
      </c>
      <c r="EH72" s="43" t="str">
        <f aca="false">IF(Tasks[[#This Row],[_Res4Text]]="","",IF(Tasks[[#This Row],[_Res4Row]]&gt;0,INDEX(res_Name,Tasks[[#This Row],[_Res4Row]]),TRIM(LEFT(Tasks[[#This Row],[_Res4Text]],FIND("[",Tasks[[#This Row],[_Res4Text]]&amp;"[")-1))))</f>
        <v/>
      </c>
      <c r="EI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3" t="n">
        <f aca="false">IF(OR(NOT(Tasks[[#This Row],[_IsLeaf]]=1),Tasks[[#This Row],[_Res4Row]]=0),0,N(Tasks[[#This Row],[_Days]])*HoursPerDay*IF(Tasks[[#This Row],[_Res4Units]]="",DefaultUnits,Tasks[[#This Row],[_Res4Units]]))</f>
        <v>0</v>
      </c>
      <c r="EK72" s="43" t="n">
        <f aca="false">IF(AND(AND(Tasks[[#This Row],[_IsLeaf]]=1,Tasks[[#This Row],[_LeafTotalWork]]&gt;0),Tasks[[#This Row],[_Res4Work]]&gt;0),Tasks[[#This Row],[_Res4Work]]/(Tasks[[#This Row],[_FinishWorkday]]-Tasks[[#This Row],[_StartWorkday]]+1),0)</f>
        <v>0</v>
      </c>
      <c r="EL72" s="43" t="n">
        <f aca="false">Tasks[[#This Row],[_Res4WorkPerWD]]*MAX(0,Tasks[[#This Row],[_StartWorkday]]-1)</f>
        <v>0</v>
      </c>
      <c r="EM72" s="43" t="n">
        <f aca="false">Tasks[[#This Row],[_Res4Work]]*Tasks[[#This Row],[_LeafProgress]]</f>
        <v>0</v>
      </c>
      <c r="EN72" s="43" t="n">
        <f aca="false">IF(ISNUMBER(Tasks[[#This Row],[% Complete]]),Tasks[[#This Row],[% Complete]],IF(Tasks[[#This Row],[Stage]]="",0,IFERROR(INDEX(stg_Pct,MATCH(Tasks[[#This Row],[Stage]],stg_Name,0)),0)))</f>
        <v>0</v>
      </c>
      <c r="EO72" s="43" t="n">
        <f aca="false">IF(NOT(Tasks[[#This Row],[_IsLeaf]]=1),0,IF(N(Tasks[[#This Row],[Actual Finish]])&gt;0,1,MIN(1,Tasks[[#This Row],[_Pct]])))</f>
        <v>0</v>
      </c>
      <c r="EP72" s="43" t="n">
        <f aca="false">IF(OR(NOT(Tasks[[#This Row],[_IsLeaf]]=1),Tasks[[#This Row],[_Res1Row]]=0),0,N(Tasks[[#This Row],[_Days]])*HoursPerDay*IF(Tasks[[#This Row],[_Units1]]="",DefaultUnits,Tasks[[#This Row],[_Units1]]))</f>
        <v>0</v>
      </c>
      <c r="EQ72" s="43" t="n">
        <f aca="false">Tasks[[#This Row],[_LeafWork]]+Tasks[[#This Row],[_Res2Work]]+Tasks[[#This Row],[_Res3Work]]+Tasks[[#This Row],[_Res4Work]]</f>
        <v>0</v>
      </c>
      <c r="ER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3" t="n">
        <f aca="false">IF(NOT(Tasks[[#This Row],[_IsLeaf]]=1),0,MAX(_xlfn.MAXIFS(Tasks[_Row],Tasks[_Pred1UID],Tasks[[#This Row],[UID]]),_xlfn.MAXIFS(Tasks[_Row],Tasks[_Pred2UID],Tasks[[#This Row],[UID]]),_xlfn.MAXIFS(Tasks[_Row],Tasks[_Pred3UID],Tasks[[#This Row],[UID]]),_xlfn.MAXIFS(Tasks[_Row],Tasks[_Pred4UID],Tasks[[#This Row],[UID]])))</f>
        <v>0</v>
      </c>
      <c r="FA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91" t="str">
        <f aca="false">IF(NOT(Tasks[[#This Row],[_IsLeaf]]=1),"",IF(N(Tasks[[#This Row],[_Days]])&lt;=0,Tasks[[#This Row],[_LeafLateFinish]],WORKDAY.INTL(Tasks[[#This Row],[_LeafLateFinish]],-(Tasks[[#This Row],[_Days]]-1),WorkWeek,Holidays)))</f>
        <v/>
      </c>
      <c r="FD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2" s="90" t="b">
        <f aca="false">AND(Tasks[[#This Row],[_IsLeaf]]=1,Tasks[[#This Row],[_LeafProgress]]&lt;1,N(Tasks[[#This Row],[_LeafTotalSlack]])&lt;=CriticalSlackDays)</f>
        <v>0</v>
      </c>
      <c r="FF72" s="43" t="n">
        <f aca="false">IF(AND(Tasks[[#This Row],[_IsLeaf]]=1,Tasks[[#This Row],[_ConstraintCode]]=1,Tasks[[#This Row],[Mode]]&lt;&gt;"Manual",N(Tasks[[#This Row],[Actual Start]])=0),MAX(0,N(Tasks[[#This Row],[Free Slack]])),0)</f>
        <v>0</v>
      </c>
      <c r="FG72" s="91" t="str">
        <f aca="false">IF(NOT(Tasks[[#This Row],[_IsLeaf]]=1),"",IF(Tasks[[#This Row],[_AlapShift]]=0,Tasks[[#This Row],[_LeafCalcStart]],WORKDAY.INTL(Tasks[[#This Row],[_LeafCalcStart]],Tasks[[#This Row],[_AlapShift]],WorkWeek,Holidays)))</f>
        <v/>
      </c>
      <c r="FH72" s="91" t="str">
        <f aca="false">IF(NOT(Tasks[[#This Row],[_IsLeaf]]=1),"",IF(Tasks[[#This Row],[_AlapShift]]=0,Tasks[[#This Row],[_LeafCalcFinish]],WORKDAY.INTL(Tasks[[#This Row],[_LeafCalcFinish]],Tasks[[#This Row],[_AlapShift]],WorkWeek,Holidays)))</f>
        <v/>
      </c>
      <c r="FI72" s="91" t="str">
        <f aca="false">IF(NOT(Tasks[[#This Row],[_IsLeaf]]=1),"",IF(Tasks[[#This Row],[_AlapShift]]=0,Tasks[[#This Row],[_LeafFcstStart]],WORKDAY.INTL(Tasks[[#This Row],[_LeafFcstStart]],Tasks[[#This Row],[_AlapShift]],WorkWeek,Holidays)))</f>
        <v/>
      </c>
      <c r="FJ72" s="91" t="str">
        <f aca="false">IF(NOT(Tasks[[#This Row],[_IsLeaf]]=1),"",IF(Tasks[[#This Row],[_AlapShift]]=0,Tasks[[#This Row],[_LeafFcstFinish]],WORKDAY.INTL(Tasks[[#This Row],[_LeafFcstFinish]],Tasks[[#This Row],[_AlapShift]],WorkWeek,Holidays)))</f>
        <v/>
      </c>
      <c r="FK72" s="91" t="str">
        <f aca="false">IF(Tasks[[#This Row],[Task Name]]="","",IF(Tasks[[#This Row],[_IsSummary]],MIN(INDEX(Tasks[_ShownCalcStart],Tasks[[#This Row],[_Row]]+1):INDEX(Tasks[_ShownCalcStart],Tasks[[#This Row],[_Row]]+Tasks[[#This Row],[_Descendants]])),Tasks[[#This Row],[_ShownCalcStart]]))</f>
        <v/>
      </c>
      <c r="FL72" s="91" t="str">
        <f aca="false">IF(Tasks[[#This Row],[Task Name]]="","",IF(Tasks[[#This Row],[_IsSummary]],MAX(INDEX(Tasks[_ShownCalcFinish],Tasks[[#This Row],[_Row]]+1):INDEX(Tasks[_ShownCalcFinish],Tasks[[#This Row],[_Row]]+Tasks[[#This Row],[_Descendants]])),Tasks[[#This Row],[_ShownCalcFinish]]))</f>
        <v/>
      </c>
      <c r="FM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2" s="43" t="n">
        <f aca="false">IF(AND(Tasks[[#This Row],[_IsLeaf]]=1,Tasks[[#This Row],[_LeafTotalWork]]&gt;0),NETWORKDAYS.INTL(ProjectStart,Tasks[[#This Row],[_ShownFcstStart]],WorkWeek,Holidays),0)</f>
        <v>0</v>
      </c>
      <c r="FZ72" s="43" t="n">
        <f aca="false">IF(AND(Tasks[[#This Row],[_IsLeaf]]=1,Tasks[[#This Row],[_LeafTotalWork]]&gt;0),MAX(Tasks[[#This Row],[_StartWorkday]],NETWORKDAYS.INTL(ProjectStart,Tasks[[#This Row],[_ShownFcstFinish]],WorkWeek,Holidays)),0)</f>
        <v>0</v>
      </c>
      <c r="GA72" s="43" t="n">
        <f aca="false">IF(AND(Tasks[[#This Row],[_IsLeaf]]=1,Tasks[[#This Row],[_LeafTotalWork]]&gt;0),Tasks[[#This Row],[_LeafWork]]/(Tasks[[#This Row],[_FinishWorkday]]-Tasks[[#This Row],[_StartWorkday]]+1),0)</f>
        <v>0</v>
      </c>
      <c r="GB72" s="43" t="n">
        <f aca="false">Tasks[[#This Row],[_WorkPerWorkday]]*(Tasks[[#This Row],[_StartWorkday]]-1)</f>
        <v>-0</v>
      </c>
      <c r="GC72" s="43" t="n">
        <f aca="false">IF(Tasks[[#This Row],[_IsLeaf]]=1,MAX(N(Tasks[[#This Row],[_Days]]),0.1),0)</f>
        <v>0</v>
      </c>
      <c r="GD72" s="43" t="n">
        <f aca="false">Tasks[[#This Row],[_WeightDur]]*Tasks[[#This Row],[_LeafProgress]]</f>
        <v>0</v>
      </c>
      <c r="GE72" s="43" t="n">
        <f aca="false">Tasks[[#This Row],[_WeightDur]]*Tasks[[#This Row],[_PlannedPct]]</f>
        <v>0</v>
      </c>
      <c r="GF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3" t="str">
        <f aca="false">IF(AND(Tasks[[#This Row],[_IsLeaf]]=1,N(Tasks[[#This Row],[_Days]])=0,Tasks[[#This Row],[_LeafProgress]]&lt;1),Tasks[[#This Row],[_ShownFcstFinish]]+Tasks[[#This Row],[_Row]]/100000,"")</f>
        <v/>
      </c>
      <c r="GH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2" s="43" t="str">
        <f aca="false">IF(Tasks[[#This Row],[Task Name]]="","",LEFT(Tasks[[#This Row],[WBS]],FIND(".",Tasks[[#This Row],[WBS]]&amp;".")-1))</f>
        <v/>
      </c>
      <c r="GJ72" s="43" t="str">
        <f aca="false">IF(AND(Tasks[[#This Row],[Task Name]]&lt;&gt;"",Tasks[[#This Row],[_Level]]=1),Tasks[[#This Row],[_Row]],"")</f>
        <v/>
      </c>
      <c r="GK72" s="43" t="str">
        <f aca="false">IF(AND(Tasks[[#This Row],[_IsLeaf]]=1,N(Tasks[[#This Row],[_Days]])=0),Tasks[[#This Row],[Planned Finish]]+Tasks[[#This Row],[_Row]]/100000,"")</f>
        <v/>
      </c>
      <c r="GL72" s="43" t="str">
        <f aca="false">IF(AND(Tasks[[#This Row],[_IsLeaf]]=1,Tasks[[#This Row],[_LeafProgress]]&lt;1,OR(N(Tasks[[#This Row],[Finish Var]])&gt;0,Tasks[[#This Row],[Status]]="Late Start")),MAX(0,Tasks[[#This Row],[Finish Var]])+1-Tasks[[#This Row],[_Row]]/1000000,"")</f>
        <v/>
      </c>
      <c r="GM72" s="43" t="str">
        <f aca="false">IF(AND(Tasks[[#This Row],[_IsLeaf]]=1,N(Tasks[[#This Row],[Actual Start]])=0,Tasks[[#This Row],[_ShownFcstStart]]&gt;=StatusDate,Tasks[[#This Row],[_ShownFcstStart]]&lt;=LookaheadEnd),Tasks[[#This Row],[_ShownFcstStart]]+Tasks[[#This Row],[_Row]]/100000,"")</f>
        <v/>
      </c>
      <c r="GN72" s="43" t="str">
        <f aca="false">IF(AND(Tasks[[#This Row],[_IsLeaf]]=1,Tasks[[#This Row],[_LeafProgress]]&lt;1,Tasks[[#This Row],[_ShownFcstFinish]]&gt;=StatusDate,Tasks[[#This Row],[_ShownFcstFinish]]&lt;=LookaheadEnd),Tasks[[#This Row],[_ShownFcstFinish]]+Tasks[[#This Row],[_Row]]/100000,"")</f>
        <v/>
      </c>
      <c r="GO72" s="43" t="str">
        <f aca="false">IF(Tasks[[#This Row],[_LeafCritical]],Tasks[[#This Row],[_ShownFcstStart]]+Tasks[[#This Row],[_Row]]/100000,"")</f>
        <v/>
      </c>
      <c r="GP72" s="43" t="n">
        <f aca="false">Tasks[[#This Row],[_LeafWork]]*Tasks[[#This Row],[_LeafProgress]]</f>
        <v>0</v>
      </c>
      <c r="GQ72" s="91" t="str">
        <f aca="false">IF(AND(Tasks[[#This Row],[_IsLeaf]]=1,Tasks[[#This Row],[_LeafProgress]]&gt;=1),IF(N(Tasks[[#This Row],[Actual Finish]])&gt;0,Tasks[[#This Row],[Actual Finish]],Tasks[[#This Row],[_ShownFcstFinish]]),"")</f>
        <v/>
      </c>
      <c r="GR72" s="43" t="n">
        <f aca="false">IF(Tasks[[#This Row],[_IsLeaf]]=1,N(Tasks[[#This Row],[Story Points]]),0)</f>
        <v>0</v>
      </c>
      <c r="GS72" s="43" t="str">
        <f aca="false">""</f>
        <v/>
      </c>
      <c r="GT72" s="90" t="b">
        <f aca="false">IF(Tasks[[#This Row],[Task Name]]="",FALSE(),AND(Tasks[[#This Row],[_IsLeaf]]=1,N(Tasks[[#This Row],[_Days]])=0))</f>
        <v>0</v>
      </c>
      <c r="GU72" s="91" t="n">
        <f aca="false">IF(Tasks[[#This Row],[Task Name]]="",0,IF(AND(Tasks[[#This Row],[_IsLeaf]]=1,NOT(Tasks[[#This Row],[_IsMilestone]]),N(Tasks[[#This Row],[Progress]])&gt;0),Tasks[[#This Row],[Start]],0))</f>
        <v>0</v>
      </c>
      <c r="GV72" s="91" t="n">
        <f aca="false">IF(Tasks[[#This Row],[_DoneFrom]]=0,0,IF(Tasks[[#This Row],[Progress]]&gt;=1,Tasks[[#This Row],[Finish]],MAX(Tasks[[#This Row],[_DoneFrom]],Tasks[[#This Row],[Start]]+ROUND((Tasks[[#This Row],[Finish]]-Tasks[[#This Row],[Start]]+1)*Tasks[[#This Row],[Progress]],0)-1)))</f>
        <v>0</v>
      </c>
      <c r="GW72" s="91" t="n">
        <f aca="false">IF(Tasks[[#This Row],[Task Name]]="",0,IF(OR(NOT(Tasks[[#This Row],[_IsLeaf]]=1),Tasks[[#This Row],[_IsMilestone]],N(Tasks[[#This Row],[Progress]])&gt;=1),0,IF(Tasks[[#This Row],[_DoneTo]]&gt;0,Tasks[[#This Row],[_DoneTo]]+1,Tasks[[#This Row],[Start]])))</f>
        <v>0</v>
      </c>
      <c r="GX72" s="91" t="n">
        <f aca="false">IF(Tasks[[#This Row],[_RemFrom]]=0,0,Tasks[[#This Row],[Finish]])</f>
        <v>0</v>
      </c>
      <c r="GY72" s="90" t="b">
        <f aca="false">IF(Tasks[[#This Row],[Task Name]]="",FALSE(),OR(NOT(BaselineSet),N(Tasks[[#This Row],[Baseline Start]])&gt;0))</f>
        <v>0</v>
      </c>
      <c r="GZ7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92" t="str">
        <f aca="false">IF(Tasks[[#This Row],[_IsLeaf]]=1,Tasks[[#This Row],[_Row]],"")</f>
        <v/>
      </c>
      <c r="HD72" s="92" t="str">
        <f aca="false">IFERROR(INDEX(Tasks[UID],SMALL(Tasks[_PickKey],Tasks[[#This Row],[_Row]]))&amp;" "&amp;INDEX(Tasks[Task Name],SMALL(Tasks[_PickKey],Tasks[[#This Row],[_Row]])),"")</f>
        <v/>
      </c>
      <c r="HE72" s="43" t="str">
        <f aca="false">IF(Tasks[[#This Row],[Task Name]]="","",IF(Tasks[[#This Row],[_IsSummary]],NETWORKDAYS.INTL(Tasks[[#This Row],[Start]],Tasks[[#This Row],[Finish]],WorkWeek,Holidays),N(Tasks[[#This Row],[_Days]])))</f>
        <v/>
      </c>
      <c r="HF72" s="43" t="n">
        <f aca="false">IF(Tasks[[#This Row],[Expected]]="",0,((Tasks[[#This Row],[Pessimistic]]-Tasks[[#This Row],[Optimistic]])/6)^2)</f>
        <v>0</v>
      </c>
      <c r="HG72" s="43" t="n">
        <f aca="false">IF(Tasks[[#This Row],[Expected]]="",0,Tasks[[#This Row],[Expected]]-N(Tasks[[#This Row],[_Days]]))</f>
        <v>0</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4"/>
      <c r="U73" s="23"/>
      <c r="V73" s="84"/>
      <c r="W73" s="23"/>
      <c r="X73" s="84"/>
      <c r="Y73" s="23"/>
      <c r="Z73" s="84"/>
      <c r="AA73" s="23"/>
      <c r="AB73" s="23"/>
      <c r="AC73" s="7"/>
      <c r="AD73" s="7"/>
      <c r="AE73" s="63" t="str">
        <f aca="false">IF(Tasks[[#This Row],[Task Name]]="","",IF(Tasks[[#This Row],[_IsSummary]],MIN(INDEX(Tasks[_ShownFcstStart],Tasks[[#This Row],[_Row]]+1):INDEX(Tasks[_ShownFcstStart],Tasks[[#This Row],[_Row]]+Tasks[[#This Row],[_Descendants]])),Tasks[[#This Row],[_ShownFcstStart]]))</f>
        <v/>
      </c>
      <c r="AF73" s="63"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3" s="7"/>
      <c r="AK73" s="22"/>
      <c r="AL73" s="23"/>
      <c r="AM73" s="7"/>
      <c r="AN73" s="47"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3" t="str">
        <f aca="false">IF(Tasks[[#This Row],[Task Name]]="","",IF(N(Tasks[[#This Row],[Baseline Start]])&gt;0,Tasks[[#This Row],[Baseline Start]],Tasks[[#This Row],[_CalcStart]]))</f>
        <v/>
      </c>
      <c r="AR73" s="63" t="str">
        <f aca="false">IF(Tasks[[#This Row],[Task Name]]="","",IF(N(Tasks[[#This Row],[Baseline Finish]])&gt;0,Tasks[[#This Row],[Baseline Finish]],Tasks[[#This Row],[_CalcFinish]]))</f>
        <v/>
      </c>
      <c r="AS73" s="47" t="str">
        <f aca="false">IF(Tasks[[#This Row],[Task Name]]="","",IF(Tasks[[#This Row],[Start]]&gt;=Tasks[[#This Row],[Planned Start]],NETWORKDAYS.INTL(Tasks[[#This Row],[Planned Start]],Tasks[[#This Row],[Start]],WorkWeek,Holidays)-1,1-NETWORKDAYS.INTL(Tasks[[#This Row],[Start]],Tasks[[#This Row],[Planned Start]],WorkWeek,Holidays)))</f>
        <v/>
      </c>
      <c r="AT73" s="63" t="str">
        <f aca="false">IF(Tasks[[#This Row],[Task Name]]="","",IF(Tasks[[#This Row],[_IsSummary]],MIN(INDEX(Tasks[_LeafLateStart],Tasks[[#This Row],[_Row]]+1):INDEX(Tasks[_LeafLateStart],Tasks[[#This Row],[_Row]]+Tasks[[#This Row],[_Descendants]])),Tasks[[#This Row],[_LeafLateStart]]))</f>
        <v/>
      </c>
      <c r="AU73" s="63" t="str">
        <f aca="false">IF(Tasks[[#This Row],[Task Name]]="","",IF(Tasks[[#This Row],[_IsSummary]],MAX(INDEX(Tasks[_LeafLateFinish],Tasks[[#This Row],[_Row]]+1):INDEX(Tasks[_LeafLateFinish],Tasks[[#This Row],[_Row]]+Tasks[[#This Row],[_Descendants]])),Tasks[[#This Row],[_LeafLateFinish]]))</f>
        <v/>
      </c>
      <c r="AV73" s="47"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5"/>
      <c r="BA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6"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7"/>
      <c r="BJ73" s="22"/>
      <c r="BK73" s="47" t="str">
        <f aca="false">IF(OR(Tasks[[#This Row],[Task Name]]="",Tasks[[#This Row],[Baseline Duration]]=""),"",Tasks[[#This Row],[_SpanDays]]-N(Tasks[[#This Row],[Baseline Duration]]))</f>
        <v/>
      </c>
      <c r="BL73" s="86" t="str">
        <f aca="false">IF(OR(Tasks[[#This Row],[Task Name]]="",Tasks[[#This Row],[Baseline Work]]=""),"",Tasks[[#This Row],[Work]]-N(Tasks[[#This Row],[Baseline Work]]))</f>
        <v/>
      </c>
      <c r="BM73" s="63" t="str">
        <f aca="false">IF(Tasks[[#This Row],[Task Name]]="","",IF(OR(TakeBaseline="Yes",N(Tasks[[#This Row],[Baseline Start]])=0),Tasks[[#This Row],[Start]],Tasks[[#This Row],[Baseline Start]]))</f>
        <v/>
      </c>
      <c r="BN73" s="63" t="str">
        <f aca="false">IF(Tasks[[#This Row],[Task Name]]="","",IF(OR(TakeBaseline="Yes",N(Tasks[[#This Row],[Baseline Finish]])=0),Tasks[[#This Row],[Finish]],Tasks[[#This Row],[Baseline Finish]]))</f>
        <v/>
      </c>
      <c r="BO73" s="21" t="str">
        <f aca="false">IF(Tasks[[#This Row],[Task Name]]="","",IF(OR(TakeBaseline="Yes",N(Tasks[[#This Row],[Baseline Duration]])=0),Tasks[[#This Row],[_SpanDays]],Tasks[[#This Row],[Baseline Duration]]))</f>
        <v/>
      </c>
      <c r="BP73" s="86" t="str">
        <f aca="false">IF(Tasks[[#This Row],[Task Name]]="","",IF(OR(TakeBaseline="Yes",N(Tasks[[#This Row],[Baseline Work]])=0),Tasks[[#This Row],[Work]],Tasks[[#This Row],[Baseline Work]]))</f>
        <v/>
      </c>
      <c r="BQ73" s="7"/>
      <c r="BR73" s="7"/>
      <c r="BS73" s="22"/>
      <c r="BT73" s="88"/>
      <c r="BU73" s="23"/>
      <c r="BV73" s="23"/>
      <c r="BW73" s="23"/>
      <c r="BX73" s="89" t="str">
        <f aca="false">IF(AND(Tasks[[#This Row],[_IsLeaf]]=1,ISNUMBER(Tasks[[#This Row],[Optimistic]]),ISNUMBER(Tasks[[#This Row],[Pessimistic]])),ROUND((Tasks[[#This Row],[Optimistic]]+4*N(Tasks[[#This Row],[_Days]])+Tasks[[#This Row],[Pessimistic]])/6,1),"")</f>
        <v/>
      </c>
      <c r="BY73" s="87"/>
      <c r="BZ73" s="87"/>
      <c r="CA73" s="22"/>
      <c r="CB73" s="43" t="str">
        <f aca="false">IF(Tasks[[#This Row],[Task Name]]="","",MAX(1,N(Tasks[[#This Row],[Level]])))</f>
        <v/>
      </c>
      <c r="CC73" s="43" t="n">
        <f aca="false">ROW()-ROW(Tasks[[#Headers],[ID]])</f>
        <v>68</v>
      </c>
      <c r="CD73" s="43" t="n">
        <f aca="false">IF(OR(Tasks[[#This Row],[Task Name]]="",Tasks[[#This Row],[_Level]]&lt;=1),0,IFERROR(LOOKUP(2,1/(Tasks[[#Headers],[_Level]]:Tasks[[#This Row],[_Level]]=Tasks[[#This Row],[_Level]]-1),ROW(Tasks[[#Headers],[_Level]]:Tasks[[#This Row],[_Level]])),0))</f>
        <v>0</v>
      </c>
      <c r="CE73" s="43" t="n">
        <f aca="false">IFERROR(N(INDEX(Tasks[_Level],Tasks[[#This Row],[_Row]]+1)),0)</f>
        <v>0</v>
      </c>
      <c r="CF73" s="90" t="b">
        <f aca="false">AND(Tasks[[#This Row],[Task Name]]&lt;&gt;"",Tasks[[#This Row],[_NextLevel]]&gt;Tasks[[#This Row],[_Level]])</f>
        <v>0</v>
      </c>
      <c r="CG73" s="43" t="n">
        <f aca="false">IF(Tasks[[#This Row],[_IsSummary]],COUNTIF(Tasks[WBS],Tasks[[#This Row],[WBS]]&amp;".*"),0)</f>
        <v>0</v>
      </c>
      <c r="CH73" s="43" t="n">
        <f aca="false">IF(AND(Tasks[[#This Row],[Task Name]]&lt;&gt;"",NOT(Tasks[[#This Row],[_IsSummary]])),1,0)</f>
        <v>0</v>
      </c>
      <c r="CI73" s="43" t="n">
        <f aca="false">IF(N(Tasks[[#This Row],[_Pred1UID]])=0,0,IFERROR(MATCH(Tasks[[#This Row],[_Pred1UID]],Tasks[UID],0),-1))</f>
        <v>0</v>
      </c>
      <c r="CJ73" s="43" t="n">
        <f aca="false">IF(N(Tasks[[#This Row],[_Pred2UID]])=0,0,IFERROR(MATCH(Tasks[[#This Row],[_Pred2UID]],Tasks[UID],0),-1))</f>
        <v>0</v>
      </c>
      <c r="CK73" s="43" t="n">
        <f aca="false">IF(N(Tasks[[#This Row],[_Pred3UID]])=0,0,IFERROR(MATCH(Tasks[[#This Row],[_Pred3UID]],Tasks[UID],0),-1))</f>
        <v>0</v>
      </c>
      <c r="CL73" s="43" t="n">
        <f aca="false">IF(N(Tasks[[#This Row],[_Pred4UID]])=0,0,IFERROR(MATCH(Tasks[[#This Row],[_Pred4UID]],Tasks[UID],0),-1))</f>
        <v>0</v>
      </c>
      <c r="CM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3" s="91" t="n">
        <f aca="false">IF(OR(Tasks[[#This Row],[_ConstraintCode]]=2,Tasks[[#This Row],[_ConstraintCode]]=3,Tasks[[#This Row],[_ConstraintCode]]=4,Tasks[[#This Row],[_ConstraintCode]]=6),Tasks[[#This Row],[_ConstraintStart]],0)</f>
        <v>0</v>
      </c>
      <c r="CP73" s="91" t="n">
        <f aca="false">IF(OR(Tasks[[#This Row],[_ConstraintCode]]=2,Tasks[[#This Row],[_ConstraintCode]]=3,Tasks[[#This Row],[_ConstraintCode]]=5,Tasks[[#This Row],[_ConstraintCode]]=7),Tasks[[#This Row],[_ConstraintStart]],2958465)</f>
        <v>2958465</v>
      </c>
      <c r="CQ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91" t="str">
        <f aca="false">IF(NOT(Tasks[[#This Row],[_IsLeaf]]=1),"",IF(N(Tasks[[#This Row],[_Days]])&lt;=0,Tasks[[#This Row],[_LeafCalcStart]],WORKDAY.INTL(Tasks[[#This Row],[_LeafCalcStart]],Tasks[[#This Row],[_Days]]-1,WorkWeek,Holidays)))</f>
        <v/>
      </c>
      <c r="CS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3" t="str">
        <f aca="false">IF(Tasks[[#This Row],[_Predecessors]]="","",TRIM(MID(SUBSTITUTE(SUBSTITUTE(SUBSTITUTE(UPPER(Tasks[[#This Row],[_Predecessors]]),";",",")," ",""),",",REPT(" ",99)),1,99)))</f>
        <v/>
      </c>
      <c r="CV73" s="43" t="str">
        <f aca="false">IF(Tasks[[#This Row],[_Pred1Text]]="","",IFERROR(VALUE(LEFT(Tasks[[#This Row],[_Pred1Text]],MIN(FIND("F",Tasks[[#This Row],[_Pred1Text]]&amp;"F"),FIND("S",Tasks[[#This Row],[_Pred1Text]]&amp;"S"),FIND("+",Tasks[[#This Row],[_Pred1Text]]&amp;"+"),FIND("-",Tasks[[#This Row],[_Pred1Text]]&amp;"-"))-1)),""))</f>
        <v/>
      </c>
      <c r="CW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3" t="str">
        <f aca="false">IF(Tasks[[#This Row],[_Pred1Text]]="","",TRIM(MID(SUBSTITUTE(SUBSTITUTE(SUBSTITUTE(UPPER(Tasks[[#This Row],[_Predecessors]]),";",",")," ",""),",",REPT(" ",99)),100,99)))</f>
        <v/>
      </c>
      <c r="CZ73" s="43" t="str">
        <f aca="false">IF(Tasks[[#This Row],[_Pred2Text]]="","",IFERROR(VALUE(LEFT(Tasks[[#This Row],[_Pred2Text]],MIN(FIND("F",Tasks[[#This Row],[_Pred2Text]]&amp;"F"),FIND("S",Tasks[[#This Row],[_Pred2Text]]&amp;"S"),FIND("+",Tasks[[#This Row],[_Pred2Text]]&amp;"+"),FIND("-",Tasks[[#This Row],[_Pred2Text]]&amp;"-"))-1)),""))</f>
        <v/>
      </c>
      <c r="DA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3" t="str">
        <f aca="false">IF(Tasks[[#This Row],[_Pred2Text]]="","",TRIM(MID(SUBSTITUTE(SUBSTITUTE(SUBSTITUTE(UPPER(Tasks[[#This Row],[_Predecessors]]),";",",")," ",""),",",REPT(" ",99)),199,99)))</f>
        <v/>
      </c>
      <c r="DD73" s="43" t="str">
        <f aca="false">IF(Tasks[[#This Row],[_Pred3Text]]="","",IFERROR(VALUE(LEFT(Tasks[[#This Row],[_Pred3Text]],MIN(FIND("F",Tasks[[#This Row],[_Pred3Text]]&amp;"F"),FIND("S",Tasks[[#This Row],[_Pred3Text]]&amp;"S"),FIND("+",Tasks[[#This Row],[_Pred3Text]]&amp;"+"),FIND("-",Tasks[[#This Row],[_Pred3Text]]&amp;"-"))-1)),""))</f>
        <v/>
      </c>
      <c r="DE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3" t="str">
        <f aca="false">IF(Tasks[[#This Row],[_Pred3Text]]="","",TRIM(MID(SUBSTITUTE(SUBSTITUTE(SUBSTITUTE(UPPER(Tasks[[#This Row],[_Predecessors]]),";",",")," ",""),",",REPT(" ",99)),298,99)))</f>
        <v/>
      </c>
      <c r="DH73" s="43" t="str">
        <f aca="false">IF(Tasks[[#This Row],[_Pred4Text]]="","",IFERROR(VALUE(LEFT(Tasks[[#This Row],[_Pred4Text]],MIN(FIND("F",Tasks[[#This Row],[_Pred4Text]]&amp;"F"),FIND("S",Tasks[[#This Row],[_Pred4Text]]&amp;"S"),FIND("+",Tasks[[#This Row],[_Pred4Text]]&amp;"+"),FIND("-",Tasks[[#This Row],[_Pred4Text]]&amp;"-"))-1)),""))</f>
        <v/>
      </c>
      <c r="DI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3" t="str">
        <f aca="false">IF(OR(Tasks[[#This Row],[Task Name]]="",Tasks[[#This Row],[_Resources]]=""),"",TRIM(MID(SUBSTITUTE(Tasks[[#This Row],[_Resources]],",",REPT(" ",99)),1,99)))</f>
        <v/>
      </c>
      <c r="DL73" s="43" t="str">
        <f aca="false">IF(Tasks[[#This Row],[_Res1Text]]="","",TRIM(MID(SUBSTITUTE(Tasks[[#This Row],[_Resources]],",",REPT(" ",99)),100,99)))</f>
        <v/>
      </c>
      <c r="DM73" s="43" t="str">
        <f aca="false">IF(Tasks[[#This Row],[_Res2Text]]="","",TRIM(MID(SUBSTITUTE(Tasks[[#This Row],[_Resources]],",",REPT(" ",99)),199,99)))</f>
        <v/>
      </c>
      <c r="DN73" s="43" t="str">
        <f aca="false">IF(Tasks[[#This Row],[_Res3Text]]="","",TRIM(MID(SUBSTITUTE(Tasks[[#This Row],[_Resources]],",",REPT(" ",99)),298,99)))</f>
        <v/>
      </c>
      <c r="DO73" s="43" t="n">
        <f aca="false">IF(Tasks[[#This Row],[_Res1Text]]="",0,IFERROR(MATCH(TRIM(LEFT(Tasks[[#This Row],[_Res1Text]],FIND("[",Tasks[[#This Row],[_Res1Text]]&amp;"[")-1)),res_Name,0),IFERROR(MATCH(TRIM(LEFT(Tasks[[#This Row],[_Res1Text]],FIND("[",Tasks[[#This Row],[_Res1Text]]&amp;"[")-1)),res_Initials,0),0)))</f>
        <v>0</v>
      </c>
      <c r="DP73" s="43" t="n">
        <f aca="false">IF(Tasks[[#This Row],[_Res2Text]]="",0,IFERROR(MATCH(TRIM(LEFT(Tasks[[#This Row],[_Res2Text]],FIND("[",Tasks[[#This Row],[_Res2Text]]&amp;"[")-1)),res_Name,0),IFERROR(MATCH(TRIM(LEFT(Tasks[[#This Row],[_Res2Text]],FIND("[",Tasks[[#This Row],[_Res2Text]]&amp;"[")-1)),res_Initials,0),0)))</f>
        <v>0</v>
      </c>
      <c r="DQ73" s="43" t="n">
        <f aca="false">IF(Tasks[[#This Row],[_Res3Text]]="",0,IFERROR(MATCH(TRIM(LEFT(Tasks[[#This Row],[_Res3Text]],FIND("[",Tasks[[#This Row],[_Res3Text]]&amp;"[")-1)),res_Name,0),IFERROR(MATCH(TRIM(LEFT(Tasks[[#This Row],[_Res3Text]],FIND("[",Tasks[[#This Row],[_Res3Text]]&amp;"[")-1)),res_Initials,0),0)))</f>
        <v>0</v>
      </c>
      <c r="DR73" s="43" t="n">
        <f aca="false">IF(Tasks[[#This Row],[_Res4Text]]="",0,IFERROR(MATCH(TRIM(LEFT(Tasks[[#This Row],[_Res4Text]],FIND("[",Tasks[[#This Row],[_Res4Text]]&amp;"[")-1)),res_Name,0),IFERROR(MATCH(TRIM(LEFT(Tasks[[#This Row],[_Res4Text]],FIND("[",Tasks[[#This Row],[_Res4Text]]&amp;"[")-1)),res_Initials,0),0)))</f>
        <v>0</v>
      </c>
      <c r="DS73" s="43" t="str">
        <f aca="false">IF(Tasks[[#This Row],[_Res1Text]]="","",IF(Tasks[[#This Row],[_Res1Row]]&gt;0,INDEX(res_Name,Tasks[[#This Row],[_Res1Row]]),TRIM(LEFT(Tasks[[#This Row],[_Res1Text]],FIND("[",Tasks[[#This Row],[_Res1Text]]&amp;"[")-1))))</f>
        <v/>
      </c>
      <c r="DT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3" t="n">
        <f aca="false">IF(NOT(Tasks[[#This Row],[_IsLeaf]]=1),0,(Tasks[[#This Row],[_Resource1]]&lt;&gt;"")+(Tasks[[#This Row],[_Res2]]&lt;&gt;"")+(Tasks[[#This Row],[_Res3]]&lt;&gt;"")+(Tasks[[#This Row],[_Res4]]&lt;&gt;""))</f>
        <v>0</v>
      </c>
      <c r="DV73" s="43" t="str">
        <f aca="false">IF(Tasks[[#This Row],[_Res2Text]]="","",IF(Tasks[[#This Row],[_Res2Row]]&gt;0,INDEX(res_Name,Tasks[[#This Row],[_Res2Row]]),TRIM(LEFT(Tasks[[#This Row],[_Res2Text]],FIND("[",Tasks[[#This Row],[_Res2Text]]&amp;"[")-1))))</f>
        <v/>
      </c>
      <c r="DW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3" t="n">
        <f aca="false">IF(OR(NOT(Tasks[[#This Row],[_IsLeaf]]=1),Tasks[[#This Row],[_Res2Row]]=0),0,N(Tasks[[#This Row],[_Days]])*HoursPerDay*IF(Tasks[[#This Row],[_Res2Units]]="",DefaultUnits,Tasks[[#This Row],[_Res2Units]]))</f>
        <v>0</v>
      </c>
      <c r="DY73" s="43" t="n">
        <f aca="false">IF(AND(AND(Tasks[[#This Row],[_IsLeaf]]=1,Tasks[[#This Row],[_LeafTotalWork]]&gt;0),Tasks[[#This Row],[_Res2Work]]&gt;0),Tasks[[#This Row],[_Res2Work]]/(Tasks[[#This Row],[_FinishWorkday]]-Tasks[[#This Row],[_StartWorkday]]+1),0)</f>
        <v>0</v>
      </c>
      <c r="DZ73" s="43" t="n">
        <f aca="false">Tasks[[#This Row],[_Res2WorkPerWD]]*MAX(0,Tasks[[#This Row],[_StartWorkday]]-1)</f>
        <v>0</v>
      </c>
      <c r="EA73" s="43" t="n">
        <f aca="false">Tasks[[#This Row],[_Res2Work]]*Tasks[[#This Row],[_LeafProgress]]</f>
        <v>0</v>
      </c>
      <c r="EB73" s="43" t="str">
        <f aca="false">IF(Tasks[[#This Row],[_Res3Text]]="","",IF(Tasks[[#This Row],[_Res3Row]]&gt;0,INDEX(res_Name,Tasks[[#This Row],[_Res3Row]]),TRIM(LEFT(Tasks[[#This Row],[_Res3Text]],FIND("[",Tasks[[#This Row],[_Res3Text]]&amp;"[")-1))))</f>
        <v/>
      </c>
      <c r="EC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3" t="n">
        <f aca="false">IF(OR(NOT(Tasks[[#This Row],[_IsLeaf]]=1),Tasks[[#This Row],[_Res3Row]]=0),0,N(Tasks[[#This Row],[_Days]])*HoursPerDay*IF(Tasks[[#This Row],[_Res3Units]]="",DefaultUnits,Tasks[[#This Row],[_Res3Units]]))</f>
        <v>0</v>
      </c>
      <c r="EE73" s="43" t="n">
        <f aca="false">IF(AND(AND(Tasks[[#This Row],[_IsLeaf]]=1,Tasks[[#This Row],[_LeafTotalWork]]&gt;0),Tasks[[#This Row],[_Res3Work]]&gt;0),Tasks[[#This Row],[_Res3Work]]/(Tasks[[#This Row],[_FinishWorkday]]-Tasks[[#This Row],[_StartWorkday]]+1),0)</f>
        <v>0</v>
      </c>
      <c r="EF73" s="43" t="n">
        <f aca="false">Tasks[[#This Row],[_Res3WorkPerWD]]*MAX(0,Tasks[[#This Row],[_StartWorkday]]-1)</f>
        <v>0</v>
      </c>
      <c r="EG73" s="43" t="n">
        <f aca="false">Tasks[[#This Row],[_Res3Work]]*Tasks[[#This Row],[_LeafProgress]]</f>
        <v>0</v>
      </c>
      <c r="EH73" s="43" t="str">
        <f aca="false">IF(Tasks[[#This Row],[_Res4Text]]="","",IF(Tasks[[#This Row],[_Res4Row]]&gt;0,INDEX(res_Name,Tasks[[#This Row],[_Res4Row]]),TRIM(LEFT(Tasks[[#This Row],[_Res4Text]],FIND("[",Tasks[[#This Row],[_Res4Text]]&amp;"[")-1))))</f>
        <v/>
      </c>
      <c r="EI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3" t="n">
        <f aca="false">IF(OR(NOT(Tasks[[#This Row],[_IsLeaf]]=1),Tasks[[#This Row],[_Res4Row]]=0),0,N(Tasks[[#This Row],[_Days]])*HoursPerDay*IF(Tasks[[#This Row],[_Res4Units]]="",DefaultUnits,Tasks[[#This Row],[_Res4Units]]))</f>
        <v>0</v>
      </c>
      <c r="EK73" s="43" t="n">
        <f aca="false">IF(AND(AND(Tasks[[#This Row],[_IsLeaf]]=1,Tasks[[#This Row],[_LeafTotalWork]]&gt;0),Tasks[[#This Row],[_Res4Work]]&gt;0),Tasks[[#This Row],[_Res4Work]]/(Tasks[[#This Row],[_FinishWorkday]]-Tasks[[#This Row],[_StartWorkday]]+1),0)</f>
        <v>0</v>
      </c>
      <c r="EL73" s="43" t="n">
        <f aca="false">Tasks[[#This Row],[_Res4WorkPerWD]]*MAX(0,Tasks[[#This Row],[_StartWorkday]]-1)</f>
        <v>0</v>
      </c>
      <c r="EM73" s="43" t="n">
        <f aca="false">Tasks[[#This Row],[_Res4Work]]*Tasks[[#This Row],[_LeafProgress]]</f>
        <v>0</v>
      </c>
      <c r="EN73" s="43" t="n">
        <f aca="false">IF(ISNUMBER(Tasks[[#This Row],[% Complete]]),Tasks[[#This Row],[% Complete]],IF(Tasks[[#This Row],[Stage]]="",0,IFERROR(INDEX(stg_Pct,MATCH(Tasks[[#This Row],[Stage]],stg_Name,0)),0)))</f>
        <v>0</v>
      </c>
      <c r="EO73" s="43" t="n">
        <f aca="false">IF(NOT(Tasks[[#This Row],[_IsLeaf]]=1),0,IF(N(Tasks[[#This Row],[Actual Finish]])&gt;0,1,MIN(1,Tasks[[#This Row],[_Pct]])))</f>
        <v>0</v>
      </c>
      <c r="EP73" s="43" t="n">
        <f aca="false">IF(OR(NOT(Tasks[[#This Row],[_IsLeaf]]=1),Tasks[[#This Row],[_Res1Row]]=0),0,N(Tasks[[#This Row],[_Days]])*HoursPerDay*IF(Tasks[[#This Row],[_Units1]]="",DefaultUnits,Tasks[[#This Row],[_Units1]]))</f>
        <v>0</v>
      </c>
      <c r="EQ73" s="43" t="n">
        <f aca="false">Tasks[[#This Row],[_LeafWork]]+Tasks[[#This Row],[_Res2Work]]+Tasks[[#This Row],[_Res3Work]]+Tasks[[#This Row],[_Res4Work]]</f>
        <v>0</v>
      </c>
      <c r="ER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3" t="n">
        <f aca="false">IF(NOT(Tasks[[#This Row],[_IsLeaf]]=1),0,MAX(_xlfn.MAXIFS(Tasks[_Row],Tasks[_Pred1UID],Tasks[[#This Row],[UID]]),_xlfn.MAXIFS(Tasks[_Row],Tasks[_Pred2UID],Tasks[[#This Row],[UID]]),_xlfn.MAXIFS(Tasks[_Row],Tasks[_Pred3UID],Tasks[[#This Row],[UID]]),_xlfn.MAXIFS(Tasks[_Row],Tasks[_Pred4UID],Tasks[[#This Row],[UID]])))</f>
        <v>0</v>
      </c>
      <c r="FA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91" t="str">
        <f aca="false">IF(NOT(Tasks[[#This Row],[_IsLeaf]]=1),"",IF(N(Tasks[[#This Row],[_Days]])&lt;=0,Tasks[[#This Row],[_LeafLateFinish]],WORKDAY.INTL(Tasks[[#This Row],[_LeafLateFinish]],-(Tasks[[#This Row],[_Days]]-1),WorkWeek,Holidays)))</f>
        <v/>
      </c>
      <c r="FD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3" s="90" t="b">
        <f aca="false">AND(Tasks[[#This Row],[_IsLeaf]]=1,Tasks[[#This Row],[_LeafProgress]]&lt;1,N(Tasks[[#This Row],[_LeafTotalSlack]])&lt;=CriticalSlackDays)</f>
        <v>0</v>
      </c>
      <c r="FF73" s="43" t="n">
        <f aca="false">IF(AND(Tasks[[#This Row],[_IsLeaf]]=1,Tasks[[#This Row],[_ConstraintCode]]=1,Tasks[[#This Row],[Mode]]&lt;&gt;"Manual",N(Tasks[[#This Row],[Actual Start]])=0),MAX(0,N(Tasks[[#This Row],[Free Slack]])),0)</f>
        <v>0</v>
      </c>
      <c r="FG73" s="91" t="str">
        <f aca="false">IF(NOT(Tasks[[#This Row],[_IsLeaf]]=1),"",IF(Tasks[[#This Row],[_AlapShift]]=0,Tasks[[#This Row],[_LeafCalcStart]],WORKDAY.INTL(Tasks[[#This Row],[_LeafCalcStart]],Tasks[[#This Row],[_AlapShift]],WorkWeek,Holidays)))</f>
        <v/>
      </c>
      <c r="FH73" s="91" t="str">
        <f aca="false">IF(NOT(Tasks[[#This Row],[_IsLeaf]]=1),"",IF(Tasks[[#This Row],[_AlapShift]]=0,Tasks[[#This Row],[_LeafCalcFinish]],WORKDAY.INTL(Tasks[[#This Row],[_LeafCalcFinish]],Tasks[[#This Row],[_AlapShift]],WorkWeek,Holidays)))</f>
        <v/>
      </c>
      <c r="FI73" s="91" t="str">
        <f aca="false">IF(NOT(Tasks[[#This Row],[_IsLeaf]]=1),"",IF(Tasks[[#This Row],[_AlapShift]]=0,Tasks[[#This Row],[_LeafFcstStart]],WORKDAY.INTL(Tasks[[#This Row],[_LeafFcstStart]],Tasks[[#This Row],[_AlapShift]],WorkWeek,Holidays)))</f>
        <v/>
      </c>
      <c r="FJ73" s="91" t="str">
        <f aca="false">IF(NOT(Tasks[[#This Row],[_IsLeaf]]=1),"",IF(Tasks[[#This Row],[_AlapShift]]=0,Tasks[[#This Row],[_LeafFcstFinish]],WORKDAY.INTL(Tasks[[#This Row],[_LeafFcstFinish]],Tasks[[#This Row],[_AlapShift]],WorkWeek,Holidays)))</f>
        <v/>
      </c>
      <c r="FK73" s="91" t="str">
        <f aca="false">IF(Tasks[[#This Row],[Task Name]]="","",IF(Tasks[[#This Row],[_IsSummary]],MIN(INDEX(Tasks[_ShownCalcStart],Tasks[[#This Row],[_Row]]+1):INDEX(Tasks[_ShownCalcStart],Tasks[[#This Row],[_Row]]+Tasks[[#This Row],[_Descendants]])),Tasks[[#This Row],[_ShownCalcStart]]))</f>
        <v/>
      </c>
      <c r="FL73" s="91" t="str">
        <f aca="false">IF(Tasks[[#This Row],[Task Name]]="","",IF(Tasks[[#This Row],[_IsSummary]],MAX(INDEX(Tasks[_ShownCalcFinish],Tasks[[#This Row],[_Row]]+1):INDEX(Tasks[_ShownCalcFinish],Tasks[[#This Row],[_Row]]+Tasks[[#This Row],[_Descendants]])),Tasks[[#This Row],[_ShownCalcFinish]]))</f>
        <v/>
      </c>
      <c r="FM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3" s="43" t="n">
        <f aca="false">IF(AND(Tasks[[#This Row],[_IsLeaf]]=1,Tasks[[#This Row],[_LeafTotalWork]]&gt;0),NETWORKDAYS.INTL(ProjectStart,Tasks[[#This Row],[_ShownFcstStart]],WorkWeek,Holidays),0)</f>
        <v>0</v>
      </c>
      <c r="FZ73" s="43" t="n">
        <f aca="false">IF(AND(Tasks[[#This Row],[_IsLeaf]]=1,Tasks[[#This Row],[_LeafTotalWork]]&gt;0),MAX(Tasks[[#This Row],[_StartWorkday]],NETWORKDAYS.INTL(ProjectStart,Tasks[[#This Row],[_ShownFcstFinish]],WorkWeek,Holidays)),0)</f>
        <v>0</v>
      </c>
      <c r="GA73" s="43" t="n">
        <f aca="false">IF(AND(Tasks[[#This Row],[_IsLeaf]]=1,Tasks[[#This Row],[_LeafTotalWork]]&gt;0),Tasks[[#This Row],[_LeafWork]]/(Tasks[[#This Row],[_FinishWorkday]]-Tasks[[#This Row],[_StartWorkday]]+1),0)</f>
        <v>0</v>
      </c>
      <c r="GB73" s="43" t="n">
        <f aca="false">Tasks[[#This Row],[_WorkPerWorkday]]*(Tasks[[#This Row],[_StartWorkday]]-1)</f>
        <v>-0</v>
      </c>
      <c r="GC73" s="43" t="n">
        <f aca="false">IF(Tasks[[#This Row],[_IsLeaf]]=1,MAX(N(Tasks[[#This Row],[_Days]]),0.1),0)</f>
        <v>0</v>
      </c>
      <c r="GD73" s="43" t="n">
        <f aca="false">Tasks[[#This Row],[_WeightDur]]*Tasks[[#This Row],[_LeafProgress]]</f>
        <v>0</v>
      </c>
      <c r="GE73" s="43" t="n">
        <f aca="false">Tasks[[#This Row],[_WeightDur]]*Tasks[[#This Row],[_PlannedPct]]</f>
        <v>0</v>
      </c>
      <c r="GF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3" t="str">
        <f aca="false">IF(AND(Tasks[[#This Row],[_IsLeaf]]=1,N(Tasks[[#This Row],[_Days]])=0,Tasks[[#This Row],[_LeafProgress]]&lt;1),Tasks[[#This Row],[_ShownFcstFinish]]+Tasks[[#This Row],[_Row]]/100000,"")</f>
        <v/>
      </c>
      <c r="GH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3" s="43" t="str">
        <f aca="false">IF(Tasks[[#This Row],[Task Name]]="","",LEFT(Tasks[[#This Row],[WBS]],FIND(".",Tasks[[#This Row],[WBS]]&amp;".")-1))</f>
        <v/>
      </c>
      <c r="GJ73" s="43" t="str">
        <f aca="false">IF(AND(Tasks[[#This Row],[Task Name]]&lt;&gt;"",Tasks[[#This Row],[_Level]]=1),Tasks[[#This Row],[_Row]],"")</f>
        <v/>
      </c>
      <c r="GK73" s="43" t="str">
        <f aca="false">IF(AND(Tasks[[#This Row],[_IsLeaf]]=1,N(Tasks[[#This Row],[_Days]])=0),Tasks[[#This Row],[Planned Finish]]+Tasks[[#This Row],[_Row]]/100000,"")</f>
        <v/>
      </c>
      <c r="GL73" s="43" t="str">
        <f aca="false">IF(AND(Tasks[[#This Row],[_IsLeaf]]=1,Tasks[[#This Row],[_LeafProgress]]&lt;1,OR(N(Tasks[[#This Row],[Finish Var]])&gt;0,Tasks[[#This Row],[Status]]="Late Start")),MAX(0,Tasks[[#This Row],[Finish Var]])+1-Tasks[[#This Row],[_Row]]/1000000,"")</f>
        <v/>
      </c>
      <c r="GM73" s="43" t="str">
        <f aca="false">IF(AND(Tasks[[#This Row],[_IsLeaf]]=1,N(Tasks[[#This Row],[Actual Start]])=0,Tasks[[#This Row],[_ShownFcstStart]]&gt;=StatusDate,Tasks[[#This Row],[_ShownFcstStart]]&lt;=LookaheadEnd),Tasks[[#This Row],[_ShownFcstStart]]+Tasks[[#This Row],[_Row]]/100000,"")</f>
        <v/>
      </c>
      <c r="GN73" s="43" t="str">
        <f aca="false">IF(AND(Tasks[[#This Row],[_IsLeaf]]=1,Tasks[[#This Row],[_LeafProgress]]&lt;1,Tasks[[#This Row],[_ShownFcstFinish]]&gt;=StatusDate,Tasks[[#This Row],[_ShownFcstFinish]]&lt;=LookaheadEnd),Tasks[[#This Row],[_ShownFcstFinish]]+Tasks[[#This Row],[_Row]]/100000,"")</f>
        <v/>
      </c>
      <c r="GO73" s="43" t="str">
        <f aca="false">IF(Tasks[[#This Row],[_LeafCritical]],Tasks[[#This Row],[_ShownFcstStart]]+Tasks[[#This Row],[_Row]]/100000,"")</f>
        <v/>
      </c>
      <c r="GP73" s="43" t="n">
        <f aca="false">Tasks[[#This Row],[_LeafWork]]*Tasks[[#This Row],[_LeafProgress]]</f>
        <v>0</v>
      </c>
      <c r="GQ73" s="91" t="str">
        <f aca="false">IF(AND(Tasks[[#This Row],[_IsLeaf]]=1,Tasks[[#This Row],[_LeafProgress]]&gt;=1),IF(N(Tasks[[#This Row],[Actual Finish]])&gt;0,Tasks[[#This Row],[Actual Finish]],Tasks[[#This Row],[_ShownFcstFinish]]),"")</f>
        <v/>
      </c>
      <c r="GR73" s="43" t="n">
        <f aca="false">IF(Tasks[[#This Row],[_IsLeaf]]=1,N(Tasks[[#This Row],[Story Points]]),0)</f>
        <v>0</v>
      </c>
      <c r="GS73" s="43" t="str">
        <f aca="false">""</f>
        <v/>
      </c>
      <c r="GT73" s="90" t="b">
        <f aca="false">IF(Tasks[[#This Row],[Task Name]]="",FALSE(),AND(Tasks[[#This Row],[_IsLeaf]]=1,N(Tasks[[#This Row],[_Days]])=0))</f>
        <v>0</v>
      </c>
      <c r="GU73" s="91" t="n">
        <f aca="false">IF(Tasks[[#This Row],[Task Name]]="",0,IF(AND(Tasks[[#This Row],[_IsLeaf]]=1,NOT(Tasks[[#This Row],[_IsMilestone]]),N(Tasks[[#This Row],[Progress]])&gt;0),Tasks[[#This Row],[Start]],0))</f>
        <v>0</v>
      </c>
      <c r="GV73" s="91" t="n">
        <f aca="false">IF(Tasks[[#This Row],[_DoneFrom]]=0,0,IF(Tasks[[#This Row],[Progress]]&gt;=1,Tasks[[#This Row],[Finish]],MAX(Tasks[[#This Row],[_DoneFrom]],Tasks[[#This Row],[Start]]+ROUND((Tasks[[#This Row],[Finish]]-Tasks[[#This Row],[Start]]+1)*Tasks[[#This Row],[Progress]],0)-1)))</f>
        <v>0</v>
      </c>
      <c r="GW73" s="91" t="n">
        <f aca="false">IF(Tasks[[#This Row],[Task Name]]="",0,IF(OR(NOT(Tasks[[#This Row],[_IsLeaf]]=1),Tasks[[#This Row],[_IsMilestone]],N(Tasks[[#This Row],[Progress]])&gt;=1),0,IF(Tasks[[#This Row],[_DoneTo]]&gt;0,Tasks[[#This Row],[_DoneTo]]+1,Tasks[[#This Row],[Start]])))</f>
        <v>0</v>
      </c>
      <c r="GX73" s="91" t="n">
        <f aca="false">IF(Tasks[[#This Row],[_RemFrom]]=0,0,Tasks[[#This Row],[Finish]])</f>
        <v>0</v>
      </c>
      <c r="GY73" s="90" t="b">
        <f aca="false">IF(Tasks[[#This Row],[Task Name]]="",FALSE(),OR(NOT(BaselineSet),N(Tasks[[#This Row],[Baseline Start]])&gt;0))</f>
        <v>0</v>
      </c>
      <c r="GZ7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92" t="str">
        <f aca="false">IF(Tasks[[#This Row],[_IsLeaf]]=1,Tasks[[#This Row],[_Row]],"")</f>
        <v/>
      </c>
      <c r="HD73" s="92" t="str">
        <f aca="false">IFERROR(INDEX(Tasks[UID],SMALL(Tasks[_PickKey],Tasks[[#This Row],[_Row]]))&amp;" "&amp;INDEX(Tasks[Task Name],SMALL(Tasks[_PickKey],Tasks[[#This Row],[_Row]])),"")</f>
        <v/>
      </c>
      <c r="HE73" s="43" t="str">
        <f aca="false">IF(Tasks[[#This Row],[Task Name]]="","",IF(Tasks[[#This Row],[_IsSummary]],NETWORKDAYS.INTL(Tasks[[#This Row],[Start]],Tasks[[#This Row],[Finish]],WorkWeek,Holidays),N(Tasks[[#This Row],[_Days]])))</f>
        <v/>
      </c>
      <c r="HF73" s="43" t="n">
        <f aca="false">IF(Tasks[[#This Row],[Expected]]="",0,((Tasks[[#This Row],[Pessimistic]]-Tasks[[#This Row],[Optimistic]])/6)^2)</f>
        <v>0</v>
      </c>
      <c r="HG73" s="43" t="n">
        <f aca="false">IF(Tasks[[#This Row],[Expected]]="",0,Tasks[[#This Row],[Expected]]-N(Tasks[[#This Row],[_Days]]))</f>
        <v>0</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4"/>
      <c r="U74" s="23"/>
      <c r="V74" s="84"/>
      <c r="W74" s="23"/>
      <c r="X74" s="84"/>
      <c r="Y74" s="23"/>
      <c r="Z74" s="84"/>
      <c r="AA74" s="23"/>
      <c r="AB74" s="23"/>
      <c r="AC74" s="7"/>
      <c r="AD74" s="7"/>
      <c r="AE74" s="63" t="str">
        <f aca="false">IF(Tasks[[#This Row],[Task Name]]="","",IF(Tasks[[#This Row],[_IsSummary]],MIN(INDEX(Tasks[_ShownFcstStart],Tasks[[#This Row],[_Row]]+1):INDEX(Tasks[_ShownFcstStart],Tasks[[#This Row],[_Row]]+Tasks[[#This Row],[_Descendants]])),Tasks[[#This Row],[_ShownFcstStart]]))</f>
        <v/>
      </c>
      <c r="AF74" s="63"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4" s="7"/>
      <c r="AK74" s="22"/>
      <c r="AL74" s="23"/>
      <c r="AM74" s="7"/>
      <c r="AN74" s="47"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3" t="str">
        <f aca="false">IF(Tasks[[#This Row],[Task Name]]="","",IF(N(Tasks[[#This Row],[Baseline Start]])&gt;0,Tasks[[#This Row],[Baseline Start]],Tasks[[#This Row],[_CalcStart]]))</f>
        <v/>
      </c>
      <c r="AR74" s="63" t="str">
        <f aca="false">IF(Tasks[[#This Row],[Task Name]]="","",IF(N(Tasks[[#This Row],[Baseline Finish]])&gt;0,Tasks[[#This Row],[Baseline Finish]],Tasks[[#This Row],[_CalcFinish]]))</f>
        <v/>
      </c>
      <c r="AS74" s="47" t="str">
        <f aca="false">IF(Tasks[[#This Row],[Task Name]]="","",IF(Tasks[[#This Row],[Start]]&gt;=Tasks[[#This Row],[Planned Start]],NETWORKDAYS.INTL(Tasks[[#This Row],[Planned Start]],Tasks[[#This Row],[Start]],WorkWeek,Holidays)-1,1-NETWORKDAYS.INTL(Tasks[[#This Row],[Start]],Tasks[[#This Row],[Planned Start]],WorkWeek,Holidays)))</f>
        <v/>
      </c>
      <c r="AT74" s="63" t="str">
        <f aca="false">IF(Tasks[[#This Row],[Task Name]]="","",IF(Tasks[[#This Row],[_IsSummary]],MIN(INDEX(Tasks[_LeafLateStart],Tasks[[#This Row],[_Row]]+1):INDEX(Tasks[_LeafLateStart],Tasks[[#This Row],[_Row]]+Tasks[[#This Row],[_Descendants]])),Tasks[[#This Row],[_LeafLateStart]]))</f>
        <v/>
      </c>
      <c r="AU74" s="63" t="str">
        <f aca="false">IF(Tasks[[#This Row],[Task Name]]="","",IF(Tasks[[#This Row],[_IsSummary]],MAX(INDEX(Tasks[_LeafLateFinish],Tasks[[#This Row],[_Row]]+1):INDEX(Tasks[_LeafLateFinish],Tasks[[#This Row],[_Row]]+Tasks[[#This Row],[_Descendants]])),Tasks[[#This Row],[_LeafLateFinish]]))</f>
        <v/>
      </c>
      <c r="AV74" s="47"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5"/>
      <c r="BA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6"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7"/>
      <c r="BJ74" s="22"/>
      <c r="BK74" s="47" t="str">
        <f aca="false">IF(OR(Tasks[[#This Row],[Task Name]]="",Tasks[[#This Row],[Baseline Duration]]=""),"",Tasks[[#This Row],[_SpanDays]]-N(Tasks[[#This Row],[Baseline Duration]]))</f>
        <v/>
      </c>
      <c r="BL74" s="86" t="str">
        <f aca="false">IF(OR(Tasks[[#This Row],[Task Name]]="",Tasks[[#This Row],[Baseline Work]]=""),"",Tasks[[#This Row],[Work]]-N(Tasks[[#This Row],[Baseline Work]]))</f>
        <v/>
      </c>
      <c r="BM74" s="63" t="str">
        <f aca="false">IF(Tasks[[#This Row],[Task Name]]="","",IF(OR(TakeBaseline="Yes",N(Tasks[[#This Row],[Baseline Start]])=0),Tasks[[#This Row],[Start]],Tasks[[#This Row],[Baseline Start]]))</f>
        <v/>
      </c>
      <c r="BN74" s="63" t="str">
        <f aca="false">IF(Tasks[[#This Row],[Task Name]]="","",IF(OR(TakeBaseline="Yes",N(Tasks[[#This Row],[Baseline Finish]])=0),Tasks[[#This Row],[Finish]],Tasks[[#This Row],[Baseline Finish]]))</f>
        <v/>
      </c>
      <c r="BO74" s="21" t="str">
        <f aca="false">IF(Tasks[[#This Row],[Task Name]]="","",IF(OR(TakeBaseline="Yes",N(Tasks[[#This Row],[Baseline Duration]])=0),Tasks[[#This Row],[_SpanDays]],Tasks[[#This Row],[Baseline Duration]]))</f>
        <v/>
      </c>
      <c r="BP74" s="86" t="str">
        <f aca="false">IF(Tasks[[#This Row],[Task Name]]="","",IF(OR(TakeBaseline="Yes",N(Tasks[[#This Row],[Baseline Work]])=0),Tasks[[#This Row],[Work]],Tasks[[#This Row],[Baseline Work]]))</f>
        <v/>
      </c>
      <c r="BQ74" s="7"/>
      <c r="BR74" s="7"/>
      <c r="BS74" s="22"/>
      <c r="BT74" s="88"/>
      <c r="BU74" s="23"/>
      <c r="BV74" s="23"/>
      <c r="BW74" s="23"/>
      <c r="BX74" s="89" t="str">
        <f aca="false">IF(AND(Tasks[[#This Row],[_IsLeaf]]=1,ISNUMBER(Tasks[[#This Row],[Optimistic]]),ISNUMBER(Tasks[[#This Row],[Pessimistic]])),ROUND((Tasks[[#This Row],[Optimistic]]+4*N(Tasks[[#This Row],[_Days]])+Tasks[[#This Row],[Pessimistic]])/6,1),"")</f>
        <v/>
      </c>
      <c r="BY74" s="87"/>
      <c r="BZ74" s="87"/>
      <c r="CA74" s="22"/>
      <c r="CB74" s="43" t="str">
        <f aca="false">IF(Tasks[[#This Row],[Task Name]]="","",MAX(1,N(Tasks[[#This Row],[Level]])))</f>
        <v/>
      </c>
      <c r="CC74" s="43" t="n">
        <f aca="false">ROW()-ROW(Tasks[[#Headers],[ID]])</f>
        <v>69</v>
      </c>
      <c r="CD74" s="43" t="n">
        <f aca="false">IF(OR(Tasks[[#This Row],[Task Name]]="",Tasks[[#This Row],[_Level]]&lt;=1),0,IFERROR(LOOKUP(2,1/(Tasks[[#Headers],[_Level]]:Tasks[[#This Row],[_Level]]=Tasks[[#This Row],[_Level]]-1),ROW(Tasks[[#Headers],[_Level]]:Tasks[[#This Row],[_Level]])),0))</f>
        <v>0</v>
      </c>
      <c r="CE74" s="43" t="n">
        <f aca="false">IFERROR(N(INDEX(Tasks[_Level],Tasks[[#This Row],[_Row]]+1)),0)</f>
        <v>0</v>
      </c>
      <c r="CF74" s="90" t="b">
        <f aca="false">AND(Tasks[[#This Row],[Task Name]]&lt;&gt;"",Tasks[[#This Row],[_NextLevel]]&gt;Tasks[[#This Row],[_Level]])</f>
        <v>0</v>
      </c>
      <c r="CG74" s="43" t="n">
        <f aca="false">IF(Tasks[[#This Row],[_IsSummary]],COUNTIF(Tasks[WBS],Tasks[[#This Row],[WBS]]&amp;".*"),0)</f>
        <v>0</v>
      </c>
      <c r="CH74" s="43" t="n">
        <f aca="false">IF(AND(Tasks[[#This Row],[Task Name]]&lt;&gt;"",NOT(Tasks[[#This Row],[_IsSummary]])),1,0)</f>
        <v>0</v>
      </c>
      <c r="CI74" s="43" t="n">
        <f aca="false">IF(N(Tasks[[#This Row],[_Pred1UID]])=0,0,IFERROR(MATCH(Tasks[[#This Row],[_Pred1UID]],Tasks[UID],0),-1))</f>
        <v>0</v>
      </c>
      <c r="CJ74" s="43" t="n">
        <f aca="false">IF(N(Tasks[[#This Row],[_Pred2UID]])=0,0,IFERROR(MATCH(Tasks[[#This Row],[_Pred2UID]],Tasks[UID],0),-1))</f>
        <v>0</v>
      </c>
      <c r="CK74" s="43" t="n">
        <f aca="false">IF(N(Tasks[[#This Row],[_Pred3UID]])=0,0,IFERROR(MATCH(Tasks[[#This Row],[_Pred3UID]],Tasks[UID],0),-1))</f>
        <v>0</v>
      </c>
      <c r="CL74" s="43" t="n">
        <f aca="false">IF(N(Tasks[[#This Row],[_Pred4UID]])=0,0,IFERROR(MATCH(Tasks[[#This Row],[_Pred4UID]],Tasks[UID],0),-1))</f>
        <v>0</v>
      </c>
      <c r="CM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4" s="91" t="n">
        <f aca="false">IF(OR(Tasks[[#This Row],[_ConstraintCode]]=2,Tasks[[#This Row],[_ConstraintCode]]=3,Tasks[[#This Row],[_ConstraintCode]]=4,Tasks[[#This Row],[_ConstraintCode]]=6),Tasks[[#This Row],[_ConstraintStart]],0)</f>
        <v>0</v>
      </c>
      <c r="CP74" s="91" t="n">
        <f aca="false">IF(OR(Tasks[[#This Row],[_ConstraintCode]]=2,Tasks[[#This Row],[_ConstraintCode]]=3,Tasks[[#This Row],[_ConstraintCode]]=5,Tasks[[#This Row],[_ConstraintCode]]=7),Tasks[[#This Row],[_ConstraintStart]],2958465)</f>
        <v>2958465</v>
      </c>
      <c r="CQ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91" t="str">
        <f aca="false">IF(NOT(Tasks[[#This Row],[_IsLeaf]]=1),"",IF(N(Tasks[[#This Row],[_Days]])&lt;=0,Tasks[[#This Row],[_LeafCalcStart]],WORKDAY.INTL(Tasks[[#This Row],[_LeafCalcStart]],Tasks[[#This Row],[_Days]]-1,WorkWeek,Holidays)))</f>
        <v/>
      </c>
      <c r="CS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3" t="str">
        <f aca="false">IF(Tasks[[#This Row],[_Predecessors]]="","",TRIM(MID(SUBSTITUTE(SUBSTITUTE(SUBSTITUTE(UPPER(Tasks[[#This Row],[_Predecessors]]),";",",")," ",""),",",REPT(" ",99)),1,99)))</f>
        <v/>
      </c>
      <c r="CV74" s="43" t="str">
        <f aca="false">IF(Tasks[[#This Row],[_Pred1Text]]="","",IFERROR(VALUE(LEFT(Tasks[[#This Row],[_Pred1Text]],MIN(FIND("F",Tasks[[#This Row],[_Pred1Text]]&amp;"F"),FIND("S",Tasks[[#This Row],[_Pred1Text]]&amp;"S"),FIND("+",Tasks[[#This Row],[_Pred1Text]]&amp;"+"),FIND("-",Tasks[[#This Row],[_Pred1Text]]&amp;"-"))-1)),""))</f>
        <v/>
      </c>
      <c r="CW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3" t="str">
        <f aca="false">IF(Tasks[[#This Row],[_Pred1Text]]="","",TRIM(MID(SUBSTITUTE(SUBSTITUTE(SUBSTITUTE(UPPER(Tasks[[#This Row],[_Predecessors]]),";",",")," ",""),",",REPT(" ",99)),100,99)))</f>
        <v/>
      </c>
      <c r="CZ74" s="43" t="str">
        <f aca="false">IF(Tasks[[#This Row],[_Pred2Text]]="","",IFERROR(VALUE(LEFT(Tasks[[#This Row],[_Pred2Text]],MIN(FIND("F",Tasks[[#This Row],[_Pred2Text]]&amp;"F"),FIND("S",Tasks[[#This Row],[_Pred2Text]]&amp;"S"),FIND("+",Tasks[[#This Row],[_Pred2Text]]&amp;"+"),FIND("-",Tasks[[#This Row],[_Pred2Text]]&amp;"-"))-1)),""))</f>
        <v/>
      </c>
      <c r="DA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3" t="str">
        <f aca="false">IF(Tasks[[#This Row],[_Pred2Text]]="","",TRIM(MID(SUBSTITUTE(SUBSTITUTE(SUBSTITUTE(UPPER(Tasks[[#This Row],[_Predecessors]]),";",",")," ",""),",",REPT(" ",99)),199,99)))</f>
        <v/>
      </c>
      <c r="DD74" s="43" t="str">
        <f aca="false">IF(Tasks[[#This Row],[_Pred3Text]]="","",IFERROR(VALUE(LEFT(Tasks[[#This Row],[_Pred3Text]],MIN(FIND("F",Tasks[[#This Row],[_Pred3Text]]&amp;"F"),FIND("S",Tasks[[#This Row],[_Pred3Text]]&amp;"S"),FIND("+",Tasks[[#This Row],[_Pred3Text]]&amp;"+"),FIND("-",Tasks[[#This Row],[_Pred3Text]]&amp;"-"))-1)),""))</f>
        <v/>
      </c>
      <c r="DE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3" t="str">
        <f aca="false">IF(Tasks[[#This Row],[_Pred3Text]]="","",TRIM(MID(SUBSTITUTE(SUBSTITUTE(SUBSTITUTE(UPPER(Tasks[[#This Row],[_Predecessors]]),";",",")," ",""),",",REPT(" ",99)),298,99)))</f>
        <v/>
      </c>
      <c r="DH74" s="43" t="str">
        <f aca="false">IF(Tasks[[#This Row],[_Pred4Text]]="","",IFERROR(VALUE(LEFT(Tasks[[#This Row],[_Pred4Text]],MIN(FIND("F",Tasks[[#This Row],[_Pred4Text]]&amp;"F"),FIND("S",Tasks[[#This Row],[_Pred4Text]]&amp;"S"),FIND("+",Tasks[[#This Row],[_Pred4Text]]&amp;"+"),FIND("-",Tasks[[#This Row],[_Pred4Text]]&amp;"-"))-1)),""))</f>
        <v/>
      </c>
      <c r="DI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3" t="str">
        <f aca="false">IF(OR(Tasks[[#This Row],[Task Name]]="",Tasks[[#This Row],[_Resources]]=""),"",TRIM(MID(SUBSTITUTE(Tasks[[#This Row],[_Resources]],",",REPT(" ",99)),1,99)))</f>
        <v/>
      </c>
      <c r="DL74" s="43" t="str">
        <f aca="false">IF(Tasks[[#This Row],[_Res1Text]]="","",TRIM(MID(SUBSTITUTE(Tasks[[#This Row],[_Resources]],",",REPT(" ",99)),100,99)))</f>
        <v/>
      </c>
      <c r="DM74" s="43" t="str">
        <f aca="false">IF(Tasks[[#This Row],[_Res2Text]]="","",TRIM(MID(SUBSTITUTE(Tasks[[#This Row],[_Resources]],",",REPT(" ",99)),199,99)))</f>
        <v/>
      </c>
      <c r="DN74" s="43" t="str">
        <f aca="false">IF(Tasks[[#This Row],[_Res3Text]]="","",TRIM(MID(SUBSTITUTE(Tasks[[#This Row],[_Resources]],",",REPT(" ",99)),298,99)))</f>
        <v/>
      </c>
      <c r="DO74" s="43" t="n">
        <f aca="false">IF(Tasks[[#This Row],[_Res1Text]]="",0,IFERROR(MATCH(TRIM(LEFT(Tasks[[#This Row],[_Res1Text]],FIND("[",Tasks[[#This Row],[_Res1Text]]&amp;"[")-1)),res_Name,0),IFERROR(MATCH(TRIM(LEFT(Tasks[[#This Row],[_Res1Text]],FIND("[",Tasks[[#This Row],[_Res1Text]]&amp;"[")-1)),res_Initials,0),0)))</f>
        <v>0</v>
      </c>
      <c r="DP74" s="43" t="n">
        <f aca="false">IF(Tasks[[#This Row],[_Res2Text]]="",0,IFERROR(MATCH(TRIM(LEFT(Tasks[[#This Row],[_Res2Text]],FIND("[",Tasks[[#This Row],[_Res2Text]]&amp;"[")-1)),res_Name,0),IFERROR(MATCH(TRIM(LEFT(Tasks[[#This Row],[_Res2Text]],FIND("[",Tasks[[#This Row],[_Res2Text]]&amp;"[")-1)),res_Initials,0),0)))</f>
        <v>0</v>
      </c>
      <c r="DQ74" s="43" t="n">
        <f aca="false">IF(Tasks[[#This Row],[_Res3Text]]="",0,IFERROR(MATCH(TRIM(LEFT(Tasks[[#This Row],[_Res3Text]],FIND("[",Tasks[[#This Row],[_Res3Text]]&amp;"[")-1)),res_Name,0),IFERROR(MATCH(TRIM(LEFT(Tasks[[#This Row],[_Res3Text]],FIND("[",Tasks[[#This Row],[_Res3Text]]&amp;"[")-1)),res_Initials,0),0)))</f>
        <v>0</v>
      </c>
      <c r="DR74" s="43" t="n">
        <f aca="false">IF(Tasks[[#This Row],[_Res4Text]]="",0,IFERROR(MATCH(TRIM(LEFT(Tasks[[#This Row],[_Res4Text]],FIND("[",Tasks[[#This Row],[_Res4Text]]&amp;"[")-1)),res_Name,0),IFERROR(MATCH(TRIM(LEFT(Tasks[[#This Row],[_Res4Text]],FIND("[",Tasks[[#This Row],[_Res4Text]]&amp;"[")-1)),res_Initials,0),0)))</f>
        <v>0</v>
      </c>
      <c r="DS74" s="43" t="str">
        <f aca="false">IF(Tasks[[#This Row],[_Res1Text]]="","",IF(Tasks[[#This Row],[_Res1Row]]&gt;0,INDEX(res_Name,Tasks[[#This Row],[_Res1Row]]),TRIM(LEFT(Tasks[[#This Row],[_Res1Text]],FIND("[",Tasks[[#This Row],[_Res1Text]]&amp;"[")-1))))</f>
        <v/>
      </c>
      <c r="DT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3" t="n">
        <f aca="false">IF(NOT(Tasks[[#This Row],[_IsLeaf]]=1),0,(Tasks[[#This Row],[_Resource1]]&lt;&gt;"")+(Tasks[[#This Row],[_Res2]]&lt;&gt;"")+(Tasks[[#This Row],[_Res3]]&lt;&gt;"")+(Tasks[[#This Row],[_Res4]]&lt;&gt;""))</f>
        <v>0</v>
      </c>
      <c r="DV74" s="43" t="str">
        <f aca="false">IF(Tasks[[#This Row],[_Res2Text]]="","",IF(Tasks[[#This Row],[_Res2Row]]&gt;0,INDEX(res_Name,Tasks[[#This Row],[_Res2Row]]),TRIM(LEFT(Tasks[[#This Row],[_Res2Text]],FIND("[",Tasks[[#This Row],[_Res2Text]]&amp;"[")-1))))</f>
        <v/>
      </c>
      <c r="DW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3" t="n">
        <f aca="false">IF(OR(NOT(Tasks[[#This Row],[_IsLeaf]]=1),Tasks[[#This Row],[_Res2Row]]=0),0,N(Tasks[[#This Row],[_Days]])*HoursPerDay*IF(Tasks[[#This Row],[_Res2Units]]="",DefaultUnits,Tasks[[#This Row],[_Res2Units]]))</f>
        <v>0</v>
      </c>
      <c r="DY74" s="43" t="n">
        <f aca="false">IF(AND(AND(Tasks[[#This Row],[_IsLeaf]]=1,Tasks[[#This Row],[_LeafTotalWork]]&gt;0),Tasks[[#This Row],[_Res2Work]]&gt;0),Tasks[[#This Row],[_Res2Work]]/(Tasks[[#This Row],[_FinishWorkday]]-Tasks[[#This Row],[_StartWorkday]]+1),0)</f>
        <v>0</v>
      </c>
      <c r="DZ74" s="43" t="n">
        <f aca="false">Tasks[[#This Row],[_Res2WorkPerWD]]*MAX(0,Tasks[[#This Row],[_StartWorkday]]-1)</f>
        <v>0</v>
      </c>
      <c r="EA74" s="43" t="n">
        <f aca="false">Tasks[[#This Row],[_Res2Work]]*Tasks[[#This Row],[_LeafProgress]]</f>
        <v>0</v>
      </c>
      <c r="EB74" s="43" t="str">
        <f aca="false">IF(Tasks[[#This Row],[_Res3Text]]="","",IF(Tasks[[#This Row],[_Res3Row]]&gt;0,INDEX(res_Name,Tasks[[#This Row],[_Res3Row]]),TRIM(LEFT(Tasks[[#This Row],[_Res3Text]],FIND("[",Tasks[[#This Row],[_Res3Text]]&amp;"[")-1))))</f>
        <v/>
      </c>
      <c r="EC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3" t="n">
        <f aca="false">IF(OR(NOT(Tasks[[#This Row],[_IsLeaf]]=1),Tasks[[#This Row],[_Res3Row]]=0),0,N(Tasks[[#This Row],[_Days]])*HoursPerDay*IF(Tasks[[#This Row],[_Res3Units]]="",DefaultUnits,Tasks[[#This Row],[_Res3Units]]))</f>
        <v>0</v>
      </c>
      <c r="EE74" s="43" t="n">
        <f aca="false">IF(AND(AND(Tasks[[#This Row],[_IsLeaf]]=1,Tasks[[#This Row],[_LeafTotalWork]]&gt;0),Tasks[[#This Row],[_Res3Work]]&gt;0),Tasks[[#This Row],[_Res3Work]]/(Tasks[[#This Row],[_FinishWorkday]]-Tasks[[#This Row],[_StartWorkday]]+1),0)</f>
        <v>0</v>
      </c>
      <c r="EF74" s="43" t="n">
        <f aca="false">Tasks[[#This Row],[_Res3WorkPerWD]]*MAX(0,Tasks[[#This Row],[_StartWorkday]]-1)</f>
        <v>0</v>
      </c>
      <c r="EG74" s="43" t="n">
        <f aca="false">Tasks[[#This Row],[_Res3Work]]*Tasks[[#This Row],[_LeafProgress]]</f>
        <v>0</v>
      </c>
      <c r="EH74" s="43" t="str">
        <f aca="false">IF(Tasks[[#This Row],[_Res4Text]]="","",IF(Tasks[[#This Row],[_Res4Row]]&gt;0,INDEX(res_Name,Tasks[[#This Row],[_Res4Row]]),TRIM(LEFT(Tasks[[#This Row],[_Res4Text]],FIND("[",Tasks[[#This Row],[_Res4Text]]&amp;"[")-1))))</f>
        <v/>
      </c>
      <c r="EI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3" t="n">
        <f aca="false">IF(OR(NOT(Tasks[[#This Row],[_IsLeaf]]=1),Tasks[[#This Row],[_Res4Row]]=0),0,N(Tasks[[#This Row],[_Days]])*HoursPerDay*IF(Tasks[[#This Row],[_Res4Units]]="",DefaultUnits,Tasks[[#This Row],[_Res4Units]]))</f>
        <v>0</v>
      </c>
      <c r="EK74" s="43" t="n">
        <f aca="false">IF(AND(AND(Tasks[[#This Row],[_IsLeaf]]=1,Tasks[[#This Row],[_LeafTotalWork]]&gt;0),Tasks[[#This Row],[_Res4Work]]&gt;0),Tasks[[#This Row],[_Res4Work]]/(Tasks[[#This Row],[_FinishWorkday]]-Tasks[[#This Row],[_StartWorkday]]+1),0)</f>
        <v>0</v>
      </c>
      <c r="EL74" s="43" t="n">
        <f aca="false">Tasks[[#This Row],[_Res4WorkPerWD]]*MAX(0,Tasks[[#This Row],[_StartWorkday]]-1)</f>
        <v>0</v>
      </c>
      <c r="EM74" s="43" t="n">
        <f aca="false">Tasks[[#This Row],[_Res4Work]]*Tasks[[#This Row],[_LeafProgress]]</f>
        <v>0</v>
      </c>
      <c r="EN74" s="43" t="n">
        <f aca="false">IF(ISNUMBER(Tasks[[#This Row],[% Complete]]),Tasks[[#This Row],[% Complete]],IF(Tasks[[#This Row],[Stage]]="",0,IFERROR(INDEX(stg_Pct,MATCH(Tasks[[#This Row],[Stage]],stg_Name,0)),0)))</f>
        <v>0</v>
      </c>
      <c r="EO74" s="43" t="n">
        <f aca="false">IF(NOT(Tasks[[#This Row],[_IsLeaf]]=1),0,IF(N(Tasks[[#This Row],[Actual Finish]])&gt;0,1,MIN(1,Tasks[[#This Row],[_Pct]])))</f>
        <v>0</v>
      </c>
      <c r="EP74" s="43" t="n">
        <f aca="false">IF(OR(NOT(Tasks[[#This Row],[_IsLeaf]]=1),Tasks[[#This Row],[_Res1Row]]=0),0,N(Tasks[[#This Row],[_Days]])*HoursPerDay*IF(Tasks[[#This Row],[_Units1]]="",DefaultUnits,Tasks[[#This Row],[_Units1]]))</f>
        <v>0</v>
      </c>
      <c r="EQ74" s="43" t="n">
        <f aca="false">Tasks[[#This Row],[_LeafWork]]+Tasks[[#This Row],[_Res2Work]]+Tasks[[#This Row],[_Res3Work]]+Tasks[[#This Row],[_Res4Work]]</f>
        <v>0</v>
      </c>
      <c r="ER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3" t="n">
        <f aca="false">IF(NOT(Tasks[[#This Row],[_IsLeaf]]=1),0,MAX(_xlfn.MAXIFS(Tasks[_Row],Tasks[_Pred1UID],Tasks[[#This Row],[UID]]),_xlfn.MAXIFS(Tasks[_Row],Tasks[_Pred2UID],Tasks[[#This Row],[UID]]),_xlfn.MAXIFS(Tasks[_Row],Tasks[_Pred3UID],Tasks[[#This Row],[UID]]),_xlfn.MAXIFS(Tasks[_Row],Tasks[_Pred4UID],Tasks[[#This Row],[UID]])))</f>
        <v>0</v>
      </c>
      <c r="FA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91" t="str">
        <f aca="false">IF(NOT(Tasks[[#This Row],[_IsLeaf]]=1),"",IF(N(Tasks[[#This Row],[_Days]])&lt;=0,Tasks[[#This Row],[_LeafLateFinish]],WORKDAY.INTL(Tasks[[#This Row],[_LeafLateFinish]],-(Tasks[[#This Row],[_Days]]-1),WorkWeek,Holidays)))</f>
        <v/>
      </c>
      <c r="FD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4" s="90" t="b">
        <f aca="false">AND(Tasks[[#This Row],[_IsLeaf]]=1,Tasks[[#This Row],[_LeafProgress]]&lt;1,N(Tasks[[#This Row],[_LeafTotalSlack]])&lt;=CriticalSlackDays)</f>
        <v>0</v>
      </c>
      <c r="FF74" s="43" t="n">
        <f aca="false">IF(AND(Tasks[[#This Row],[_IsLeaf]]=1,Tasks[[#This Row],[_ConstraintCode]]=1,Tasks[[#This Row],[Mode]]&lt;&gt;"Manual",N(Tasks[[#This Row],[Actual Start]])=0),MAX(0,N(Tasks[[#This Row],[Free Slack]])),0)</f>
        <v>0</v>
      </c>
      <c r="FG74" s="91" t="str">
        <f aca="false">IF(NOT(Tasks[[#This Row],[_IsLeaf]]=1),"",IF(Tasks[[#This Row],[_AlapShift]]=0,Tasks[[#This Row],[_LeafCalcStart]],WORKDAY.INTL(Tasks[[#This Row],[_LeafCalcStart]],Tasks[[#This Row],[_AlapShift]],WorkWeek,Holidays)))</f>
        <v/>
      </c>
      <c r="FH74" s="91" t="str">
        <f aca="false">IF(NOT(Tasks[[#This Row],[_IsLeaf]]=1),"",IF(Tasks[[#This Row],[_AlapShift]]=0,Tasks[[#This Row],[_LeafCalcFinish]],WORKDAY.INTL(Tasks[[#This Row],[_LeafCalcFinish]],Tasks[[#This Row],[_AlapShift]],WorkWeek,Holidays)))</f>
        <v/>
      </c>
      <c r="FI74" s="91" t="str">
        <f aca="false">IF(NOT(Tasks[[#This Row],[_IsLeaf]]=1),"",IF(Tasks[[#This Row],[_AlapShift]]=0,Tasks[[#This Row],[_LeafFcstStart]],WORKDAY.INTL(Tasks[[#This Row],[_LeafFcstStart]],Tasks[[#This Row],[_AlapShift]],WorkWeek,Holidays)))</f>
        <v/>
      </c>
      <c r="FJ74" s="91" t="str">
        <f aca="false">IF(NOT(Tasks[[#This Row],[_IsLeaf]]=1),"",IF(Tasks[[#This Row],[_AlapShift]]=0,Tasks[[#This Row],[_LeafFcstFinish]],WORKDAY.INTL(Tasks[[#This Row],[_LeafFcstFinish]],Tasks[[#This Row],[_AlapShift]],WorkWeek,Holidays)))</f>
        <v/>
      </c>
      <c r="FK74" s="91" t="str">
        <f aca="false">IF(Tasks[[#This Row],[Task Name]]="","",IF(Tasks[[#This Row],[_IsSummary]],MIN(INDEX(Tasks[_ShownCalcStart],Tasks[[#This Row],[_Row]]+1):INDEX(Tasks[_ShownCalcStart],Tasks[[#This Row],[_Row]]+Tasks[[#This Row],[_Descendants]])),Tasks[[#This Row],[_ShownCalcStart]]))</f>
        <v/>
      </c>
      <c r="FL74" s="91" t="str">
        <f aca="false">IF(Tasks[[#This Row],[Task Name]]="","",IF(Tasks[[#This Row],[_IsSummary]],MAX(INDEX(Tasks[_ShownCalcFinish],Tasks[[#This Row],[_Row]]+1):INDEX(Tasks[_ShownCalcFinish],Tasks[[#This Row],[_Row]]+Tasks[[#This Row],[_Descendants]])),Tasks[[#This Row],[_ShownCalcFinish]]))</f>
        <v/>
      </c>
      <c r="FM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4" s="43" t="n">
        <f aca="false">IF(AND(Tasks[[#This Row],[_IsLeaf]]=1,Tasks[[#This Row],[_LeafTotalWork]]&gt;0),NETWORKDAYS.INTL(ProjectStart,Tasks[[#This Row],[_ShownFcstStart]],WorkWeek,Holidays),0)</f>
        <v>0</v>
      </c>
      <c r="FZ74" s="43" t="n">
        <f aca="false">IF(AND(Tasks[[#This Row],[_IsLeaf]]=1,Tasks[[#This Row],[_LeafTotalWork]]&gt;0),MAX(Tasks[[#This Row],[_StartWorkday]],NETWORKDAYS.INTL(ProjectStart,Tasks[[#This Row],[_ShownFcstFinish]],WorkWeek,Holidays)),0)</f>
        <v>0</v>
      </c>
      <c r="GA74" s="43" t="n">
        <f aca="false">IF(AND(Tasks[[#This Row],[_IsLeaf]]=1,Tasks[[#This Row],[_LeafTotalWork]]&gt;0),Tasks[[#This Row],[_LeafWork]]/(Tasks[[#This Row],[_FinishWorkday]]-Tasks[[#This Row],[_StartWorkday]]+1),0)</f>
        <v>0</v>
      </c>
      <c r="GB74" s="43" t="n">
        <f aca="false">Tasks[[#This Row],[_WorkPerWorkday]]*(Tasks[[#This Row],[_StartWorkday]]-1)</f>
        <v>-0</v>
      </c>
      <c r="GC74" s="43" t="n">
        <f aca="false">IF(Tasks[[#This Row],[_IsLeaf]]=1,MAX(N(Tasks[[#This Row],[_Days]]),0.1),0)</f>
        <v>0</v>
      </c>
      <c r="GD74" s="43" t="n">
        <f aca="false">Tasks[[#This Row],[_WeightDur]]*Tasks[[#This Row],[_LeafProgress]]</f>
        <v>0</v>
      </c>
      <c r="GE74" s="43" t="n">
        <f aca="false">Tasks[[#This Row],[_WeightDur]]*Tasks[[#This Row],[_PlannedPct]]</f>
        <v>0</v>
      </c>
      <c r="GF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3" t="str">
        <f aca="false">IF(AND(Tasks[[#This Row],[_IsLeaf]]=1,N(Tasks[[#This Row],[_Days]])=0,Tasks[[#This Row],[_LeafProgress]]&lt;1),Tasks[[#This Row],[_ShownFcstFinish]]+Tasks[[#This Row],[_Row]]/100000,"")</f>
        <v/>
      </c>
      <c r="GH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4" s="43" t="str">
        <f aca="false">IF(Tasks[[#This Row],[Task Name]]="","",LEFT(Tasks[[#This Row],[WBS]],FIND(".",Tasks[[#This Row],[WBS]]&amp;".")-1))</f>
        <v/>
      </c>
      <c r="GJ74" s="43" t="str">
        <f aca="false">IF(AND(Tasks[[#This Row],[Task Name]]&lt;&gt;"",Tasks[[#This Row],[_Level]]=1),Tasks[[#This Row],[_Row]],"")</f>
        <v/>
      </c>
      <c r="GK74" s="43" t="str">
        <f aca="false">IF(AND(Tasks[[#This Row],[_IsLeaf]]=1,N(Tasks[[#This Row],[_Days]])=0),Tasks[[#This Row],[Planned Finish]]+Tasks[[#This Row],[_Row]]/100000,"")</f>
        <v/>
      </c>
      <c r="GL74" s="43" t="str">
        <f aca="false">IF(AND(Tasks[[#This Row],[_IsLeaf]]=1,Tasks[[#This Row],[_LeafProgress]]&lt;1,OR(N(Tasks[[#This Row],[Finish Var]])&gt;0,Tasks[[#This Row],[Status]]="Late Start")),MAX(0,Tasks[[#This Row],[Finish Var]])+1-Tasks[[#This Row],[_Row]]/1000000,"")</f>
        <v/>
      </c>
      <c r="GM74" s="43" t="str">
        <f aca="false">IF(AND(Tasks[[#This Row],[_IsLeaf]]=1,N(Tasks[[#This Row],[Actual Start]])=0,Tasks[[#This Row],[_ShownFcstStart]]&gt;=StatusDate,Tasks[[#This Row],[_ShownFcstStart]]&lt;=LookaheadEnd),Tasks[[#This Row],[_ShownFcstStart]]+Tasks[[#This Row],[_Row]]/100000,"")</f>
        <v/>
      </c>
      <c r="GN74" s="43" t="str">
        <f aca="false">IF(AND(Tasks[[#This Row],[_IsLeaf]]=1,Tasks[[#This Row],[_LeafProgress]]&lt;1,Tasks[[#This Row],[_ShownFcstFinish]]&gt;=StatusDate,Tasks[[#This Row],[_ShownFcstFinish]]&lt;=LookaheadEnd),Tasks[[#This Row],[_ShownFcstFinish]]+Tasks[[#This Row],[_Row]]/100000,"")</f>
        <v/>
      </c>
      <c r="GO74" s="43" t="str">
        <f aca="false">IF(Tasks[[#This Row],[_LeafCritical]],Tasks[[#This Row],[_ShownFcstStart]]+Tasks[[#This Row],[_Row]]/100000,"")</f>
        <v/>
      </c>
      <c r="GP74" s="43" t="n">
        <f aca="false">Tasks[[#This Row],[_LeafWork]]*Tasks[[#This Row],[_LeafProgress]]</f>
        <v>0</v>
      </c>
      <c r="GQ74" s="91" t="str">
        <f aca="false">IF(AND(Tasks[[#This Row],[_IsLeaf]]=1,Tasks[[#This Row],[_LeafProgress]]&gt;=1),IF(N(Tasks[[#This Row],[Actual Finish]])&gt;0,Tasks[[#This Row],[Actual Finish]],Tasks[[#This Row],[_ShownFcstFinish]]),"")</f>
        <v/>
      </c>
      <c r="GR74" s="43" t="n">
        <f aca="false">IF(Tasks[[#This Row],[_IsLeaf]]=1,N(Tasks[[#This Row],[Story Points]]),0)</f>
        <v>0</v>
      </c>
      <c r="GS74" s="43" t="str">
        <f aca="false">""</f>
        <v/>
      </c>
      <c r="GT74" s="90" t="b">
        <f aca="false">IF(Tasks[[#This Row],[Task Name]]="",FALSE(),AND(Tasks[[#This Row],[_IsLeaf]]=1,N(Tasks[[#This Row],[_Days]])=0))</f>
        <v>0</v>
      </c>
      <c r="GU74" s="91" t="n">
        <f aca="false">IF(Tasks[[#This Row],[Task Name]]="",0,IF(AND(Tasks[[#This Row],[_IsLeaf]]=1,NOT(Tasks[[#This Row],[_IsMilestone]]),N(Tasks[[#This Row],[Progress]])&gt;0),Tasks[[#This Row],[Start]],0))</f>
        <v>0</v>
      </c>
      <c r="GV74" s="91" t="n">
        <f aca="false">IF(Tasks[[#This Row],[_DoneFrom]]=0,0,IF(Tasks[[#This Row],[Progress]]&gt;=1,Tasks[[#This Row],[Finish]],MAX(Tasks[[#This Row],[_DoneFrom]],Tasks[[#This Row],[Start]]+ROUND((Tasks[[#This Row],[Finish]]-Tasks[[#This Row],[Start]]+1)*Tasks[[#This Row],[Progress]],0)-1)))</f>
        <v>0</v>
      </c>
      <c r="GW74" s="91" t="n">
        <f aca="false">IF(Tasks[[#This Row],[Task Name]]="",0,IF(OR(NOT(Tasks[[#This Row],[_IsLeaf]]=1),Tasks[[#This Row],[_IsMilestone]],N(Tasks[[#This Row],[Progress]])&gt;=1),0,IF(Tasks[[#This Row],[_DoneTo]]&gt;0,Tasks[[#This Row],[_DoneTo]]+1,Tasks[[#This Row],[Start]])))</f>
        <v>0</v>
      </c>
      <c r="GX74" s="91" t="n">
        <f aca="false">IF(Tasks[[#This Row],[_RemFrom]]=0,0,Tasks[[#This Row],[Finish]])</f>
        <v>0</v>
      </c>
      <c r="GY74" s="90" t="b">
        <f aca="false">IF(Tasks[[#This Row],[Task Name]]="",FALSE(),OR(NOT(BaselineSet),N(Tasks[[#This Row],[Baseline Start]])&gt;0))</f>
        <v>0</v>
      </c>
      <c r="GZ7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92" t="str">
        <f aca="false">IF(Tasks[[#This Row],[_IsLeaf]]=1,Tasks[[#This Row],[_Row]],"")</f>
        <v/>
      </c>
      <c r="HD74" s="92" t="str">
        <f aca="false">IFERROR(INDEX(Tasks[UID],SMALL(Tasks[_PickKey],Tasks[[#This Row],[_Row]]))&amp;" "&amp;INDEX(Tasks[Task Name],SMALL(Tasks[_PickKey],Tasks[[#This Row],[_Row]])),"")</f>
        <v/>
      </c>
      <c r="HE74" s="43" t="str">
        <f aca="false">IF(Tasks[[#This Row],[Task Name]]="","",IF(Tasks[[#This Row],[_IsSummary]],NETWORKDAYS.INTL(Tasks[[#This Row],[Start]],Tasks[[#This Row],[Finish]],WorkWeek,Holidays),N(Tasks[[#This Row],[_Days]])))</f>
        <v/>
      </c>
      <c r="HF74" s="43" t="n">
        <f aca="false">IF(Tasks[[#This Row],[Expected]]="",0,((Tasks[[#This Row],[Pessimistic]]-Tasks[[#This Row],[Optimistic]])/6)^2)</f>
        <v>0</v>
      </c>
      <c r="HG74" s="43" t="n">
        <f aca="false">IF(Tasks[[#This Row],[Expected]]="",0,Tasks[[#This Row],[Expected]]-N(Tasks[[#This Row],[_Days]]))</f>
        <v>0</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4"/>
      <c r="U75" s="23"/>
      <c r="V75" s="84"/>
      <c r="W75" s="23"/>
      <c r="X75" s="84"/>
      <c r="Y75" s="23"/>
      <c r="Z75" s="84"/>
      <c r="AA75" s="23"/>
      <c r="AB75" s="23"/>
      <c r="AC75" s="7"/>
      <c r="AD75" s="7"/>
      <c r="AE75" s="63" t="str">
        <f aca="false">IF(Tasks[[#This Row],[Task Name]]="","",IF(Tasks[[#This Row],[_IsSummary]],MIN(INDEX(Tasks[_ShownFcstStart],Tasks[[#This Row],[_Row]]+1):INDEX(Tasks[_ShownFcstStart],Tasks[[#This Row],[_Row]]+Tasks[[#This Row],[_Descendants]])),Tasks[[#This Row],[_ShownFcstStart]]))</f>
        <v/>
      </c>
      <c r="AF75" s="63"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5" s="7"/>
      <c r="AK75" s="22"/>
      <c r="AL75" s="23"/>
      <c r="AM75" s="7"/>
      <c r="AN75" s="47"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3" t="str">
        <f aca="false">IF(Tasks[[#This Row],[Task Name]]="","",IF(N(Tasks[[#This Row],[Baseline Start]])&gt;0,Tasks[[#This Row],[Baseline Start]],Tasks[[#This Row],[_CalcStart]]))</f>
        <v/>
      </c>
      <c r="AR75" s="63" t="str">
        <f aca="false">IF(Tasks[[#This Row],[Task Name]]="","",IF(N(Tasks[[#This Row],[Baseline Finish]])&gt;0,Tasks[[#This Row],[Baseline Finish]],Tasks[[#This Row],[_CalcFinish]]))</f>
        <v/>
      </c>
      <c r="AS75" s="47" t="str">
        <f aca="false">IF(Tasks[[#This Row],[Task Name]]="","",IF(Tasks[[#This Row],[Start]]&gt;=Tasks[[#This Row],[Planned Start]],NETWORKDAYS.INTL(Tasks[[#This Row],[Planned Start]],Tasks[[#This Row],[Start]],WorkWeek,Holidays)-1,1-NETWORKDAYS.INTL(Tasks[[#This Row],[Start]],Tasks[[#This Row],[Planned Start]],WorkWeek,Holidays)))</f>
        <v/>
      </c>
      <c r="AT75" s="63" t="str">
        <f aca="false">IF(Tasks[[#This Row],[Task Name]]="","",IF(Tasks[[#This Row],[_IsSummary]],MIN(INDEX(Tasks[_LeafLateStart],Tasks[[#This Row],[_Row]]+1):INDEX(Tasks[_LeafLateStart],Tasks[[#This Row],[_Row]]+Tasks[[#This Row],[_Descendants]])),Tasks[[#This Row],[_LeafLateStart]]))</f>
        <v/>
      </c>
      <c r="AU75" s="63" t="str">
        <f aca="false">IF(Tasks[[#This Row],[Task Name]]="","",IF(Tasks[[#This Row],[_IsSummary]],MAX(INDEX(Tasks[_LeafLateFinish],Tasks[[#This Row],[_Row]]+1):INDEX(Tasks[_LeafLateFinish],Tasks[[#This Row],[_Row]]+Tasks[[#This Row],[_Descendants]])),Tasks[[#This Row],[_LeafLateFinish]]))</f>
        <v/>
      </c>
      <c r="AV75" s="47"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5"/>
      <c r="BA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6"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7"/>
      <c r="BJ75" s="22"/>
      <c r="BK75" s="47" t="str">
        <f aca="false">IF(OR(Tasks[[#This Row],[Task Name]]="",Tasks[[#This Row],[Baseline Duration]]=""),"",Tasks[[#This Row],[_SpanDays]]-N(Tasks[[#This Row],[Baseline Duration]]))</f>
        <v/>
      </c>
      <c r="BL75" s="86" t="str">
        <f aca="false">IF(OR(Tasks[[#This Row],[Task Name]]="",Tasks[[#This Row],[Baseline Work]]=""),"",Tasks[[#This Row],[Work]]-N(Tasks[[#This Row],[Baseline Work]]))</f>
        <v/>
      </c>
      <c r="BM75" s="63" t="str">
        <f aca="false">IF(Tasks[[#This Row],[Task Name]]="","",IF(OR(TakeBaseline="Yes",N(Tasks[[#This Row],[Baseline Start]])=0),Tasks[[#This Row],[Start]],Tasks[[#This Row],[Baseline Start]]))</f>
        <v/>
      </c>
      <c r="BN75" s="63" t="str">
        <f aca="false">IF(Tasks[[#This Row],[Task Name]]="","",IF(OR(TakeBaseline="Yes",N(Tasks[[#This Row],[Baseline Finish]])=0),Tasks[[#This Row],[Finish]],Tasks[[#This Row],[Baseline Finish]]))</f>
        <v/>
      </c>
      <c r="BO75" s="21" t="str">
        <f aca="false">IF(Tasks[[#This Row],[Task Name]]="","",IF(OR(TakeBaseline="Yes",N(Tasks[[#This Row],[Baseline Duration]])=0),Tasks[[#This Row],[_SpanDays]],Tasks[[#This Row],[Baseline Duration]]))</f>
        <v/>
      </c>
      <c r="BP75" s="86" t="str">
        <f aca="false">IF(Tasks[[#This Row],[Task Name]]="","",IF(OR(TakeBaseline="Yes",N(Tasks[[#This Row],[Baseline Work]])=0),Tasks[[#This Row],[Work]],Tasks[[#This Row],[Baseline Work]]))</f>
        <v/>
      </c>
      <c r="BQ75" s="7"/>
      <c r="BR75" s="7"/>
      <c r="BS75" s="22"/>
      <c r="BT75" s="88"/>
      <c r="BU75" s="23"/>
      <c r="BV75" s="23"/>
      <c r="BW75" s="23"/>
      <c r="BX75" s="89" t="str">
        <f aca="false">IF(AND(Tasks[[#This Row],[_IsLeaf]]=1,ISNUMBER(Tasks[[#This Row],[Optimistic]]),ISNUMBER(Tasks[[#This Row],[Pessimistic]])),ROUND((Tasks[[#This Row],[Optimistic]]+4*N(Tasks[[#This Row],[_Days]])+Tasks[[#This Row],[Pessimistic]])/6,1),"")</f>
        <v/>
      </c>
      <c r="BY75" s="87"/>
      <c r="BZ75" s="87"/>
      <c r="CA75" s="22"/>
      <c r="CB75" s="43" t="str">
        <f aca="false">IF(Tasks[[#This Row],[Task Name]]="","",MAX(1,N(Tasks[[#This Row],[Level]])))</f>
        <v/>
      </c>
      <c r="CC75" s="43" t="n">
        <f aca="false">ROW()-ROW(Tasks[[#Headers],[ID]])</f>
        <v>70</v>
      </c>
      <c r="CD75" s="43" t="n">
        <f aca="false">IF(OR(Tasks[[#This Row],[Task Name]]="",Tasks[[#This Row],[_Level]]&lt;=1),0,IFERROR(LOOKUP(2,1/(Tasks[[#Headers],[_Level]]:Tasks[[#This Row],[_Level]]=Tasks[[#This Row],[_Level]]-1),ROW(Tasks[[#Headers],[_Level]]:Tasks[[#This Row],[_Level]])),0))</f>
        <v>0</v>
      </c>
      <c r="CE75" s="43" t="n">
        <f aca="false">IFERROR(N(INDEX(Tasks[_Level],Tasks[[#This Row],[_Row]]+1)),0)</f>
        <v>0</v>
      </c>
      <c r="CF75" s="90" t="b">
        <f aca="false">AND(Tasks[[#This Row],[Task Name]]&lt;&gt;"",Tasks[[#This Row],[_NextLevel]]&gt;Tasks[[#This Row],[_Level]])</f>
        <v>0</v>
      </c>
      <c r="CG75" s="43" t="n">
        <f aca="false">IF(Tasks[[#This Row],[_IsSummary]],COUNTIF(Tasks[WBS],Tasks[[#This Row],[WBS]]&amp;".*"),0)</f>
        <v>0</v>
      </c>
      <c r="CH75" s="43" t="n">
        <f aca="false">IF(AND(Tasks[[#This Row],[Task Name]]&lt;&gt;"",NOT(Tasks[[#This Row],[_IsSummary]])),1,0)</f>
        <v>0</v>
      </c>
      <c r="CI75" s="43" t="n">
        <f aca="false">IF(N(Tasks[[#This Row],[_Pred1UID]])=0,0,IFERROR(MATCH(Tasks[[#This Row],[_Pred1UID]],Tasks[UID],0),-1))</f>
        <v>0</v>
      </c>
      <c r="CJ75" s="43" t="n">
        <f aca="false">IF(N(Tasks[[#This Row],[_Pred2UID]])=0,0,IFERROR(MATCH(Tasks[[#This Row],[_Pred2UID]],Tasks[UID],0),-1))</f>
        <v>0</v>
      </c>
      <c r="CK75" s="43" t="n">
        <f aca="false">IF(N(Tasks[[#This Row],[_Pred3UID]])=0,0,IFERROR(MATCH(Tasks[[#This Row],[_Pred3UID]],Tasks[UID],0),-1))</f>
        <v>0</v>
      </c>
      <c r="CL75" s="43" t="n">
        <f aca="false">IF(N(Tasks[[#This Row],[_Pred4UID]])=0,0,IFERROR(MATCH(Tasks[[#This Row],[_Pred4UID]],Tasks[UID],0),-1))</f>
        <v>0</v>
      </c>
      <c r="CM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5" s="91" t="n">
        <f aca="false">IF(OR(Tasks[[#This Row],[_ConstraintCode]]=2,Tasks[[#This Row],[_ConstraintCode]]=3,Tasks[[#This Row],[_ConstraintCode]]=4,Tasks[[#This Row],[_ConstraintCode]]=6),Tasks[[#This Row],[_ConstraintStart]],0)</f>
        <v>0</v>
      </c>
      <c r="CP75" s="91" t="n">
        <f aca="false">IF(OR(Tasks[[#This Row],[_ConstraintCode]]=2,Tasks[[#This Row],[_ConstraintCode]]=3,Tasks[[#This Row],[_ConstraintCode]]=5,Tasks[[#This Row],[_ConstraintCode]]=7),Tasks[[#This Row],[_ConstraintStart]],2958465)</f>
        <v>2958465</v>
      </c>
      <c r="CQ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91" t="str">
        <f aca="false">IF(NOT(Tasks[[#This Row],[_IsLeaf]]=1),"",IF(N(Tasks[[#This Row],[_Days]])&lt;=0,Tasks[[#This Row],[_LeafCalcStart]],WORKDAY.INTL(Tasks[[#This Row],[_LeafCalcStart]],Tasks[[#This Row],[_Days]]-1,WorkWeek,Holidays)))</f>
        <v/>
      </c>
      <c r="CS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3" t="str">
        <f aca="false">IF(Tasks[[#This Row],[_Predecessors]]="","",TRIM(MID(SUBSTITUTE(SUBSTITUTE(SUBSTITUTE(UPPER(Tasks[[#This Row],[_Predecessors]]),";",",")," ",""),",",REPT(" ",99)),1,99)))</f>
        <v/>
      </c>
      <c r="CV75" s="43" t="str">
        <f aca="false">IF(Tasks[[#This Row],[_Pred1Text]]="","",IFERROR(VALUE(LEFT(Tasks[[#This Row],[_Pred1Text]],MIN(FIND("F",Tasks[[#This Row],[_Pred1Text]]&amp;"F"),FIND("S",Tasks[[#This Row],[_Pred1Text]]&amp;"S"),FIND("+",Tasks[[#This Row],[_Pred1Text]]&amp;"+"),FIND("-",Tasks[[#This Row],[_Pred1Text]]&amp;"-"))-1)),""))</f>
        <v/>
      </c>
      <c r="CW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3" t="str">
        <f aca="false">IF(Tasks[[#This Row],[_Pred1Text]]="","",TRIM(MID(SUBSTITUTE(SUBSTITUTE(SUBSTITUTE(UPPER(Tasks[[#This Row],[_Predecessors]]),";",",")," ",""),",",REPT(" ",99)),100,99)))</f>
        <v/>
      </c>
      <c r="CZ75" s="43" t="str">
        <f aca="false">IF(Tasks[[#This Row],[_Pred2Text]]="","",IFERROR(VALUE(LEFT(Tasks[[#This Row],[_Pred2Text]],MIN(FIND("F",Tasks[[#This Row],[_Pred2Text]]&amp;"F"),FIND("S",Tasks[[#This Row],[_Pred2Text]]&amp;"S"),FIND("+",Tasks[[#This Row],[_Pred2Text]]&amp;"+"),FIND("-",Tasks[[#This Row],[_Pred2Text]]&amp;"-"))-1)),""))</f>
        <v/>
      </c>
      <c r="DA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3" t="str">
        <f aca="false">IF(Tasks[[#This Row],[_Pred2Text]]="","",TRIM(MID(SUBSTITUTE(SUBSTITUTE(SUBSTITUTE(UPPER(Tasks[[#This Row],[_Predecessors]]),";",",")," ",""),",",REPT(" ",99)),199,99)))</f>
        <v/>
      </c>
      <c r="DD75" s="43" t="str">
        <f aca="false">IF(Tasks[[#This Row],[_Pred3Text]]="","",IFERROR(VALUE(LEFT(Tasks[[#This Row],[_Pred3Text]],MIN(FIND("F",Tasks[[#This Row],[_Pred3Text]]&amp;"F"),FIND("S",Tasks[[#This Row],[_Pred3Text]]&amp;"S"),FIND("+",Tasks[[#This Row],[_Pred3Text]]&amp;"+"),FIND("-",Tasks[[#This Row],[_Pred3Text]]&amp;"-"))-1)),""))</f>
        <v/>
      </c>
      <c r="DE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3" t="str">
        <f aca="false">IF(Tasks[[#This Row],[_Pred3Text]]="","",TRIM(MID(SUBSTITUTE(SUBSTITUTE(SUBSTITUTE(UPPER(Tasks[[#This Row],[_Predecessors]]),";",",")," ",""),",",REPT(" ",99)),298,99)))</f>
        <v/>
      </c>
      <c r="DH75" s="43" t="str">
        <f aca="false">IF(Tasks[[#This Row],[_Pred4Text]]="","",IFERROR(VALUE(LEFT(Tasks[[#This Row],[_Pred4Text]],MIN(FIND("F",Tasks[[#This Row],[_Pred4Text]]&amp;"F"),FIND("S",Tasks[[#This Row],[_Pred4Text]]&amp;"S"),FIND("+",Tasks[[#This Row],[_Pred4Text]]&amp;"+"),FIND("-",Tasks[[#This Row],[_Pred4Text]]&amp;"-"))-1)),""))</f>
        <v/>
      </c>
      <c r="DI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3" t="str">
        <f aca="false">IF(OR(Tasks[[#This Row],[Task Name]]="",Tasks[[#This Row],[_Resources]]=""),"",TRIM(MID(SUBSTITUTE(Tasks[[#This Row],[_Resources]],",",REPT(" ",99)),1,99)))</f>
        <v/>
      </c>
      <c r="DL75" s="43" t="str">
        <f aca="false">IF(Tasks[[#This Row],[_Res1Text]]="","",TRIM(MID(SUBSTITUTE(Tasks[[#This Row],[_Resources]],",",REPT(" ",99)),100,99)))</f>
        <v/>
      </c>
      <c r="DM75" s="43" t="str">
        <f aca="false">IF(Tasks[[#This Row],[_Res2Text]]="","",TRIM(MID(SUBSTITUTE(Tasks[[#This Row],[_Resources]],",",REPT(" ",99)),199,99)))</f>
        <v/>
      </c>
      <c r="DN75" s="43" t="str">
        <f aca="false">IF(Tasks[[#This Row],[_Res3Text]]="","",TRIM(MID(SUBSTITUTE(Tasks[[#This Row],[_Resources]],",",REPT(" ",99)),298,99)))</f>
        <v/>
      </c>
      <c r="DO75" s="43" t="n">
        <f aca="false">IF(Tasks[[#This Row],[_Res1Text]]="",0,IFERROR(MATCH(TRIM(LEFT(Tasks[[#This Row],[_Res1Text]],FIND("[",Tasks[[#This Row],[_Res1Text]]&amp;"[")-1)),res_Name,0),IFERROR(MATCH(TRIM(LEFT(Tasks[[#This Row],[_Res1Text]],FIND("[",Tasks[[#This Row],[_Res1Text]]&amp;"[")-1)),res_Initials,0),0)))</f>
        <v>0</v>
      </c>
      <c r="DP75" s="43" t="n">
        <f aca="false">IF(Tasks[[#This Row],[_Res2Text]]="",0,IFERROR(MATCH(TRIM(LEFT(Tasks[[#This Row],[_Res2Text]],FIND("[",Tasks[[#This Row],[_Res2Text]]&amp;"[")-1)),res_Name,0),IFERROR(MATCH(TRIM(LEFT(Tasks[[#This Row],[_Res2Text]],FIND("[",Tasks[[#This Row],[_Res2Text]]&amp;"[")-1)),res_Initials,0),0)))</f>
        <v>0</v>
      </c>
      <c r="DQ75" s="43" t="n">
        <f aca="false">IF(Tasks[[#This Row],[_Res3Text]]="",0,IFERROR(MATCH(TRIM(LEFT(Tasks[[#This Row],[_Res3Text]],FIND("[",Tasks[[#This Row],[_Res3Text]]&amp;"[")-1)),res_Name,0),IFERROR(MATCH(TRIM(LEFT(Tasks[[#This Row],[_Res3Text]],FIND("[",Tasks[[#This Row],[_Res3Text]]&amp;"[")-1)),res_Initials,0),0)))</f>
        <v>0</v>
      </c>
      <c r="DR75" s="43" t="n">
        <f aca="false">IF(Tasks[[#This Row],[_Res4Text]]="",0,IFERROR(MATCH(TRIM(LEFT(Tasks[[#This Row],[_Res4Text]],FIND("[",Tasks[[#This Row],[_Res4Text]]&amp;"[")-1)),res_Name,0),IFERROR(MATCH(TRIM(LEFT(Tasks[[#This Row],[_Res4Text]],FIND("[",Tasks[[#This Row],[_Res4Text]]&amp;"[")-1)),res_Initials,0),0)))</f>
        <v>0</v>
      </c>
      <c r="DS75" s="43" t="str">
        <f aca="false">IF(Tasks[[#This Row],[_Res1Text]]="","",IF(Tasks[[#This Row],[_Res1Row]]&gt;0,INDEX(res_Name,Tasks[[#This Row],[_Res1Row]]),TRIM(LEFT(Tasks[[#This Row],[_Res1Text]],FIND("[",Tasks[[#This Row],[_Res1Text]]&amp;"[")-1))))</f>
        <v/>
      </c>
      <c r="DT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3" t="n">
        <f aca="false">IF(NOT(Tasks[[#This Row],[_IsLeaf]]=1),0,(Tasks[[#This Row],[_Resource1]]&lt;&gt;"")+(Tasks[[#This Row],[_Res2]]&lt;&gt;"")+(Tasks[[#This Row],[_Res3]]&lt;&gt;"")+(Tasks[[#This Row],[_Res4]]&lt;&gt;""))</f>
        <v>0</v>
      </c>
      <c r="DV75" s="43" t="str">
        <f aca="false">IF(Tasks[[#This Row],[_Res2Text]]="","",IF(Tasks[[#This Row],[_Res2Row]]&gt;0,INDEX(res_Name,Tasks[[#This Row],[_Res2Row]]),TRIM(LEFT(Tasks[[#This Row],[_Res2Text]],FIND("[",Tasks[[#This Row],[_Res2Text]]&amp;"[")-1))))</f>
        <v/>
      </c>
      <c r="DW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3" t="n">
        <f aca="false">IF(OR(NOT(Tasks[[#This Row],[_IsLeaf]]=1),Tasks[[#This Row],[_Res2Row]]=0),0,N(Tasks[[#This Row],[_Days]])*HoursPerDay*IF(Tasks[[#This Row],[_Res2Units]]="",DefaultUnits,Tasks[[#This Row],[_Res2Units]]))</f>
        <v>0</v>
      </c>
      <c r="DY75" s="43" t="n">
        <f aca="false">IF(AND(AND(Tasks[[#This Row],[_IsLeaf]]=1,Tasks[[#This Row],[_LeafTotalWork]]&gt;0),Tasks[[#This Row],[_Res2Work]]&gt;0),Tasks[[#This Row],[_Res2Work]]/(Tasks[[#This Row],[_FinishWorkday]]-Tasks[[#This Row],[_StartWorkday]]+1),0)</f>
        <v>0</v>
      </c>
      <c r="DZ75" s="43" t="n">
        <f aca="false">Tasks[[#This Row],[_Res2WorkPerWD]]*MAX(0,Tasks[[#This Row],[_StartWorkday]]-1)</f>
        <v>0</v>
      </c>
      <c r="EA75" s="43" t="n">
        <f aca="false">Tasks[[#This Row],[_Res2Work]]*Tasks[[#This Row],[_LeafProgress]]</f>
        <v>0</v>
      </c>
      <c r="EB75" s="43" t="str">
        <f aca="false">IF(Tasks[[#This Row],[_Res3Text]]="","",IF(Tasks[[#This Row],[_Res3Row]]&gt;0,INDEX(res_Name,Tasks[[#This Row],[_Res3Row]]),TRIM(LEFT(Tasks[[#This Row],[_Res3Text]],FIND("[",Tasks[[#This Row],[_Res3Text]]&amp;"[")-1))))</f>
        <v/>
      </c>
      <c r="EC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3" t="n">
        <f aca="false">IF(OR(NOT(Tasks[[#This Row],[_IsLeaf]]=1),Tasks[[#This Row],[_Res3Row]]=0),0,N(Tasks[[#This Row],[_Days]])*HoursPerDay*IF(Tasks[[#This Row],[_Res3Units]]="",DefaultUnits,Tasks[[#This Row],[_Res3Units]]))</f>
        <v>0</v>
      </c>
      <c r="EE75" s="43" t="n">
        <f aca="false">IF(AND(AND(Tasks[[#This Row],[_IsLeaf]]=1,Tasks[[#This Row],[_LeafTotalWork]]&gt;0),Tasks[[#This Row],[_Res3Work]]&gt;0),Tasks[[#This Row],[_Res3Work]]/(Tasks[[#This Row],[_FinishWorkday]]-Tasks[[#This Row],[_StartWorkday]]+1),0)</f>
        <v>0</v>
      </c>
      <c r="EF75" s="43" t="n">
        <f aca="false">Tasks[[#This Row],[_Res3WorkPerWD]]*MAX(0,Tasks[[#This Row],[_StartWorkday]]-1)</f>
        <v>0</v>
      </c>
      <c r="EG75" s="43" t="n">
        <f aca="false">Tasks[[#This Row],[_Res3Work]]*Tasks[[#This Row],[_LeafProgress]]</f>
        <v>0</v>
      </c>
      <c r="EH75" s="43" t="str">
        <f aca="false">IF(Tasks[[#This Row],[_Res4Text]]="","",IF(Tasks[[#This Row],[_Res4Row]]&gt;0,INDEX(res_Name,Tasks[[#This Row],[_Res4Row]]),TRIM(LEFT(Tasks[[#This Row],[_Res4Text]],FIND("[",Tasks[[#This Row],[_Res4Text]]&amp;"[")-1))))</f>
        <v/>
      </c>
      <c r="EI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3" t="n">
        <f aca="false">IF(OR(NOT(Tasks[[#This Row],[_IsLeaf]]=1),Tasks[[#This Row],[_Res4Row]]=0),0,N(Tasks[[#This Row],[_Days]])*HoursPerDay*IF(Tasks[[#This Row],[_Res4Units]]="",DefaultUnits,Tasks[[#This Row],[_Res4Units]]))</f>
        <v>0</v>
      </c>
      <c r="EK75" s="43" t="n">
        <f aca="false">IF(AND(AND(Tasks[[#This Row],[_IsLeaf]]=1,Tasks[[#This Row],[_LeafTotalWork]]&gt;0),Tasks[[#This Row],[_Res4Work]]&gt;0),Tasks[[#This Row],[_Res4Work]]/(Tasks[[#This Row],[_FinishWorkday]]-Tasks[[#This Row],[_StartWorkday]]+1),0)</f>
        <v>0</v>
      </c>
      <c r="EL75" s="43" t="n">
        <f aca="false">Tasks[[#This Row],[_Res4WorkPerWD]]*MAX(0,Tasks[[#This Row],[_StartWorkday]]-1)</f>
        <v>0</v>
      </c>
      <c r="EM75" s="43" t="n">
        <f aca="false">Tasks[[#This Row],[_Res4Work]]*Tasks[[#This Row],[_LeafProgress]]</f>
        <v>0</v>
      </c>
      <c r="EN75" s="43" t="n">
        <f aca="false">IF(ISNUMBER(Tasks[[#This Row],[% Complete]]),Tasks[[#This Row],[% Complete]],IF(Tasks[[#This Row],[Stage]]="",0,IFERROR(INDEX(stg_Pct,MATCH(Tasks[[#This Row],[Stage]],stg_Name,0)),0)))</f>
        <v>0</v>
      </c>
      <c r="EO75" s="43" t="n">
        <f aca="false">IF(NOT(Tasks[[#This Row],[_IsLeaf]]=1),0,IF(N(Tasks[[#This Row],[Actual Finish]])&gt;0,1,MIN(1,Tasks[[#This Row],[_Pct]])))</f>
        <v>0</v>
      </c>
      <c r="EP75" s="43" t="n">
        <f aca="false">IF(OR(NOT(Tasks[[#This Row],[_IsLeaf]]=1),Tasks[[#This Row],[_Res1Row]]=0),0,N(Tasks[[#This Row],[_Days]])*HoursPerDay*IF(Tasks[[#This Row],[_Units1]]="",DefaultUnits,Tasks[[#This Row],[_Units1]]))</f>
        <v>0</v>
      </c>
      <c r="EQ75" s="43" t="n">
        <f aca="false">Tasks[[#This Row],[_LeafWork]]+Tasks[[#This Row],[_Res2Work]]+Tasks[[#This Row],[_Res3Work]]+Tasks[[#This Row],[_Res4Work]]</f>
        <v>0</v>
      </c>
      <c r="ER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3" t="n">
        <f aca="false">IF(NOT(Tasks[[#This Row],[_IsLeaf]]=1),0,MAX(_xlfn.MAXIFS(Tasks[_Row],Tasks[_Pred1UID],Tasks[[#This Row],[UID]]),_xlfn.MAXIFS(Tasks[_Row],Tasks[_Pred2UID],Tasks[[#This Row],[UID]]),_xlfn.MAXIFS(Tasks[_Row],Tasks[_Pred3UID],Tasks[[#This Row],[UID]]),_xlfn.MAXIFS(Tasks[_Row],Tasks[_Pred4UID],Tasks[[#This Row],[UID]])))</f>
        <v>0</v>
      </c>
      <c r="FA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91" t="str">
        <f aca="false">IF(NOT(Tasks[[#This Row],[_IsLeaf]]=1),"",IF(N(Tasks[[#This Row],[_Days]])&lt;=0,Tasks[[#This Row],[_LeafLateFinish]],WORKDAY.INTL(Tasks[[#This Row],[_LeafLateFinish]],-(Tasks[[#This Row],[_Days]]-1),WorkWeek,Holidays)))</f>
        <v/>
      </c>
      <c r="FD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5" s="90" t="b">
        <f aca="false">AND(Tasks[[#This Row],[_IsLeaf]]=1,Tasks[[#This Row],[_LeafProgress]]&lt;1,N(Tasks[[#This Row],[_LeafTotalSlack]])&lt;=CriticalSlackDays)</f>
        <v>0</v>
      </c>
      <c r="FF75" s="43" t="n">
        <f aca="false">IF(AND(Tasks[[#This Row],[_IsLeaf]]=1,Tasks[[#This Row],[_ConstraintCode]]=1,Tasks[[#This Row],[Mode]]&lt;&gt;"Manual",N(Tasks[[#This Row],[Actual Start]])=0),MAX(0,N(Tasks[[#This Row],[Free Slack]])),0)</f>
        <v>0</v>
      </c>
      <c r="FG75" s="91" t="str">
        <f aca="false">IF(NOT(Tasks[[#This Row],[_IsLeaf]]=1),"",IF(Tasks[[#This Row],[_AlapShift]]=0,Tasks[[#This Row],[_LeafCalcStart]],WORKDAY.INTL(Tasks[[#This Row],[_LeafCalcStart]],Tasks[[#This Row],[_AlapShift]],WorkWeek,Holidays)))</f>
        <v/>
      </c>
      <c r="FH75" s="91" t="str">
        <f aca="false">IF(NOT(Tasks[[#This Row],[_IsLeaf]]=1),"",IF(Tasks[[#This Row],[_AlapShift]]=0,Tasks[[#This Row],[_LeafCalcFinish]],WORKDAY.INTL(Tasks[[#This Row],[_LeafCalcFinish]],Tasks[[#This Row],[_AlapShift]],WorkWeek,Holidays)))</f>
        <v/>
      </c>
      <c r="FI75" s="91" t="str">
        <f aca="false">IF(NOT(Tasks[[#This Row],[_IsLeaf]]=1),"",IF(Tasks[[#This Row],[_AlapShift]]=0,Tasks[[#This Row],[_LeafFcstStart]],WORKDAY.INTL(Tasks[[#This Row],[_LeafFcstStart]],Tasks[[#This Row],[_AlapShift]],WorkWeek,Holidays)))</f>
        <v/>
      </c>
      <c r="FJ75" s="91" t="str">
        <f aca="false">IF(NOT(Tasks[[#This Row],[_IsLeaf]]=1),"",IF(Tasks[[#This Row],[_AlapShift]]=0,Tasks[[#This Row],[_LeafFcstFinish]],WORKDAY.INTL(Tasks[[#This Row],[_LeafFcstFinish]],Tasks[[#This Row],[_AlapShift]],WorkWeek,Holidays)))</f>
        <v/>
      </c>
      <c r="FK75" s="91" t="str">
        <f aca="false">IF(Tasks[[#This Row],[Task Name]]="","",IF(Tasks[[#This Row],[_IsSummary]],MIN(INDEX(Tasks[_ShownCalcStart],Tasks[[#This Row],[_Row]]+1):INDEX(Tasks[_ShownCalcStart],Tasks[[#This Row],[_Row]]+Tasks[[#This Row],[_Descendants]])),Tasks[[#This Row],[_ShownCalcStart]]))</f>
        <v/>
      </c>
      <c r="FL75" s="91" t="str">
        <f aca="false">IF(Tasks[[#This Row],[Task Name]]="","",IF(Tasks[[#This Row],[_IsSummary]],MAX(INDEX(Tasks[_ShownCalcFinish],Tasks[[#This Row],[_Row]]+1):INDEX(Tasks[_ShownCalcFinish],Tasks[[#This Row],[_Row]]+Tasks[[#This Row],[_Descendants]])),Tasks[[#This Row],[_ShownCalcFinish]]))</f>
        <v/>
      </c>
      <c r="FM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5" s="43" t="n">
        <f aca="false">IF(AND(Tasks[[#This Row],[_IsLeaf]]=1,Tasks[[#This Row],[_LeafTotalWork]]&gt;0),NETWORKDAYS.INTL(ProjectStart,Tasks[[#This Row],[_ShownFcstStart]],WorkWeek,Holidays),0)</f>
        <v>0</v>
      </c>
      <c r="FZ75" s="43" t="n">
        <f aca="false">IF(AND(Tasks[[#This Row],[_IsLeaf]]=1,Tasks[[#This Row],[_LeafTotalWork]]&gt;0),MAX(Tasks[[#This Row],[_StartWorkday]],NETWORKDAYS.INTL(ProjectStart,Tasks[[#This Row],[_ShownFcstFinish]],WorkWeek,Holidays)),0)</f>
        <v>0</v>
      </c>
      <c r="GA75" s="43" t="n">
        <f aca="false">IF(AND(Tasks[[#This Row],[_IsLeaf]]=1,Tasks[[#This Row],[_LeafTotalWork]]&gt;0),Tasks[[#This Row],[_LeafWork]]/(Tasks[[#This Row],[_FinishWorkday]]-Tasks[[#This Row],[_StartWorkday]]+1),0)</f>
        <v>0</v>
      </c>
      <c r="GB75" s="43" t="n">
        <f aca="false">Tasks[[#This Row],[_WorkPerWorkday]]*(Tasks[[#This Row],[_StartWorkday]]-1)</f>
        <v>-0</v>
      </c>
      <c r="GC75" s="43" t="n">
        <f aca="false">IF(Tasks[[#This Row],[_IsLeaf]]=1,MAX(N(Tasks[[#This Row],[_Days]]),0.1),0)</f>
        <v>0</v>
      </c>
      <c r="GD75" s="43" t="n">
        <f aca="false">Tasks[[#This Row],[_WeightDur]]*Tasks[[#This Row],[_LeafProgress]]</f>
        <v>0</v>
      </c>
      <c r="GE75" s="43" t="n">
        <f aca="false">Tasks[[#This Row],[_WeightDur]]*Tasks[[#This Row],[_PlannedPct]]</f>
        <v>0</v>
      </c>
      <c r="GF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3" t="str">
        <f aca="false">IF(AND(Tasks[[#This Row],[_IsLeaf]]=1,N(Tasks[[#This Row],[_Days]])=0,Tasks[[#This Row],[_LeafProgress]]&lt;1),Tasks[[#This Row],[_ShownFcstFinish]]+Tasks[[#This Row],[_Row]]/100000,"")</f>
        <v/>
      </c>
      <c r="GH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5" s="43" t="str">
        <f aca="false">IF(Tasks[[#This Row],[Task Name]]="","",LEFT(Tasks[[#This Row],[WBS]],FIND(".",Tasks[[#This Row],[WBS]]&amp;".")-1))</f>
        <v/>
      </c>
      <c r="GJ75" s="43" t="str">
        <f aca="false">IF(AND(Tasks[[#This Row],[Task Name]]&lt;&gt;"",Tasks[[#This Row],[_Level]]=1),Tasks[[#This Row],[_Row]],"")</f>
        <v/>
      </c>
      <c r="GK75" s="43" t="str">
        <f aca="false">IF(AND(Tasks[[#This Row],[_IsLeaf]]=1,N(Tasks[[#This Row],[_Days]])=0),Tasks[[#This Row],[Planned Finish]]+Tasks[[#This Row],[_Row]]/100000,"")</f>
        <v/>
      </c>
      <c r="GL75" s="43" t="str">
        <f aca="false">IF(AND(Tasks[[#This Row],[_IsLeaf]]=1,Tasks[[#This Row],[_LeafProgress]]&lt;1,OR(N(Tasks[[#This Row],[Finish Var]])&gt;0,Tasks[[#This Row],[Status]]="Late Start")),MAX(0,Tasks[[#This Row],[Finish Var]])+1-Tasks[[#This Row],[_Row]]/1000000,"")</f>
        <v/>
      </c>
      <c r="GM75" s="43" t="str">
        <f aca="false">IF(AND(Tasks[[#This Row],[_IsLeaf]]=1,N(Tasks[[#This Row],[Actual Start]])=0,Tasks[[#This Row],[_ShownFcstStart]]&gt;=StatusDate,Tasks[[#This Row],[_ShownFcstStart]]&lt;=LookaheadEnd),Tasks[[#This Row],[_ShownFcstStart]]+Tasks[[#This Row],[_Row]]/100000,"")</f>
        <v/>
      </c>
      <c r="GN75" s="43" t="str">
        <f aca="false">IF(AND(Tasks[[#This Row],[_IsLeaf]]=1,Tasks[[#This Row],[_LeafProgress]]&lt;1,Tasks[[#This Row],[_ShownFcstFinish]]&gt;=StatusDate,Tasks[[#This Row],[_ShownFcstFinish]]&lt;=LookaheadEnd),Tasks[[#This Row],[_ShownFcstFinish]]+Tasks[[#This Row],[_Row]]/100000,"")</f>
        <v/>
      </c>
      <c r="GO75" s="43" t="str">
        <f aca="false">IF(Tasks[[#This Row],[_LeafCritical]],Tasks[[#This Row],[_ShownFcstStart]]+Tasks[[#This Row],[_Row]]/100000,"")</f>
        <v/>
      </c>
      <c r="GP75" s="43" t="n">
        <f aca="false">Tasks[[#This Row],[_LeafWork]]*Tasks[[#This Row],[_LeafProgress]]</f>
        <v>0</v>
      </c>
      <c r="GQ75" s="91" t="str">
        <f aca="false">IF(AND(Tasks[[#This Row],[_IsLeaf]]=1,Tasks[[#This Row],[_LeafProgress]]&gt;=1),IF(N(Tasks[[#This Row],[Actual Finish]])&gt;0,Tasks[[#This Row],[Actual Finish]],Tasks[[#This Row],[_ShownFcstFinish]]),"")</f>
        <v/>
      </c>
      <c r="GR75" s="43" t="n">
        <f aca="false">IF(Tasks[[#This Row],[_IsLeaf]]=1,N(Tasks[[#This Row],[Story Points]]),0)</f>
        <v>0</v>
      </c>
      <c r="GS75" s="43" t="str">
        <f aca="false">""</f>
        <v/>
      </c>
      <c r="GT75" s="90" t="b">
        <f aca="false">IF(Tasks[[#This Row],[Task Name]]="",FALSE(),AND(Tasks[[#This Row],[_IsLeaf]]=1,N(Tasks[[#This Row],[_Days]])=0))</f>
        <v>0</v>
      </c>
      <c r="GU75" s="91" t="n">
        <f aca="false">IF(Tasks[[#This Row],[Task Name]]="",0,IF(AND(Tasks[[#This Row],[_IsLeaf]]=1,NOT(Tasks[[#This Row],[_IsMilestone]]),N(Tasks[[#This Row],[Progress]])&gt;0),Tasks[[#This Row],[Start]],0))</f>
        <v>0</v>
      </c>
      <c r="GV75" s="91" t="n">
        <f aca="false">IF(Tasks[[#This Row],[_DoneFrom]]=0,0,IF(Tasks[[#This Row],[Progress]]&gt;=1,Tasks[[#This Row],[Finish]],MAX(Tasks[[#This Row],[_DoneFrom]],Tasks[[#This Row],[Start]]+ROUND((Tasks[[#This Row],[Finish]]-Tasks[[#This Row],[Start]]+1)*Tasks[[#This Row],[Progress]],0)-1)))</f>
        <v>0</v>
      </c>
      <c r="GW75" s="91" t="n">
        <f aca="false">IF(Tasks[[#This Row],[Task Name]]="",0,IF(OR(NOT(Tasks[[#This Row],[_IsLeaf]]=1),Tasks[[#This Row],[_IsMilestone]],N(Tasks[[#This Row],[Progress]])&gt;=1),0,IF(Tasks[[#This Row],[_DoneTo]]&gt;0,Tasks[[#This Row],[_DoneTo]]+1,Tasks[[#This Row],[Start]])))</f>
        <v>0</v>
      </c>
      <c r="GX75" s="91" t="n">
        <f aca="false">IF(Tasks[[#This Row],[_RemFrom]]=0,0,Tasks[[#This Row],[Finish]])</f>
        <v>0</v>
      </c>
      <c r="GY75" s="90" t="b">
        <f aca="false">IF(Tasks[[#This Row],[Task Name]]="",FALSE(),OR(NOT(BaselineSet),N(Tasks[[#This Row],[Baseline Start]])&gt;0))</f>
        <v>0</v>
      </c>
      <c r="GZ7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92" t="str">
        <f aca="false">IF(Tasks[[#This Row],[_IsLeaf]]=1,Tasks[[#This Row],[_Row]],"")</f>
        <v/>
      </c>
      <c r="HD75" s="92" t="str">
        <f aca="false">IFERROR(INDEX(Tasks[UID],SMALL(Tasks[_PickKey],Tasks[[#This Row],[_Row]]))&amp;" "&amp;INDEX(Tasks[Task Name],SMALL(Tasks[_PickKey],Tasks[[#This Row],[_Row]])),"")</f>
        <v/>
      </c>
      <c r="HE75" s="43" t="str">
        <f aca="false">IF(Tasks[[#This Row],[Task Name]]="","",IF(Tasks[[#This Row],[_IsSummary]],NETWORKDAYS.INTL(Tasks[[#This Row],[Start]],Tasks[[#This Row],[Finish]],WorkWeek,Holidays),N(Tasks[[#This Row],[_Days]])))</f>
        <v/>
      </c>
      <c r="HF75" s="43" t="n">
        <f aca="false">IF(Tasks[[#This Row],[Expected]]="",0,((Tasks[[#This Row],[Pessimistic]]-Tasks[[#This Row],[Optimistic]])/6)^2)</f>
        <v>0</v>
      </c>
      <c r="HG75" s="43" t="n">
        <f aca="false">IF(Tasks[[#This Row],[Expected]]="",0,Tasks[[#This Row],[Expected]]-N(Tasks[[#This Row],[_Days]]))</f>
        <v>0</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4"/>
      <c r="U76" s="23"/>
      <c r="V76" s="84"/>
      <c r="W76" s="23"/>
      <c r="X76" s="84"/>
      <c r="Y76" s="23"/>
      <c r="Z76" s="84"/>
      <c r="AA76" s="23"/>
      <c r="AB76" s="23"/>
      <c r="AC76" s="7"/>
      <c r="AD76" s="7"/>
      <c r="AE76" s="63" t="str">
        <f aca="false">IF(Tasks[[#This Row],[Task Name]]="","",IF(Tasks[[#This Row],[_IsSummary]],MIN(INDEX(Tasks[_ShownFcstStart],Tasks[[#This Row],[_Row]]+1):INDEX(Tasks[_ShownFcstStart],Tasks[[#This Row],[_Row]]+Tasks[[#This Row],[_Descendants]])),Tasks[[#This Row],[_ShownFcstStart]]))</f>
        <v/>
      </c>
      <c r="AF76" s="63"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6" s="7"/>
      <c r="AK76" s="22"/>
      <c r="AL76" s="23"/>
      <c r="AM76" s="7"/>
      <c r="AN76" s="47"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3" t="str">
        <f aca="false">IF(Tasks[[#This Row],[Task Name]]="","",IF(N(Tasks[[#This Row],[Baseline Start]])&gt;0,Tasks[[#This Row],[Baseline Start]],Tasks[[#This Row],[_CalcStart]]))</f>
        <v/>
      </c>
      <c r="AR76" s="63" t="str">
        <f aca="false">IF(Tasks[[#This Row],[Task Name]]="","",IF(N(Tasks[[#This Row],[Baseline Finish]])&gt;0,Tasks[[#This Row],[Baseline Finish]],Tasks[[#This Row],[_CalcFinish]]))</f>
        <v/>
      </c>
      <c r="AS76" s="47" t="str">
        <f aca="false">IF(Tasks[[#This Row],[Task Name]]="","",IF(Tasks[[#This Row],[Start]]&gt;=Tasks[[#This Row],[Planned Start]],NETWORKDAYS.INTL(Tasks[[#This Row],[Planned Start]],Tasks[[#This Row],[Start]],WorkWeek,Holidays)-1,1-NETWORKDAYS.INTL(Tasks[[#This Row],[Start]],Tasks[[#This Row],[Planned Start]],WorkWeek,Holidays)))</f>
        <v/>
      </c>
      <c r="AT76" s="63" t="str">
        <f aca="false">IF(Tasks[[#This Row],[Task Name]]="","",IF(Tasks[[#This Row],[_IsSummary]],MIN(INDEX(Tasks[_LeafLateStart],Tasks[[#This Row],[_Row]]+1):INDEX(Tasks[_LeafLateStart],Tasks[[#This Row],[_Row]]+Tasks[[#This Row],[_Descendants]])),Tasks[[#This Row],[_LeafLateStart]]))</f>
        <v/>
      </c>
      <c r="AU76" s="63" t="str">
        <f aca="false">IF(Tasks[[#This Row],[Task Name]]="","",IF(Tasks[[#This Row],[_IsSummary]],MAX(INDEX(Tasks[_LeafLateFinish],Tasks[[#This Row],[_Row]]+1):INDEX(Tasks[_LeafLateFinish],Tasks[[#This Row],[_Row]]+Tasks[[#This Row],[_Descendants]])),Tasks[[#This Row],[_LeafLateFinish]]))</f>
        <v/>
      </c>
      <c r="AV76" s="47"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5"/>
      <c r="BA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6"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7"/>
      <c r="BJ76" s="22"/>
      <c r="BK76" s="47" t="str">
        <f aca="false">IF(OR(Tasks[[#This Row],[Task Name]]="",Tasks[[#This Row],[Baseline Duration]]=""),"",Tasks[[#This Row],[_SpanDays]]-N(Tasks[[#This Row],[Baseline Duration]]))</f>
        <v/>
      </c>
      <c r="BL76" s="86" t="str">
        <f aca="false">IF(OR(Tasks[[#This Row],[Task Name]]="",Tasks[[#This Row],[Baseline Work]]=""),"",Tasks[[#This Row],[Work]]-N(Tasks[[#This Row],[Baseline Work]]))</f>
        <v/>
      </c>
      <c r="BM76" s="63" t="str">
        <f aca="false">IF(Tasks[[#This Row],[Task Name]]="","",IF(OR(TakeBaseline="Yes",N(Tasks[[#This Row],[Baseline Start]])=0),Tasks[[#This Row],[Start]],Tasks[[#This Row],[Baseline Start]]))</f>
        <v/>
      </c>
      <c r="BN76" s="63" t="str">
        <f aca="false">IF(Tasks[[#This Row],[Task Name]]="","",IF(OR(TakeBaseline="Yes",N(Tasks[[#This Row],[Baseline Finish]])=0),Tasks[[#This Row],[Finish]],Tasks[[#This Row],[Baseline Finish]]))</f>
        <v/>
      </c>
      <c r="BO76" s="21" t="str">
        <f aca="false">IF(Tasks[[#This Row],[Task Name]]="","",IF(OR(TakeBaseline="Yes",N(Tasks[[#This Row],[Baseline Duration]])=0),Tasks[[#This Row],[_SpanDays]],Tasks[[#This Row],[Baseline Duration]]))</f>
        <v/>
      </c>
      <c r="BP76" s="86" t="str">
        <f aca="false">IF(Tasks[[#This Row],[Task Name]]="","",IF(OR(TakeBaseline="Yes",N(Tasks[[#This Row],[Baseline Work]])=0),Tasks[[#This Row],[Work]],Tasks[[#This Row],[Baseline Work]]))</f>
        <v/>
      </c>
      <c r="BQ76" s="7"/>
      <c r="BR76" s="7"/>
      <c r="BS76" s="22"/>
      <c r="BT76" s="88"/>
      <c r="BU76" s="23"/>
      <c r="BV76" s="23"/>
      <c r="BW76" s="23"/>
      <c r="BX76" s="89" t="str">
        <f aca="false">IF(AND(Tasks[[#This Row],[_IsLeaf]]=1,ISNUMBER(Tasks[[#This Row],[Optimistic]]),ISNUMBER(Tasks[[#This Row],[Pessimistic]])),ROUND((Tasks[[#This Row],[Optimistic]]+4*N(Tasks[[#This Row],[_Days]])+Tasks[[#This Row],[Pessimistic]])/6,1),"")</f>
        <v/>
      </c>
      <c r="BY76" s="87"/>
      <c r="BZ76" s="87"/>
      <c r="CA76" s="22"/>
      <c r="CB76" s="43" t="str">
        <f aca="false">IF(Tasks[[#This Row],[Task Name]]="","",MAX(1,N(Tasks[[#This Row],[Level]])))</f>
        <v/>
      </c>
      <c r="CC76" s="43" t="n">
        <f aca="false">ROW()-ROW(Tasks[[#Headers],[ID]])</f>
        <v>71</v>
      </c>
      <c r="CD76" s="43" t="n">
        <f aca="false">IF(OR(Tasks[[#This Row],[Task Name]]="",Tasks[[#This Row],[_Level]]&lt;=1),0,IFERROR(LOOKUP(2,1/(Tasks[[#Headers],[_Level]]:Tasks[[#This Row],[_Level]]=Tasks[[#This Row],[_Level]]-1),ROW(Tasks[[#Headers],[_Level]]:Tasks[[#This Row],[_Level]])),0))</f>
        <v>0</v>
      </c>
      <c r="CE76" s="43" t="n">
        <f aca="false">IFERROR(N(INDEX(Tasks[_Level],Tasks[[#This Row],[_Row]]+1)),0)</f>
        <v>0</v>
      </c>
      <c r="CF76" s="90" t="b">
        <f aca="false">AND(Tasks[[#This Row],[Task Name]]&lt;&gt;"",Tasks[[#This Row],[_NextLevel]]&gt;Tasks[[#This Row],[_Level]])</f>
        <v>0</v>
      </c>
      <c r="CG76" s="43" t="n">
        <f aca="false">IF(Tasks[[#This Row],[_IsSummary]],COUNTIF(Tasks[WBS],Tasks[[#This Row],[WBS]]&amp;".*"),0)</f>
        <v>0</v>
      </c>
      <c r="CH76" s="43" t="n">
        <f aca="false">IF(AND(Tasks[[#This Row],[Task Name]]&lt;&gt;"",NOT(Tasks[[#This Row],[_IsSummary]])),1,0)</f>
        <v>0</v>
      </c>
      <c r="CI76" s="43" t="n">
        <f aca="false">IF(N(Tasks[[#This Row],[_Pred1UID]])=0,0,IFERROR(MATCH(Tasks[[#This Row],[_Pred1UID]],Tasks[UID],0),-1))</f>
        <v>0</v>
      </c>
      <c r="CJ76" s="43" t="n">
        <f aca="false">IF(N(Tasks[[#This Row],[_Pred2UID]])=0,0,IFERROR(MATCH(Tasks[[#This Row],[_Pred2UID]],Tasks[UID],0),-1))</f>
        <v>0</v>
      </c>
      <c r="CK76" s="43" t="n">
        <f aca="false">IF(N(Tasks[[#This Row],[_Pred3UID]])=0,0,IFERROR(MATCH(Tasks[[#This Row],[_Pred3UID]],Tasks[UID],0),-1))</f>
        <v>0</v>
      </c>
      <c r="CL76" s="43" t="n">
        <f aca="false">IF(N(Tasks[[#This Row],[_Pred4UID]])=0,0,IFERROR(MATCH(Tasks[[#This Row],[_Pred4UID]],Tasks[UID],0),-1))</f>
        <v>0</v>
      </c>
      <c r="CM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6" s="91" t="n">
        <f aca="false">IF(OR(Tasks[[#This Row],[_ConstraintCode]]=2,Tasks[[#This Row],[_ConstraintCode]]=3,Tasks[[#This Row],[_ConstraintCode]]=4,Tasks[[#This Row],[_ConstraintCode]]=6),Tasks[[#This Row],[_ConstraintStart]],0)</f>
        <v>0</v>
      </c>
      <c r="CP76" s="91" t="n">
        <f aca="false">IF(OR(Tasks[[#This Row],[_ConstraintCode]]=2,Tasks[[#This Row],[_ConstraintCode]]=3,Tasks[[#This Row],[_ConstraintCode]]=5,Tasks[[#This Row],[_ConstraintCode]]=7),Tasks[[#This Row],[_ConstraintStart]],2958465)</f>
        <v>2958465</v>
      </c>
      <c r="CQ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91" t="str">
        <f aca="false">IF(NOT(Tasks[[#This Row],[_IsLeaf]]=1),"",IF(N(Tasks[[#This Row],[_Days]])&lt;=0,Tasks[[#This Row],[_LeafCalcStart]],WORKDAY.INTL(Tasks[[#This Row],[_LeafCalcStart]],Tasks[[#This Row],[_Days]]-1,WorkWeek,Holidays)))</f>
        <v/>
      </c>
      <c r="CS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3" t="str">
        <f aca="false">IF(Tasks[[#This Row],[_Predecessors]]="","",TRIM(MID(SUBSTITUTE(SUBSTITUTE(SUBSTITUTE(UPPER(Tasks[[#This Row],[_Predecessors]]),";",",")," ",""),",",REPT(" ",99)),1,99)))</f>
        <v/>
      </c>
      <c r="CV76" s="43" t="str">
        <f aca="false">IF(Tasks[[#This Row],[_Pred1Text]]="","",IFERROR(VALUE(LEFT(Tasks[[#This Row],[_Pred1Text]],MIN(FIND("F",Tasks[[#This Row],[_Pred1Text]]&amp;"F"),FIND("S",Tasks[[#This Row],[_Pred1Text]]&amp;"S"),FIND("+",Tasks[[#This Row],[_Pred1Text]]&amp;"+"),FIND("-",Tasks[[#This Row],[_Pred1Text]]&amp;"-"))-1)),""))</f>
        <v/>
      </c>
      <c r="CW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3" t="str">
        <f aca="false">IF(Tasks[[#This Row],[_Pred1Text]]="","",TRIM(MID(SUBSTITUTE(SUBSTITUTE(SUBSTITUTE(UPPER(Tasks[[#This Row],[_Predecessors]]),";",",")," ",""),",",REPT(" ",99)),100,99)))</f>
        <v/>
      </c>
      <c r="CZ76" s="43" t="str">
        <f aca="false">IF(Tasks[[#This Row],[_Pred2Text]]="","",IFERROR(VALUE(LEFT(Tasks[[#This Row],[_Pred2Text]],MIN(FIND("F",Tasks[[#This Row],[_Pred2Text]]&amp;"F"),FIND("S",Tasks[[#This Row],[_Pred2Text]]&amp;"S"),FIND("+",Tasks[[#This Row],[_Pred2Text]]&amp;"+"),FIND("-",Tasks[[#This Row],[_Pred2Text]]&amp;"-"))-1)),""))</f>
        <v/>
      </c>
      <c r="DA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3" t="str">
        <f aca="false">IF(Tasks[[#This Row],[_Pred2Text]]="","",TRIM(MID(SUBSTITUTE(SUBSTITUTE(SUBSTITUTE(UPPER(Tasks[[#This Row],[_Predecessors]]),";",",")," ",""),",",REPT(" ",99)),199,99)))</f>
        <v/>
      </c>
      <c r="DD76" s="43" t="str">
        <f aca="false">IF(Tasks[[#This Row],[_Pred3Text]]="","",IFERROR(VALUE(LEFT(Tasks[[#This Row],[_Pred3Text]],MIN(FIND("F",Tasks[[#This Row],[_Pred3Text]]&amp;"F"),FIND("S",Tasks[[#This Row],[_Pred3Text]]&amp;"S"),FIND("+",Tasks[[#This Row],[_Pred3Text]]&amp;"+"),FIND("-",Tasks[[#This Row],[_Pred3Text]]&amp;"-"))-1)),""))</f>
        <v/>
      </c>
      <c r="DE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3" t="str">
        <f aca="false">IF(Tasks[[#This Row],[_Pred3Text]]="","",TRIM(MID(SUBSTITUTE(SUBSTITUTE(SUBSTITUTE(UPPER(Tasks[[#This Row],[_Predecessors]]),";",",")," ",""),",",REPT(" ",99)),298,99)))</f>
        <v/>
      </c>
      <c r="DH76" s="43" t="str">
        <f aca="false">IF(Tasks[[#This Row],[_Pred4Text]]="","",IFERROR(VALUE(LEFT(Tasks[[#This Row],[_Pred4Text]],MIN(FIND("F",Tasks[[#This Row],[_Pred4Text]]&amp;"F"),FIND("S",Tasks[[#This Row],[_Pred4Text]]&amp;"S"),FIND("+",Tasks[[#This Row],[_Pred4Text]]&amp;"+"),FIND("-",Tasks[[#This Row],[_Pred4Text]]&amp;"-"))-1)),""))</f>
        <v/>
      </c>
      <c r="DI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3" t="str">
        <f aca="false">IF(OR(Tasks[[#This Row],[Task Name]]="",Tasks[[#This Row],[_Resources]]=""),"",TRIM(MID(SUBSTITUTE(Tasks[[#This Row],[_Resources]],",",REPT(" ",99)),1,99)))</f>
        <v/>
      </c>
      <c r="DL76" s="43" t="str">
        <f aca="false">IF(Tasks[[#This Row],[_Res1Text]]="","",TRIM(MID(SUBSTITUTE(Tasks[[#This Row],[_Resources]],",",REPT(" ",99)),100,99)))</f>
        <v/>
      </c>
      <c r="DM76" s="43" t="str">
        <f aca="false">IF(Tasks[[#This Row],[_Res2Text]]="","",TRIM(MID(SUBSTITUTE(Tasks[[#This Row],[_Resources]],",",REPT(" ",99)),199,99)))</f>
        <v/>
      </c>
      <c r="DN76" s="43" t="str">
        <f aca="false">IF(Tasks[[#This Row],[_Res3Text]]="","",TRIM(MID(SUBSTITUTE(Tasks[[#This Row],[_Resources]],",",REPT(" ",99)),298,99)))</f>
        <v/>
      </c>
      <c r="DO76" s="43" t="n">
        <f aca="false">IF(Tasks[[#This Row],[_Res1Text]]="",0,IFERROR(MATCH(TRIM(LEFT(Tasks[[#This Row],[_Res1Text]],FIND("[",Tasks[[#This Row],[_Res1Text]]&amp;"[")-1)),res_Name,0),IFERROR(MATCH(TRIM(LEFT(Tasks[[#This Row],[_Res1Text]],FIND("[",Tasks[[#This Row],[_Res1Text]]&amp;"[")-1)),res_Initials,0),0)))</f>
        <v>0</v>
      </c>
      <c r="DP76" s="43" t="n">
        <f aca="false">IF(Tasks[[#This Row],[_Res2Text]]="",0,IFERROR(MATCH(TRIM(LEFT(Tasks[[#This Row],[_Res2Text]],FIND("[",Tasks[[#This Row],[_Res2Text]]&amp;"[")-1)),res_Name,0),IFERROR(MATCH(TRIM(LEFT(Tasks[[#This Row],[_Res2Text]],FIND("[",Tasks[[#This Row],[_Res2Text]]&amp;"[")-1)),res_Initials,0),0)))</f>
        <v>0</v>
      </c>
      <c r="DQ76" s="43" t="n">
        <f aca="false">IF(Tasks[[#This Row],[_Res3Text]]="",0,IFERROR(MATCH(TRIM(LEFT(Tasks[[#This Row],[_Res3Text]],FIND("[",Tasks[[#This Row],[_Res3Text]]&amp;"[")-1)),res_Name,0),IFERROR(MATCH(TRIM(LEFT(Tasks[[#This Row],[_Res3Text]],FIND("[",Tasks[[#This Row],[_Res3Text]]&amp;"[")-1)),res_Initials,0),0)))</f>
        <v>0</v>
      </c>
      <c r="DR76" s="43" t="n">
        <f aca="false">IF(Tasks[[#This Row],[_Res4Text]]="",0,IFERROR(MATCH(TRIM(LEFT(Tasks[[#This Row],[_Res4Text]],FIND("[",Tasks[[#This Row],[_Res4Text]]&amp;"[")-1)),res_Name,0),IFERROR(MATCH(TRIM(LEFT(Tasks[[#This Row],[_Res4Text]],FIND("[",Tasks[[#This Row],[_Res4Text]]&amp;"[")-1)),res_Initials,0),0)))</f>
        <v>0</v>
      </c>
      <c r="DS76" s="43" t="str">
        <f aca="false">IF(Tasks[[#This Row],[_Res1Text]]="","",IF(Tasks[[#This Row],[_Res1Row]]&gt;0,INDEX(res_Name,Tasks[[#This Row],[_Res1Row]]),TRIM(LEFT(Tasks[[#This Row],[_Res1Text]],FIND("[",Tasks[[#This Row],[_Res1Text]]&amp;"[")-1))))</f>
        <v/>
      </c>
      <c r="DT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3" t="n">
        <f aca="false">IF(NOT(Tasks[[#This Row],[_IsLeaf]]=1),0,(Tasks[[#This Row],[_Resource1]]&lt;&gt;"")+(Tasks[[#This Row],[_Res2]]&lt;&gt;"")+(Tasks[[#This Row],[_Res3]]&lt;&gt;"")+(Tasks[[#This Row],[_Res4]]&lt;&gt;""))</f>
        <v>0</v>
      </c>
      <c r="DV76" s="43" t="str">
        <f aca="false">IF(Tasks[[#This Row],[_Res2Text]]="","",IF(Tasks[[#This Row],[_Res2Row]]&gt;0,INDEX(res_Name,Tasks[[#This Row],[_Res2Row]]),TRIM(LEFT(Tasks[[#This Row],[_Res2Text]],FIND("[",Tasks[[#This Row],[_Res2Text]]&amp;"[")-1))))</f>
        <v/>
      </c>
      <c r="DW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3" t="n">
        <f aca="false">IF(OR(NOT(Tasks[[#This Row],[_IsLeaf]]=1),Tasks[[#This Row],[_Res2Row]]=0),0,N(Tasks[[#This Row],[_Days]])*HoursPerDay*IF(Tasks[[#This Row],[_Res2Units]]="",DefaultUnits,Tasks[[#This Row],[_Res2Units]]))</f>
        <v>0</v>
      </c>
      <c r="DY76" s="43" t="n">
        <f aca="false">IF(AND(AND(Tasks[[#This Row],[_IsLeaf]]=1,Tasks[[#This Row],[_LeafTotalWork]]&gt;0),Tasks[[#This Row],[_Res2Work]]&gt;0),Tasks[[#This Row],[_Res2Work]]/(Tasks[[#This Row],[_FinishWorkday]]-Tasks[[#This Row],[_StartWorkday]]+1),0)</f>
        <v>0</v>
      </c>
      <c r="DZ76" s="43" t="n">
        <f aca="false">Tasks[[#This Row],[_Res2WorkPerWD]]*MAX(0,Tasks[[#This Row],[_StartWorkday]]-1)</f>
        <v>0</v>
      </c>
      <c r="EA76" s="43" t="n">
        <f aca="false">Tasks[[#This Row],[_Res2Work]]*Tasks[[#This Row],[_LeafProgress]]</f>
        <v>0</v>
      </c>
      <c r="EB76" s="43" t="str">
        <f aca="false">IF(Tasks[[#This Row],[_Res3Text]]="","",IF(Tasks[[#This Row],[_Res3Row]]&gt;0,INDEX(res_Name,Tasks[[#This Row],[_Res3Row]]),TRIM(LEFT(Tasks[[#This Row],[_Res3Text]],FIND("[",Tasks[[#This Row],[_Res3Text]]&amp;"[")-1))))</f>
        <v/>
      </c>
      <c r="EC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3" t="n">
        <f aca="false">IF(OR(NOT(Tasks[[#This Row],[_IsLeaf]]=1),Tasks[[#This Row],[_Res3Row]]=0),0,N(Tasks[[#This Row],[_Days]])*HoursPerDay*IF(Tasks[[#This Row],[_Res3Units]]="",DefaultUnits,Tasks[[#This Row],[_Res3Units]]))</f>
        <v>0</v>
      </c>
      <c r="EE76" s="43" t="n">
        <f aca="false">IF(AND(AND(Tasks[[#This Row],[_IsLeaf]]=1,Tasks[[#This Row],[_LeafTotalWork]]&gt;0),Tasks[[#This Row],[_Res3Work]]&gt;0),Tasks[[#This Row],[_Res3Work]]/(Tasks[[#This Row],[_FinishWorkday]]-Tasks[[#This Row],[_StartWorkday]]+1),0)</f>
        <v>0</v>
      </c>
      <c r="EF76" s="43" t="n">
        <f aca="false">Tasks[[#This Row],[_Res3WorkPerWD]]*MAX(0,Tasks[[#This Row],[_StartWorkday]]-1)</f>
        <v>0</v>
      </c>
      <c r="EG76" s="43" t="n">
        <f aca="false">Tasks[[#This Row],[_Res3Work]]*Tasks[[#This Row],[_LeafProgress]]</f>
        <v>0</v>
      </c>
      <c r="EH76" s="43" t="str">
        <f aca="false">IF(Tasks[[#This Row],[_Res4Text]]="","",IF(Tasks[[#This Row],[_Res4Row]]&gt;0,INDEX(res_Name,Tasks[[#This Row],[_Res4Row]]),TRIM(LEFT(Tasks[[#This Row],[_Res4Text]],FIND("[",Tasks[[#This Row],[_Res4Text]]&amp;"[")-1))))</f>
        <v/>
      </c>
      <c r="EI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3" t="n">
        <f aca="false">IF(OR(NOT(Tasks[[#This Row],[_IsLeaf]]=1),Tasks[[#This Row],[_Res4Row]]=0),0,N(Tasks[[#This Row],[_Days]])*HoursPerDay*IF(Tasks[[#This Row],[_Res4Units]]="",DefaultUnits,Tasks[[#This Row],[_Res4Units]]))</f>
        <v>0</v>
      </c>
      <c r="EK76" s="43" t="n">
        <f aca="false">IF(AND(AND(Tasks[[#This Row],[_IsLeaf]]=1,Tasks[[#This Row],[_LeafTotalWork]]&gt;0),Tasks[[#This Row],[_Res4Work]]&gt;0),Tasks[[#This Row],[_Res4Work]]/(Tasks[[#This Row],[_FinishWorkday]]-Tasks[[#This Row],[_StartWorkday]]+1),0)</f>
        <v>0</v>
      </c>
      <c r="EL76" s="43" t="n">
        <f aca="false">Tasks[[#This Row],[_Res4WorkPerWD]]*MAX(0,Tasks[[#This Row],[_StartWorkday]]-1)</f>
        <v>0</v>
      </c>
      <c r="EM76" s="43" t="n">
        <f aca="false">Tasks[[#This Row],[_Res4Work]]*Tasks[[#This Row],[_LeafProgress]]</f>
        <v>0</v>
      </c>
      <c r="EN76" s="43" t="n">
        <f aca="false">IF(ISNUMBER(Tasks[[#This Row],[% Complete]]),Tasks[[#This Row],[% Complete]],IF(Tasks[[#This Row],[Stage]]="",0,IFERROR(INDEX(stg_Pct,MATCH(Tasks[[#This Row],[Stage]],stg_Name,0)),0)))</f>
        <v>0</v>
      </c>
      <c r="EO76" s="43" t="n">
        <f aca="false">IF(NOT(Tasks[[#This Row],[_IsLeaf]]=1),0,IF(N(Tasks[[#This Row],[Actual Finish]])&gt;0,1,MIN(1,Tasks[[#This Row],[_Pct]])))</f>
        <v>0</v>
      </c>
      <c r="EP76" s="43" t="n">
        <f aca="false">IF(OR(NOT(Tasks[[#This Row],[_IsLeaf]]=1),Tasks[[#This Row],[_Res1Row]]=0),0,N(Tasks[[#This Row],[_Days]])*HoursPerDay*IF(Tasks[[#This Row],[_Units1]]="",DefaultUnits,Tasks[[#This Row],[_Units1]]))</f>
        <v>0</v>
      </c>
      <c r="EQ76" s="43" t="n">
        <f aca="false">Tasks[[#This Row],[_LeafWork]]+Tasks[[#This Row],[_Res2Work]]+Tasks[[#This Row],[_Res3Work]]+Tasks[[#This Row],[_Res4Work]]</f>
        <v>0</v>
      </c>
      <c r="ER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3" t="n">
        <f aca="false">IF(NOT(Tasks[[#This Row],[_IsLeaf]]=1),0,MAX(_xlfn.MAXIFS(Tasks[_Row],Tasks[_Pred1UID],Tasks[[#This Row],[UID]]),_xlfn.MAXIFS(Tasks[_Row],Tasks[_Pred2UID],Tasks[[#This Row],[UID]]),_xlfn.MAXIFS(Tasks[_Row],Tasks[_Pred3UID],Tasks[[#This Row],[UID]]),_xlfn.MAXIFS(Tasks[_Row],Tasks[_Pred4UID],Tasks[[#This Row],[UID]])))</f>
        <v>0</v>
      </c>
      <c r="FA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91" t="str">
        <f aca="false">IF(NOT(Tasks[[#This Row],[_IsLeaf]]=1),"",IF(N(Tasks[[#This Row],[_Days]])&lt;=0,Tasks[[#This Row],[_LeafLateFinish]],WORKDAY.INTL(Tasks[[#This Row],[_LeafLateFinish]],-(Tasks[[#This Row],[_Days]]-1),WorkWeek,Holidays)))</f>
        <v/>
      </c>
      <c r="FD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6" s="90" t="b">
        <f aca="false">AND(Tasks[[#This Row],[_IsLeaf]]=1,Tasks[[#This Row],[_LeafProgress]]&lt;1,N(Tasks[[#This Row],[_LeafTotalSlack]])&lt;=CriticalSlackDays)</f>
        <v>0</v>
      </c>
      <c r="FF76" s="43" t="n">
        <f aca="false">IF(AND(Tasks[[#This Row],[_IsLeaf]]=1,Tasks[[#This Row],[_ConstraintCode]]=1,Tasks[[#This Row],[Mode]]&lt;&gt;"Manual",N(Tasks[[#This Row],[Actual Start]])=0),MAX(0,N(Tasks[[#This Row],[Free Slack]])),0)</f>
        <v>0</v>
      </c>
      <c r="FG76" s="91" t="str">
        <f aca="false">IF(NOT(Tasks[[#This Row],[_IsLeaf]]=1),"",IF(Tasks[[#This Row],[_AlapShift]]=0,Tasks[[#This Row],[_LeafCalcStart]],WORKDAY.INTL(Tasks[[#This Row],[_LeafCalcStart]],Tasks[[#This Row],[_AlapShift]],WorkWeek,Holidays)))</f>
        <v/>
      </c>
      <c r="FH76" s="91" t="str">
        <f aca="false">IF(NOT(Tasks[[#This Row],[_IsLeaf]]=1),"",IF(Tasks[[#This Row],[_AlapShift]]=0,Tasks[[#This Row],[_LeafCalcFinish]],WORKDAY.INTL(Tasks[[#This Row],[_LeafCalcFinish]],Tasks[[#This Row],[_AlapShift]],WorkWeek,Holidays)))</f>
        <v/>
      </c>
      <c r="FI76" s="91" t="str">
        <f aca="false">IF(NOT(Tasks[[#This Row],[_IsLeaf]]=1),"",IF(Tasks[[#This Row],[_AlapShift]]=0,Tasks[[#This Row],[_LeafFcstStart]],WORKDAY.INTL(Tasks[[#This Row],[_LeafFcstStart]],Tasks[[#This Row],[_AlapShift]],WorkWeek,Holidays)))</f>
        <v/>
      </c>
      <c r="FJ76" s="91" t="str">
        <f aca="false">IF(NOT(Tasks[[#This Row],[_IsLeaf]]=1),"",IF(Tasks[[#This Row],[_AlapShift]]=0,Tasks[[#This Row],[_LeafFcstFinish]],WORKDAY.INTL(Tasks[[#This Row],[_LeafFcstFinish]],Tasks[[#This Row],[_AlapShift]],WorkWeek,Holidays)))</f>
        <v/>
      </c>
      <c r="FK76" s="91" t="str">
        <f aca="false">IF(Tasks[[#This Row],[Task Name]]="","",IF(Tasks[[#This Row],[_IsSummary]],MIN(INDEX(Tasks[_ShownCalcStart],Tasks[[#This Row],[_Row]]+1):INDEX(Tasks[_ShownCalcStart],Tasks[[#This Row],[_Row]]+Tasks[[#This Row],[_Descendants]])),Tasks[[#This Row],[_ShownCalcStart]]))</f>
        <v/>
      </c>
      <c r="FL76" s="91" t="str">
        <f aca="false">IF(Tasks[[#This Row],[Task Name]]="","",IF(Tasks[[#This Row],[_IsSummary]],MAX(INDEX(Tasks[_ShownCalcFinish],Tasks[[#This Row],[_Row]]+1):INDEX(Tasks[_ShownCalcFinish],Tasks[[#This Row],[_Row]]+Tasks[[#This Row],[_Descendants]])),Tasks[[#This Row],[_ShownCalcFinish]]))</f>
        <v/>
      </c>
      <c r="FM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6" s="43" t="n">
        <f aca="false">IF(AND(Tasks[[#This Row],[_IsLeaf]]=1,Tasks[[#This Row],[_LeafTotalWork]]&gt;0),NETWORKDAYS.INTL(ProjectStart,Tasks[[#This Row],[_ShownFcstStart]],WorkWeek,Holidays),0)</f>
        <v>0</v>
      </c>
      <c r="FZ76" s="43" t="n">
        <f aca="false">IF(AND(Tasks[[#This Row],[_IsLeaf]]=1,Tasks[[#This Row],[_LeafTotalWork]]&gt;0),MAX(Tasks[[#This Row],[_StartWorkday]],NETWORKDAYS.INTL(ProjectStart,Tasks[[#This Row],[_ShownFcstFinish]],WorkWeek,Holidays)),0)</f>
        <v>0</v>
      </c>
      <c r="GA76" s="43" t="n">
        <f aca="false">IF(AND(Tasks[[#This Row],[_IsLeaf]]=1,Tasks[[#This Row],[_LeafTotalWork]]&gt;0),Tasks[[#This Row],[_LeafWork]]/(Tasks[[#This Row],[_FinishWorkday]]-Tasks[[#This Row],[_StartWorkday]]+1),0)</f>
        <v>0</v>
      </c>
      <c r="GB76" s="43" t="n">
        <f aca="false">Tasks[[#This Row],[_WorkPerWorkday]]*(Tasks[[#This Row],[_StartWorkday]]-1)</f>
        <v>-0</v>
      </c>
      <c r="GC76" s="43" t="n">
        <f aca="false">IF(Tasks[[#This Row],[_IsLeaf]]=1,MAX(N(Tasks[[#This Row],[_Days]]),0.1),0)</f>
        <v>0</v>
      </c>
      <c r="GD76" s="43" t="n">
        <f aca="false">Tasks[[#This Row],[_WeightDur]]*Tasks[[#This Row],[_LeafProgress]]</f>
        <v>0</v>
      </c>
      <c r="GE76" s="43" t="n">
        <f aca="false">Tasks[[#This Row],[_WeightDur]]*Tasks[[#This Row],[_PlannedPct]]</f>
        <v>0</v>
      </c>
      <c r="GF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3" t="str">
        <f aca="false">IF(AND(Tasks[[#This Row],[_IsLeaf]]=1,N(Tasks[[#This Row],[_Days]])=0,Tasks[[#This Row],[_LeafProgress]]&lt;1),Tasks[[#This Row],[_ShownFcstFinish]]+Tasks[[#This Row],[_Row]]/100000,"")</f>
        <v/>
      </c>
      <c r="GH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6" s="43" t="str">
        <f aca="false">IF(Tasks[[#This Row],[Task Name]]="","",LEFT(Tasks[[#This Row],[WBS]],FIND(".",Tasks[[#This Row],[WBS]]&amp;".")-1))</f>
        <v/>
      </c>
      <c r="GJ76" s="43" t="str">
        <f aca="false">IF(AND(Tasks[[#This Row],[Task Name]]&lt;&gt;"",Tasks[[#This Row],[_Level]]=1),Tasks[[#This Row],[_Row]],"")</f>
        <v/>
      </c>
      <c r="GK76" s="43" t="str">
        <f aca="false">IF(AND(Tasks[[#This Row],[_IsLeaf]]=1,N(Tasks[[#This Row],[_Days]])=0),Tasks[[#This Row],[Planned Finish]]+Tasks[[#This Row],[_Row]]/100000,"")</f>
        <v/>
      </c>
      <c r="GL76" s="43" t="str">
        <f aca="false">IF(AND(Tasks[[#This Row],[_IsLeaf]]=1,Tasks[[#This Row],[_LeafProgress]]&lt;1,OR(N(Tasks[[#This Row],[Finish Var]])&gt;0,Tasks[[#This Row],[Status]]="Late Start")),MAX(0,Tasks[[#This Row],[Finish Var]])+1-Tasks[[#This Row],[_Row]]/1000000,"")</f>
        <v/>
      </c>
      <c r="GM76" s="43" t="str">
        <f aca="false">IF(AND(Tasks[[#This Row],[_IsLeaf]]=1,N(Tasks[[#This Row],[Actual Start]])=0,Tasks[[#This Row],[_ShownFcstStart]]&gt;=StatusDate,Tasks[[#This Row],[_ShownFcstStart]]&lt;=LookaheadEnd),Tasks[[#This Row],[_ShownFcstStart]]+Tasks[[#This Row],[_Row]]/100000,"")</f>
        <v/>
      </c>
      <c r="GN76" s="43" t="str">
        <f aca="false">IF(AND(Tasks[[#This Row],[_IsLeaf]]=1,Tasks[[#This Row],[_LeafProgress]]&lt;1,Tasks[[#This Row],[_ShownFcstFinish]]&gt;=StatusDate,Tasks[[#This Row],[_ShownFcstFinish]]&lt;=LookaheadEnd),Tasks[[#This Row],[_ShownFcstFinish]]+Tasks[[#This Row],[_Row]]/100000,"")</f>
        <v/>
      </c>
      <c r="GO76" s="43" t="str">
        <f aca="false">IF(Tasks[[#This Row],[_LeafCritical]],Tasks[[#This Row],[_ShownFcstStart]]+Tasks[[#This Row],[_Row]]/100000,"")</f>
        <v/>
      </c>
      <c r="GP76" s="43" t="n">
        <f aca="false">Tasks[[#This Row],[_LeafWork]]*Tasks[[#This Row],[_LeafProgress]]</f>
        <v>0</v>
      </c>
      <c r="GQ76" s="91" t="str">
        <f aca="false">IF(AND(Tasks[[#This Row],[_IsLeaf]]=1,Tasks[[#This Row],[_LeafProgress]]&gt;=1),IF(N(Tasks[[#This Row],[Actual Finish]])&gt;0,Tasks[[#This Row],[Actual Finish]],Tasks[[#This Row],[_ShownFcstFinish]]),"")</f>
        <v/>
      </c>
      <c r="GR76" s="43" t="n">
        <f aca="false">IF(Tasks[[#This Row],[_IsLeaf]]=1,N(Tasks[[#This Row],[Story Points]]),0)</f>
        <v>0</v>
      </c>
      <c r="GS76" s="43" t="str">
        <f aca="false">""</f>
        <v/>
      </c>
      <c r="GT76" s="90" t="b">
        <f aca="false">IF(Tasks[[#This Row],[Task Name]]="",FALSE(),AND(Tasks[[#This Row],[_IsLeaf]]=1,N(Tasks[[#This Row],[_Days]])=0))</f>
        <v>0</v>
      </c>
      <c r="GU76" s="91" t="n">
        <f aca="false">IF(Tasks[[#This Row],[Task Name]]="",0,IF(AND(Tasks[[#This Row],[_IsLeaf]]=1,NOT(Tasks[[#This Row],[_IsMilestone]]),N(Tasks[[#This Row],[Progress]])&gt;0),Tasks[[#This Row],[Start]],0))</f>
        <v>0</v>
      </c>
      <c r="GV76" s="91" t="n">
        <f aca="false">IF(Tasks[[#This Row],[_DoneFrom]]=0,0,IF(Tasks[[#This Row],[Progress]]&gt;=1,Tasks[[#This Row],[Finish]],MAX(Tasks[[#This Row],[_DoneFrom]],Tasks[[#This Row],[Start]]+ROUND((Tasks[[#This Row],[Finish]]-Tasks[[#This Row],[Start]]+1)*Tasks[[#This Row],[Progress]],0)-1)))</f>
        <v>0</v>
      </c>
      <c r="GW76" s="91" t="n">
        <f aca="false">IF(Tasks[[#This Row],[Task Name]]="",0,IF(OR(NOT(Tasks[[#This Row],[_IsLeaf]]=1),Tasks[[#This Row],[_IsMilestone]],N(Tasks[[#This Row],[Progress]])&gt;=1),0,IF(Tasks[[#This Row],[_DoneTo]]&gt;0,Tasks[[#This Row],[_DoneTo]]+1,Tasks[[#This Row],[Start]])))</f>
        <v>0</v>
      </c>
      <c r="GX76" s="91" t="n">
        <f aca="false">IF(Tasks[[#This Row],[_RemFrom]]=0,0,Tasks[[#This Row],[Finish]])</f>
        <v>0</v>
      </c>
      <c r="GY76" s="90" t="b">
        <f aca="false">IF(Tasks[[#This Row],[Task Name]]="",FALSE(),OR(NOT(BaselineSet),N(Tasks[[#This Row],[Baseline Start]])&gt;0))</f>
        <v>0</v>
      </c>
      <c r="GZ7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92" t="str">
        <f aca="false">IF(Tasks[[#This Row],[_IsLeaf]]=1,Tasks[[#This Row],[_Row]],"")</f>
        <v/>
      </c>
      <c r="HD76" s="92" t="str">
        <f aca="false">IFERROR(INDEX(Tasks[UID],SMALL(Tasks[_PickKey],Tasks[[#This Row],[_Row]]))&amp;" "&amp;INDEX(Tasks[Task Name],SMALL(Tasks[_PickKey],Tasks[[#This Row],[_Row]])),"")</f>
        <v/>
      </c>
      <c r="HE76" s="43" t="str">
        <f aca="false">IF(Tasks[[#This Row],[Task Name]]="","",IF(Tasks[[#This Row],[_IsSummary]],NETWORKDAYS.INTL(Tasks[[#This Row],[Start]],Tasks[[#This Row],[Finish]],WorkWeek,Holidays),N(Tasks[[#This Row],[_Days]])))</f>
        <v/>
      </c>
      <c r="HF76" s="43" t="n">
        <f aca="false">IF(Tasks[[#This Row],[Expected]]="",0,((Tasks[[#This Row],[Pessimistic]]-Tasks[[#This Row],[Optimistic]])/6)^2)</f>
        <v>0</v>
      </c>
      <c r="HG76" s="43" t="n">
        <f aca="false">IF(Tasks[[#This Row],[Expected]]="",0,Tasks[[#This Row],[Expected]]-N(Tasks[[#This Row],[_Days]]))</f>
        <v>0</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4"/>
      <c r="U77" s="23"/>
      <c r="V77" s="84"/>
      <c r="W77" s="23"/>
      <c r="X77" s="84"/>
      <c r="Y77" s="23"/>
      <c r="Z77" s="84"/>
      <c r="AA77" s="23"/>
      <c r="AB77" s="23"/>
      <c r="AC77" s="7"/>
      <c r="AD77" s="7"/>
      <c r="AE77" s="63" t="str">
        <f aca="false">IF(Tasks[[#This Row],[Task Name]]="","",IF(Tasks[[#This Row],[_IsSummary]],MIN(INDEX(Tasks[_ShownFcstStart],Tasks[[#This Row],[_Row]]+1):INDEX(Tasks[_ShownFcstStart],Tasks[[#This Row],[_Row]]+Tasks[[#This Row],[_Descendants]])),Tasks[[#This Row],[_ShownFcstStart]]))</f>
        <v/>
      </c>
      <c r="AF77" s="63"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7" s="7"/>
      <c r="AK77" s="22"/>
      <c r="AL77" s="23"/>
      <c r="AM77" s="7"/>
      <c r="AN77" s="47"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3" t="str">
        <f aca="false">IF(Tasks[[#This Row],[Task Name]]="","",IF(N(Tasks[[#This Row],[Baseline Start]])&gt;0,Tasks[[#This Row],[Baseline Start]],Tasks[[#This Row],[_CalcStart]]))</f>
        <v/>
      </c>
      <c r="AR77" s="63" t="str">
        <f aca="false">IF(Tasks[[#This Row],[Task Name]]="","",IF(N(Tasks[[#This Row],[Baseline Finish]])&gt;0,Tasks[[#This Row],[Baseline Finish]],Tasks[[#This Row],[_CalcFinish]]))</f>
        <v/>
      </c>
      <c r="AS77" s="47" t="str">
        <f aca="false">IF(Tasks[[#This Row],[Task Name]]="","",IF(Tasks[[#This Row],[Start]]&gt;=Tasks[[#This Row],[Planned Start]],NETWORKDAYS.INTL(Tasks[[#This Row],[Planned Start]],Tasks[[#This Row],[Start]],WorkWeek,Holidays)-1,1-NETWORKDAYS.INTL(Tasks[[#This Row],[Start]],Tasks[[#This Row],[Planned Start]],WorkWeek,Holidays)))</f>
        <v/>
      </c>
      <c r="AT77" s="63" t="str">
        <f aca="false">IF(Tasks[[#This Row],[Task Name]]="","",IF(Tasks[[#This Row],[_IsSummary]],MIN(INDEX(Tasks[_LeafLateStart],Tasks[[#This Row],[_Row]]+1):INDEX(Tasks[_LeafLateStart],Tasks[[#This Row],[_Row]]+Tasks[[#This Row],[_Descendants]])),Tasks[[#This Row],[_LeafLateStart]]))</f>
        <v/>
      </c>
      <c r="AU77" s="63" t="str">
        <f aca="false">IF(Tasks[[#This Row],[Task Name]]="","",IF(Tasks[[#This Row],[_IsSummary]],MAX(INDEX(Tasks[_LeafLateFinish],Tasks[[#This Row],[_Row]]+1):INDEX(Tasks[_LeafLateFinish],Tasks[[#This Row],[_Row]]+Tasks[[#This Row],[_Descendants]])),Tasks[[#This Row],[_LeafLateFinish]]))</f>
        <v/>
      </c>
      <c r="AV77" s="47"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5"/>
      <c r="BA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6"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7"/>
      <c r="BJ77" s="22"/>
      <c r="BK77" s="47" t="str">
        <f aca="false">IF(OR(Tasks[[#This Row],[Task Name]]="",Tasks[[#This Row],[Baseline Duration]]=""),"",Tasks[[#This Row],[_SpanDays]]-N(Tasks[[#This Row],[Baseline Duration]]))</f>
        <v/>
      </c>
      <c r="BL77" s="86" t="str">
        <f aca="false">IF(OR(Tasks[[#This Row],[Task Name]]="",Tasks[[#This Row],[Baseline Work]]=""),"",Tasks[[#This Row],[Work]]-N(Tasks[[#This Row],[Baseline Work]]))</f>
        <v/>
      </c>
      <c r="BM77" s="63" t="str">
        <f aca="false">IF(Tasks[[#This Row],[Task Name]]="","",IF(OR(TakeBaseline="Yes",N(Tasks[[#This Row],[Baseline Start]])=0),Tasks[[#This Row],[Start]],Tasks[[#This Row],[Baseline Start]]))</f>
        <v/>
      </c>
      <c r="BN77" s="63" t="str">
        <f aca="false">IF(Tasks[[#This Row],[Task Name]]="","",IF(OR(TakeBaseline="Yes",N(Tasks[[#This Row],[Baseline Finish]])=0),Tasks[[#This Row],[Finish]],Tasks[[#This Row],[Baseline Finish]]))</f>
        <v/>
      </c>
      <c r="BO77" s="21" t="str">
        <f aca="false">IF(Tasks[[#This Row],[Task Name]]="","",IF(OR(TakeBaseline="Yes",N(Tasks[[#This Row],[Baseline Duration]])=0),Tasks[[#This Row],[_SpanDays]],Tasks[[#This Row],[Baseline Duration]]))</f>
        <v/>
      </c>
      <c r="BP77" s="86" t="str">
        <f aca="false">IF(Tasks[[#This Row],[Task Name]]="","",IF(OR(TakeBaseline="Yes",N(Tasks[[#This Row],[Baseline Work]])=0),Tasks[[#This Row],[Work]],Tasks[[#This Row],[Baseline Work]]))</f>
        <v/>
      </c>
      <c r="BQ77" s="7"/>
      <c r="BR77" s="7"/>
      <c r="BS77" s="22"/>
      <c r="BT77" s="88"/>
      <c r="BU77" s="23"/>
      <c r="BV77" s="23"/>
      <c r="BW77" s="23"/>
      <c r="BX77" s="89" t="str">
        <f aca="false">IF(AND(Tasks[[#This Row],[_IsLeaf]]=1,ISNUMBER(Tasks[[#This Row],[Optimistic]]),ISNUMBER(Tasks[[#This Row],[Pessimistic]])),ROUND((Tasks[[#This Row],[Optimistic]]+4*N(Tasks[[#This Row],[_Days]])+Tasks[[#This Row],[Pessimistic]])/6,1),"")</f>
        <v/>
      </c>
      <c r="BY77" s="87"/>
      <c r="BZ77" s="87"/>
      <c r="CA77" s="22"/>
      <c r="CB77" s="43" t="str">
        <f aca="false">IF(Tasks[[#This Row],[Task Name]]="","",MAX(1,N(Tasks[[#This Row],[Level]])))</f>
        <v/>
      </c>
      <c r="CC77" s="43" t="n">
        <f aca="false">ROW()-ROW(Tasks[[#Headers],[ID]])</f>
        <v>72</v>
      </c>
      <c r="CD77" s="43" t="n">
        <f aca="false">IF(OR(Tasks[[#This Row],[Task Name]]="",Tasks[[#This Row],[_Level]]&lt;=1),0,IFERROR(LOOKUP(2,1/(Tasks[[#Headers],[_Level]]:Tasks[[#This Row],[_Level]]=Tasks[[#This Row],[_Level]]-1),ROW(Tasks[[#Headers],[_Level]]:Tasks[[#This Row],[_Level]])),0))</f>
        <v>0</v>
      </c>
      <c r="CE77" s="43" t="n">
        <f aca="false">IFERROR(N(INDEX(Tasks[_Level],Tasks[[#This Row],[_Row]]+1)),0)</f>
        <v>0</v>
      </c>
      <c r="CF77" s="90" t="b">
        <f aca="false">AND(Tasks[[#This Row],[Task Name]]&lt;&gt;"",Tasks[[#This Row],[_NextLevel]]&gt;Tasks[[#This Row],[_Level]])</f>
        <v>0</v>
      </c>
      <c r="CG77" s="43" t="n">
        <f aca="false">IF(Tasks[[#This Row],[_IsSummary]],COUNTIF(Tasks[WBS],Tasks[[#This Row],[WBS]]&amp;".*"),0)</f>
        <v>0</v>
      </c>
      <c r="CH77" s="43" t="n">
        <f aca="false">IF(AND(Tasks[[#This Row],[Task Name]]&lt;&gt;"",NOT(Tasks[[#This Row],[_IsSummary]])),1,0)</f>
        <v>0</v>
      </c>
      <c r="CI77" s="43" t="n">
        <f aca="false">IF(N(Tasks[[#This Row],[_Pred1UID]])=0,0,IFERROR(MATCH(Tasks[[#This Row],[_Pred1UID]],Tasks[UID],0),-1))</f>
        <v>0</v>
      </c>
      <c r="CJ77" s="43" t="n">
        <f aca="false">IF(N(Tasks[[#This Row],[_Pred2UID]])=0,0,IFERROR(MATCH(Tasks[[#This Row],[_Pred2UID]],Tasks[UID],0),-1))</f>
        <v>0</v>
      </c>
      <c r="CK77" s="43" t="n">
        <f aca="false">IF(N(Tasks[[#This Row],[_Pred3UID]])=0,0,IFERROR(MATCH(Tasks[[#This Row],[_Pred3UID]],Tasks[UID],0),-1))</f>
        <v>0</v>
      </c>
      <c r="CL77" s="43" t="n">
        <f aca="false">IF(N(Tasks[[#This Row],[_Pred4UID]])=0,0,IFERROR(MATCH(Tasks[[#This Row],[_Pred4UID]],Tasks[UID],0),-1))</f>
        <v>0</v>
      </c>
      <c r="CM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7" s="91" t="n">
        <f aca="false">IF(OR(Tasks[[#This Row],[_ConstraintCode]]=2,Tasks[[#This Row],[_ConstraintCode]]=3,Tasks[[#This Row],[_ConstraintCode]]=4,Tasks[[#This Row],[_ConstraintCode]]=6),Tasks[[#This Row],[_ConstraintStart]],0)</f>
        <v>0</v>
      </c>
      <c r="CP77" s="91" t="n">
        <f aca="false">IF(OR(Tasks[[#This Row],[_ConstraintCode]]=2,Tasks[[#This Row],[_ConstraintCode]]=3,Tasks[[#This Row],[_ConstraintCode]]=5,Tasks[[#This Row],[_ConstraintCode]]=7),Tasks[[#This Row],[_ConstraintStart]],2958465)</f>
        <v>2958465</v>
      </c>
      <c r="CQ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91" t="str">
        <f aca="false">IF(NOT(Tasks[[#This Row],[_IsLeaf]]=1),"",IF(N(Tasks[[#This Row],[_Days]])&lt;=0,Tasks[[#This Row],[_LeafCalcStart]],WORKDAY.INTL(Tasks[[#This Row],[_LeafCalcStart]],Tasks[[#This Row],[_Days]]-1,WorkWeek,Holidays)))</f>
        <v/>
      </c>
      <c r="CS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3" t="str">
        <f aca="false">IF(Tasks[[#This Row],[_Predecessors]]="","",TRIM(MID(SUBSTITUTE(SUBSTITUTE(SUBSTITUTE(UPPER(Tasks[[#This Row],[_Predecessors]]),";",",")," ",""),",",REPT(" ",99)),1,99)))</f>
        <v/>
      </c>
      <c r="CV77" s="43" t="str">
        <f aca="false">IF(Tasks[[#This Row],[_Pred1Text]]="","",IFERROR(VALUE(LEFT(Tasks[[#This Row],[_Pred1Text]],MIN(FIND("F",Tasks[[#This Row],[_Pred1Text]]&amp;"F"),FIND("S",Tasks[[#This Row],[_Pred1Text]]&amp;"S"),FIND("+",Tasks[[#This Row],[_Pred1Text]]&amp;"+"),FIND("-",Tasks[[#This Row],[_Pred1Text]]&amp;"-"))-1)),""))</f>
        <v/>
      </c>
      <c r="CW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3" t="str">
        <f aca="false">IF(Tasks[[#This Row],[_Pred1Text]]="","",TRIM(MID(SUBSTITUTE(SUBSTITUTE(SUBSTITUTE(UPPER(Tasks[[#This Row],[_Predecessors]]),";",",")," ",""),",",REPT(" ",99)),100,99)))</f>
        <v/>
      </c>
      <c r="CZ77" s="43" t="str">
        <f aca="false">IF(Tasks[[#This Row],[_Pred2Text]]="","",IFERROR(VALUE(LEFT(Tasks[[#This Row],[_Pred2Text]],MIN(FIND("F",Tasks[[#This Row],[_Pred2Text]]&amp;"F"),FIND("S",Tasks[[#This Row],[_Pred2Text]]&amp;"S"),FIND("+",Tasks[[#This Row],[_Pred2Text]]&amp;"+"),FIND("-",Tasks[[#This Row],[_Pred2Text]]&amp;"-"))-1)),""))</f>
        <v/>
      </c>
      <c r="DA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3" t="str">
        <f aca="false">IF(Tasks[[#This Row],[_Pred2Text]]="","",TRIM(MID(SUBSTITUTE(SUBSTITUTE(SUBSTITUTE(UPPER(Tasks[[#This Row],[_Predecessors]]),";",",")," ",""),",",REPT(" ",99)),199,99)))</f>
        <v/>
      </c>
      <c r="DD77" s="43" t="str">
        <f aca="false">IF(Tasks[[#This Row],[_Pred3Text]]="","",IFERROR(VALUE(LEFT(Tasks[[#This Row],[_Pred3Text]],MIN(FIND("F",Tasks[[#This Row],[_Pred3Text]]&amp;"F"),FIND("S",Tasks[[#This Row],[_Pred3Text]]&amp;"S"),FIND("+",Tasks[[#This Row],[_Pred3Text]]&amp;"+"),FIND("-",Tasks[[#This Row],[_Pred3Text]]&amp;"-"))-1)),""))</f>
        <v/>
      </c>
      <c r="DE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3" t="str">
        <f aca="false">IF(Tasks[[#This Row],[_Pred3Text]]="","",TRIM(MID(SUBSTITUTE(SUBSTITUTE(SUBSTITUTE(UPPER(Tasks[[#This Row],[_Predecessors]]),";",",")," ",""),",",REPT(" ",99)),298,99)))</f>
        <v/>
      </c>
      <c r="DH77" s="43" t="str">
        <f aca="false">IF(Tasks[[#This Row],[_Pred4Text]]="","",IFERROR(VALUE(LEFT(Tasks[[#This Row],[_Pred4Text]],MIN(FIND("F",Tasks[[#This Row],[_Pred4Text]]&amp;"F"),FIND("S",Tasks[[#This Row],[_Pred4Text]]&amp;"S"),FIND("+",Tasks[[#This Row],[_Pred4Text]]&amp;"+"),FIND("-",Tasks[[#This Row],[_Pred4Text]]&amp;"-"))-1)),""))</f>
        <v/>
      </c>
      <c r="DI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3" t="str">
        <f aca="false">IF(OR(Tasks[[#This Row],[Task Name]]="",Tasks[[#This Row],[_Resources]]=""),"",TRIM(MID(SUBSTITUTE(Tasks[[#This Row],[_Resources]],",",REPT(" ",99)),1,99)))</f>
        <v/>
      </c>
      <c r="DL77" s="43" t="str">
        <f aca="false">IF(Tasks[[#This Row],[_Res1Text]]="","",TRIM(MID(SUBSTITUTE(Tasks[[#This Row],[_Resources]],",",REPT(" ",99)),100,99)))</f>
        <v/>
      </c>
      <c r="DM77" s="43" t="str">
        <f aca="false">IF(Tasks[[#This Row],[_Res2Text]]="","",TRIM(MID(SUBSTITUTE(Tasks[[#This Row],[_Resources]],",",REPT(" ",99)),199,99)))</f>
        <v/>
      </c>
      <c r="DN77" s="43" t="str">
        <f aca="false">IF(Tasks[[#This Row],[_Res3Text]]="","",TRIM(MID(SUBSTITUTE(Tasks[[#This Row],[_Resources]],",",REPT(" ",99)),298,99)))</f>
        <v/>
      </c>
      <c r="DO77" s="43" t="n">
        <f aca="false">IF(Tasks[[#This Row],[_Res1Text]]="",0,IFERROR(MATCH(TRIM(LEFT(Tasks[[#This Row],[_Res1Text]],FIND("[",Tasks[[#This Row],[_Res1Text]]&amp;"[")-1)),res_Name,0),IFERROR(MATCH(TRIM(LEFT(Tasks[[#This Row],[_Res1Text]],FIND("[",Tasks[[#This Row],[_Res1Text]]&amp;"[")-1)),res_Initials,0),0)))</f>
        <v>0</v>
      </c>
      <c r="DP77" s="43" t="n">
        <f aca="false">IF(Tasks[[#This Row],[_Res2Text]]="",0,IFERROR(MATCH(TRIM(LEFT(Tasks[[#This Row],[_Res2Text]],FIND("[",Tasks[[#This Row],[_Res2Text]]&amp;"[")-1)),res_Name,0),IFERROR(MATCH(TRIM(LEFT(Tasks[[#This Row],[_Res2Text]],FIND("[",Tasks[[#This Row],[_Res2Text]]&amp;"[")-1)),res_Initials,0),0)))</f>
        <v>0</v>
      </c>
      <c r="DQ77" s="43" t="n">
        <f aca="false">IF(Tasks[[#This Row],[_Res3Text]]="",0,IFERROR(MATCH(TRIM(LEFT(Tasks[[#This Row],[_Res3Text]],FIND("[",Tasks[[#This Row],[_Res3Text]]&amp;"[")-1)),res_Name,0),IFERROR(MATCH(TRIM(LEFT(Tasks[[#This Row],[_Res3Text]],FIND("[",Tasks[[#This Row],[_Res3Text]]&amp;"[")-1)),res_Initials,0),0)))</f>
        <v>0</v>
      </c>
      <c r="DR77" s="43" t="n">
        <f aca="false">IF(Tasks[[#This Row],[_Res4Text]]="",0,IFERROR(MATCH(TRIM(LEFT(Tasks[[#This Row],[_Res4Text]],FIND("[",Tasks[[#This Row],[_Res4Text]]&amp;"[")-1)),res_Name,0),IFERROR(MATCH(TRIM(LEFT(Tasks[[#This Row],[_Res4Text]],FIND("[",Tasks[[#This Row],[_Res4Text]]&amp;"[")-1)),res_Initials,0),0)))</f>
        <v>0</v>
      </c>
      <c r="DS77" s="43" t="str">
        <f aca="false">IF(Tasks[[#This Row],[_Res1Text]]="","",IF(Tasks[[#This Row],[_Res1Row]]&gt;0,INDEX(res_Name,Tasks[[#This Row],[_Res1Row]]),TRIM(LEFT(Tasks[[#This Row],[_Res1Text]],FIND("[",Tasks[[#This Row],[_Res1Text]]&amp;"[")-1))))</f>
        <v/>
      </c>
      <c r="DT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3" t="n">
        <f aca="false">IF(NOT(Tasks[[#This Row],[_IsLeaf]]=1),0,(Tasks[[#This Row],[_Resource1]]&lt;&gt;"")+(Tasks[[#This Row],[_Res2]]&lt;&gt;"")+(Tasks[[#This Row],[_Res3]]&lt;&gt;"")+(Tasks[[#This Row],[_Res4]]&lt;&gt;""))</f>
        <v>0</v>
      </c>
      <c r="DV77" s="43" t="str">
        <f aca="false">IF(Tasks[[#This Row],[_Res2Text]]="","",IF(Tasks[[#This Row],[_Res2Row]]&gt;0,INDEX(res_Name,Tasks[[#This Row],[_Res2Row]]),TRIM(LEFT(Tasks[[#This Row],[_Res2Text]],FIND("[",Tasks[[#This Row],[_Res2Text]]&amp;"[")-1))))</f>
        <v/>
      </c>
      <c r="DW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3" t="n">
        <f aca="false">IF(OR(NOT(Tasks[[#This Row],[_IsLeaf]]=1),Tasks[[#This Row],[_Res2Row]]=0),0,N(Tasks[[#This Row],[_Days]])*HoursPerDay*IF(Tasks[[#This Row],[_Res2Units]]="",DefaultUnits,Tasks[[#This Row],[_Res2Units]]))</f>
        <v>0</v>
      </c>
      <c r="DY77" s="43" t="n">
        <f aca="false">IF(AND(AND(Tasks[[#This Row],[_IsLeaf]]=1,Tasks[[#This Row],[_LeafTotalWork]]&gt;0),Tasks[[#This Row],[_Res2Work]]&gt;0),Tasks[[#This Row],[_Res2Work]]/(Tasks[[#This Row],[_FinishWorkday]]-Tasks[[#This Row],[_StartWorkday]]+1),0)</f>
        <v>0</v>
      </c>
      <c r="DZ77" s="43" t="n">
        <f aca="false">Tasks[[#This Row],[_Res2WorkPerWD]]*MAX(0,Tasks[[#This Row],[_StartWorkday]]-1)</f>
        <v>0</v>
      </c>
      <c r="EA77" s="43" t="n">
        <f aca="false">Tasks[[#This Row],[_Res2Work]]*Tasks[[#This Row],[_LeafProgress]]</f>
        <v>0</v>
      </c>
      <c r="EB77" s="43" t="str">
        <f aca="false">IF(Tasks[[#This Row],[_Res3Text]]="","",IF(Tasks[[#This Row],[_Res3Row]]&gt;0,INDEX(res_Name,Tasks[[#This Row],[_Res3Row]]),TRIM(LEFT(Tasks[[#This Row],[_Res3Text]],FIND("[",Tasks[[#This Row],[_Res3Text]]&amp;"[")-1))))</f>
        <v/>
      </c>
      <c r="EC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3" t="n">
        <f aca="false">IF(OR(NOT(Tasks[[#This Row],[_IsLeaf]]=1),Tasks[[#This Row],[_Res3Row]]=0),0,N(Tasks[[#This Row],[_Days]])*HoursPerDay*IF(Tasks[[#This Row],[_Res3Units]]="",DefaultUnits,Tasks[[#This Row],[_Res3Units]]))</f>
        <v>0</v>
      </c>
      <c r="EE77" s="43" t="n">
        <f aca="false">IF(AND(AND(Tasks[[#This Row],[_IsLeaf]]=1,Tasks[[#This Row],[_LeafTotalWork]]&gt;0),Tasks[[#This Row],[_Res3Work]]&gt;0),Tasks[[#This Row],[_Res3Work]]/(Tasks[[#This Row],[_FinishWorkday]]-Tasks[[#This Row],[_StartWorkday]]+1),0)</f>
        <v>0</v>
      </c>
      <c r="EF77" s="43" t="n">
        <f aca="false">Tasks[[#This Row],[_Res3WorkPerWD]]*MAX(0,Tasks[[#This Row],[_StartWorkday]]-1)</f>
        <v>0</v>
      </c>
      <c r="EG77" s="43" t="n">
        <f aca="false">Tasks[[#This Row],[_Res3Work]]*Tasks[[#This Row],[_LeafProgress]]</f>
        <v>0</v>
      </c>
      <c r="EH77" s="43" t="str">
        <f aca="false">IF(Tasks[[#This Row],[_Res4Text]]="","",IF(Tasks[[#This Row],[_Res4Row]]&gt;0,INDEX(res_Name,Tasks[[#This Row],[_Res4Row]]),TRIM(LEFT(Tasks[[#This Row],[_Res4Text]],FIND("[",Tasks[[#This Row],[_Res4Text]]&amp;"[")-1))))</f>
        <v/>
      </c>
      <c r="EI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3" t="n">
        <f aca="false">IF(OR(NOT(Tasks[[#This Row],[_IsLeaf]]=1),Tasks[[#This Row],[_Res4Row]]=0),0,N(Tasks[[#This Row],[_Days]])*HoursPerDay*IF(Tasks[[#This Row],[_Res4Units]]="",DefaultUnits,Tasks[[#This Row],[_Res4Units]]))</f>
        <v>0</v>
      </c>
      <c r="EK77" s="43" t="n">
        <f aca="false">IF(AND(AND(Tasks[[#This Row],[_IsLeaf]]=1,Tasks[[#This Row],[_LeafTotalWork]]&gt;0),Tasks[[#This Row],[_Res4Work]]&gt;0),Tasks[[#This Row],[_Res4Work]]/(Tasks[[#This Row],[_FinishWorkday]]-Tasks[[#This Row],[_StartWorkday]]+1),0)</f>
        <v>0</v>
      </c>
      <c r="EL77" s="43" t="n">
        <f aca="false">Tasks[[#This Row],[_Res4WorkPerWD]]*MAX(0,Tasks[[#This Row],[_StartWorkday]]-1)</f>
        <v>0</v>
      </c>
      <c r="EM77" s="43" t="n">
        <f aca="false">Tasks[[#This Row],[_Res4Work]]*Tasks[[#This Row],[_LeafProgress]]</f>
        <v>0</v>
      </c>
      <c r="EN77" s="43" t="n">
        <f aca="false">IF(ISNUMBER(Tasks[[#This Row],[% Complete]]),Tasks[[#This Row],[% Complete]],IF(Tasks[[#This Row],[Stage]]="",0,IFERROR(INDEX(stg_Pct,MATCH(Tasks[[#This Row],[Stage]],stg_Name,0)),0)))</f>
        <v>0</v>
      </c>
      <c r="EO77" s="43" t="n">
        <f aca="false">IF(NOT(Tasks[[#This Row],[_IsLeaf]]=1),0,IF(N(Tasks[[#This Row],[Actual Finish]])&gt;0,1,MIN(1,Tasks[[#This Row],[_Pct]])))</f>
        <v>0</v>
      </c>
      <c r="EP77" s="43" t="n">
        <f aca="false">IF(OR(NOT(Tasks[[#This Row],[_IsLeaf]]=1),Tasks[[#This Row],[_Res1Row]]=0),0,N(Tasks[[#This Row],[_Days]])*HoursPerDay*IF(Tasks[[#This Row],[_Units1]]="",DefaultUnits,Tasks[[#This Row],[_Units1]]))</f>
        <v>0</v>
      </c>
      <c r="EQ77" s="43" t="n">
        <f aca="false">Tasks[[#This Row],[_LeafWork]]+Tasks[[#This Row],[_Res2Work]]+Tasks[[#This Row],[_Res3Work]]+Tasks[[#This Row],[_Res4Work]]</f>
        <v>0</v>
      </c>
      <c r="ER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3" t="n">
        <f aca="false">IF(NOT(Tasks[[#This Row],[_IsLeaf]]=1),0,MAX(_xlfn.MAXIFS(Tasks[_Row],Tasks[_Pred1UID],Tasks[[#This Row],[UID]]),_xlfn.MAXIFS(Tasks[_Row],Tasks[_Pred2UID],Tasks[[#This Row],[UID]]),_xlfn.MAXIFS(Tasks[_Row],Tasks[_Pred3UID],Tasks[[#This Row],[UID]]),_xlfn.MAXIFS(Tasks[_Row],Tasks[_Pred4UID],Tasks[[#This Row],[UID]])))</f>
        <v>0</v>
      </c>
      <c r="FA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91" t="str">
        <f aca="false">IF(NOT(Tasks[[#This Row],[_IsLeaf]]=1),"",IF(N(Tasks[[#This Row],[_Days]])&lt;=0,Tasks[[#This Row],[_LeafLateFinish]],WORKDAY.INTL(Tasks[[#This Row],[_LeafLateFinish]],-(Tasks[[#This Row],[_Days]]-1),WorkWeek,Holidays)))</f>
        <v/>
      </c>
      <c r="FD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7" s="90" t="b">
        <f aca="false">AND(Tasks[[#This Row],[_IsLeaf]]=1,Tasks[[#This Row],[_LeafProgress]]&lt;1,N(Tasks[[#This Row],[_LeafTotalSlack]])&lt;=CriticalSlackDays)</f>
        <v>0</v>
      </c>
      <c r="FF77" s="43" t="n">
        <f aca="false">IF(AND(Tasks[[#This Row],[_IsLeaf]]=1,Tasks[[#This Row],[_ConstraintCode]]=1,Tasks[[#This Row],[Mode]]&lt;&gt;"Manual",N(Tasks[[#This Row],[Actual Start]])=0),MAX(0,N(Tasks[[#This Row],[Free Slack]])),0)</f>
        <v>0</v>
      </c>
      <c r="FG77" s="91" t="str">
        <f aca="false">IF(NOT(Tasks[[#This Row],[_IsLeaf]]=1),"",IF(Tasks[[#This Row],[_AlapShift]]=0,Tasks[[#This Row],[_LeafCalcStart]],WORKDAY.INTL(Tasks[[#This Row],[_LeafCalcStart]],Tasks[[#This Row],[_AlapShift]],WorkWeek,Holidays)))</f>
        <v/>
      </c>
      <c r="FH77" s="91" t="str">
        <f aca="false">IF(NOT(Tasks[[#This Row],[_IsLeaf]]=1),"",IF(Tasks[[#This Row],[_AlapShift]]=0,Tasks[[#This Row],[_LeafCalcFinish]],WORKDAY.INTL(Tasks[[#This Row],[_LeafCalcFinish]],Tasks[[#This Row],[_AlapShift]],WorkWeek,Holidays)))</f>
        <v/>
      </c>
      <c r="FI77" s="91" t="str">
        <f aca="false">IF(NOT(Tasks[[#This Row],[_IsLeaf]]=1),"",IF(Tasks[[#This Row],[_AlapShift]]=0,Tasks[[#This Row],[_LeafFcstStart]],WORKDAY.INTL(Tasks[[#This Row],[_LeafFcstStart]],Tasks[[#This Row],[_AlapShift]],WorkWeek,Holidays)))</f>
        <v/>
      </c>
      <c r="FJ77" s="91" t="str">
        <f aca="false">IF(NOT(Tasks[[#This Row],[_IsLeaf]]=1),"",IF(Tasks[[#This Row],[_AlapShift]]=0,Tasks[[#This Row],[_LeafFcstFinish]],WORKDAY.INTL(Tasks[[#This Row],[_LeafFcstFinish]],Tasks[[#This Row],[_AlapShift]],WorkWeek,Holidays)))</f>
        <v/>
      </c>
      <c r="FK77" s="91" t="str">
        <f aca="false">IF(Tasks[[#This Row],[Task Name]]="","",IF(Tasks[[#This Row],[_IsSummary]],MIN(INDEX(Tasks[_ShownCalcStart],Tasks[[#This Row],[_Row]]+1):INDEX(Tasks[_ShownCalcStart],Tasks[[#This Row],[_Row]]+Tasks[[#This Row],[_Descendants]])),Tasks[[#This Row],[_ShownCalcStart]]))</f>
        <v/>
      </c>
      <c r="FL77" s="91" t="str">
        <f aca="false">IF(Tasks[[#This Row],[Task Name]]="","",IF(Tasks[[#This Row],[_IsSummary]],MAX(INDEX(Tasks[_ShownCalcFinish],Tasks[[#This Row],[_Row]]+1):INDEX(Tasks[_ShownCalcFinish],Tasks[[#This Row],[_Row]]+Tasks[[#This Row],[_Descendants]])),Tasks[[#This Row],[_ShownCalcFinish]]))</f>
        <v/>
      </c>
      <c r="FM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7" s="43" t="n">
        <f aca="false">IF(AND(Tasks[[#This Row],[_IsLeaf]]=1,Tasks[[#This Row],[_LeafTotalWork]]&gt;0),NETWORKDAYS.INTL(ProjectStart,Tasks[[#This Row],[_ShownFcstStart]],WorkWeek,Holidays),0)</f>
        <v>0</v>
      </c>
      <c r="FZ77" s="43" t="n">
        <f aca="false">IF(AND(Tasks[[#This Row],[_IsLeaf]]=1,Tasks[[#This Row],[_LeafTotalWork]]&gt;0),MAX(Tasks[[#This Row],[_StartWorkday]],NETWORKDAYS.INTL(ProjectStart,Tasks[[#This Row],[_ShownFcstFinish]],WorkWeek,Holidays)),0)</f>
        <v>0</v>
      </c>
      <c r="GA77" s="43" t="n">
        <f aca="false">IF(AND(Tasks[[#This Row],[_IsLeaf]]=1,Tasks[[#This Row],[_LeafTotalWork]]&gt;0),Tasks[[#This Row],[_LeafWork]]/(Tasks[[#This Row],[_FinishWorkday]]-Tasks[[#This Row],[_StartWorkday]]+1),0)</f>
        <v>0</v>
      </c>
      <c r="GB77" s="43" t="n">
        <f aca="false">Tasks[[#This Row],[_WorkPerWorkday]]*(Tasks[[#This Row],[_StartWorkday]]-1)</f>
        <v>-0</v>
      </c>
      <c r="GC77" s="43" t="n">
        <f aca="false">IF(Tasks[[#This Row],[_IsLeaf]]=1,MAX(N(Tasks[[#This Row],[_Days]]),0.1),0)</f>
        <v>0</v>
      </c>
      <c r="GD77" s="43" t="n">
        <f aca="false">Tasks[[#This Row],[_WeightDur]]*Tasks[[#This Row],[_LeafProgress]]</f>
        <v>0</v>
      </c>
      <c r="GE77" s="43" t="n">
        <f aca="false">Tasks[[#This Row],[_WeightDur]]*Tasks[[#This Row],[_PlannedPct]]</f>
        <v>0</v>
      </c>
      <c r="GF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3" t="str">
        <f aca="false">IF(AND(Tasks[[#This Row],[_IsLeaf]]=1,N(Tasks[[#This Row],[_Days]])=0,Tasks[[#This Row],[_LeafProgress]]&lt;1),Tasks[[#This Row],[_ShownFcstFinish]]+Tasks[[#This Row],[_Row]]/100000,"")</f>
        <v/>
      </c>
      <c r="GH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7" s="43" t="str">
        <f aca="false">IF(Tasks[[#This Row],[Task Name]]="","",LEFT(Tasks[[#This Row],[WBS]],FIND(".",Tasks[[#This Row],[WBS]]&amp;".")-1))</f>
        <v/>
      </c>
      <c r="GJ77" s="43" t="str">
        <f aca="false">IF(AND(Tasks[[#This Row],[Task Name]]&lt;&gt;"",Tasks[[#This Row],[_Level]]=1),Tasks[[#This Row],[_Row]],"")</f>
        <v/>
      </c>
      <c r="GK77" s="43" t="str">
        <f aca="false">IF(AND(Tasks[[#This Row],[_IsLeaf]]=1,N(Tasks[[#This Row],[_Days]])=0),Tasks[[#This Row],[Planned Finish]]+Tasks[[#This Row],[_Row]]/100000,"")</f>
        <v/>
      </c>
      <c r="GL77" s="43" t="str">
        <f aca="false">IF(AND(Tasks[[#This Row],[_IsLeaf]]=1,Tasks[[#This Row],[_LeafProgress]]&lt;1,OR(N(Tasks[[#This Row],[Finish Var]])&gt;0,Tasks[[#This Row],[Status]]="Late Start")),MAX(0,Tasks[[#This Row],[Finish Var]])+1-Tasks[[#This Row],[_Row]]/1000000,"")</f>
        <v/>
      </c>
      <c r="GM77" s="43" t="str">
        <f aca="false">IF(AND(Tasks[[#This Row],[_IsLeaf]]=1,N(Tasks[[#This Row],[Actual Start]])=0,Tasks[[#This Row],[_ShownFcstStart]]&gt;=StatusDate,Tasks[[#This Row],[_ShownFcstStart]]&lt;=LookaheadEnd),Tasks[[#This Row],[_ShownFcstStart]]+Tasks[[#This Row],[_Row]]/100000,"")</f>
        <v/>
      </c>
      <c r="GN77" s="43" t="str">
        <f aca="false">IF(AND(Tasks[[#This Row],[_IsLeaf]]=1,Tasks[[#This Row],[_LeafProgress]]&lt;1,Tasks[[#This Row],[_ShownFcstFinish]]&gt;=StatusDate,Tasks[[#This Row],[_ShownFcstFinish]]&lt;=LookaheadEnd),Tasks[[#This Row],[_ShownFcstFinish]]+Tasks[[#This Row],[_Row]]/100000,"")</f>
        <v/>
      </c>
      <c r="GO77" s="43" t="str">
        <f aca="false">IF(Tasks[[#This Row],[_LeafCritical]],Tasks[[#This Row],[_ShownFcstStart]]+Tasks[[#This Row],[_Row]]/100000,"")</f>
        <v/>
      </c>
      <c r="GP77" s="43" t="n">
        <f aca="false">Tasks[[#This Row],[_LeafWork]]*Tasks[[#This Row],[_LeafProgress]]</f>
        <v>0</v>
      </c>
      <c r="GQ77" s="91" t="str">
        <f aca="false">IF(AND(Tasks[[#This Row],[_IsLeaf]]=1,Tasks[[#This Row],[_LeafProgress]]&gt;=1),IF(N(Tasks[[#This Row],[Actual Finish]])&gt;0,Tasks[[#This Row],[Actual Finish]],Tasks[[#This Row],[_ShownFcstFinish]]),"")</f>
        <v/>
      </c>
      <c r="GR77" s="43" t="n">
        <f aca="false">IF(Tasks[[#This Row],[_IsLeaf]]=1,N(Tasks[[#This Row],[Story Points]]),0)</f>
        <v>0</v>
      </c>
      <c r="GS77" s="43" t="str">
        <f aca="false">""</f>
        <v/>
      </c>
      <c r="GT77" s="90" t="b">
        <f aca="false">IF(Tasks[[#This Row],[Task Name]]="",FALSE(),AND(Tasks[[#This Row],[_IsLeaf]]=1,N(Tasks[[#This Row],[_Days]])=0))</f>
        <v>0</v>
      </c>
      <c r="GU77" s="91" t="n">
        <f aca="false">IF(Tasks[[#This Row],[Task Name]]="",0,IF(AND(Tasks[[#This Row],[_IsLeaf]]=1,NOT(Tasks[[#This Row],[_IsMilestone]]),N(Tasks[[#This Row],[Progress]])&gt;0),Tasks[[#This Row],[Start]],0))</f>
        <v>0</v>
      </c>
      <c r="GV77" s="91" t="n">
        <f aca="false">IF(Tasks[[#This Row],[_DoneFrom]]=0,0,IF(Tasks[[#This Row],[Progress]]&gt;=1,Tasks[[#This Row],[Finish]],MAX(Tasks[[#This Row],[_DoneFrom]],Tasks[[#This Row],[Start]]+ROUND((Tasks[[#This Row],[Finish]]-Tasks[[#This Row],[Start]]+1)*Tasks[[#This Row],[Progress]],0)-1)))</f>
        <v>0</v>
      </c>
      <c r="GW77" s="91" t="n">
        <f aca="false">IF(Tasks[[#This Row],[Task Name]]="",0,IF(OR(NOT(Tasks[[#This Row],[_IsLeaf]]=1),Tasks[[#This Row],[_IsMilestone]],N(Tasks[[#This Row],[Progress]])&gt;=1),0,IF(Tasks[[#This Row],[_DoneTo]]&gt;0,Tasks[[#This Row],[_DoneTo]]+1,Tasks[[#This Row],[Start]])))</f>
        <v>0</v>
      </c>
      <c r="GX77" s="91" t="n">
        <f aca="false">IF(Tasks[[#This Row],[_RemFrom]]=0,0,Tasks[[#This Row],[Finish]])</f>
        <v>0</v>
      </c>
      <c r="GY77" s="90" t="b">
        <f aca="false">IF(Tasks[[#This Row],[Task Name]]="",FALSE(),OR(NOT(BaselineSet),N(Tasks[[#This Row],[Baseline Start]])&gt;0))</f>
        <v>0</v>
      </c>
      <c r="GZ7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92" t="str">
        <f aca="false">IF(Tasks[[#This Row],[_IsLeaf]]=1,Tasks[[#This Row],[_Row]],"")</f>
        <v/>
      </c>
      <c r="HD77" s="92" t="str">
        <f aca="false">IFERROR(INDEX(Tasks[UID],SMALL(Tasks[_PickKey],Tasks[[#This Row],[_Row]]))&amp;" "&amp;INDEX(Tasks[Task Name],SMALL(Tasks[_PickKey],Tasks[[#This Row],[_Row]])),"")</f>
        <v/>
      </c>
      <c r="HE77" s="43" t="str">
        <f aca="false">IF(Tasks[[#This Row],[Task Name]]="","",IF(Tasks[[#This Row],[_IsSummary]],NETWORKDAYS.INTL(Tasks[[#This Row],[Start]],Tasks[[#This Row],[Finish]],WorkWeek,Holidays),N(Tasks[[#This Row],[_Days]])))</f>
        <v/>
      </c>
      <c r="HF77" s="43" t="n">
        <f aca="false">IF(Tasks[[#This Row],[Expected]]="",0,((Tasks[[#This Row],[Pessimistic]]-Tasks[[#This Row],[Optimistic]])/6)^2)</f>
        <v>0</v>
      </c>
      <c r="HG77" s="43" t="n">
        <f aca="false">IF(Tasks[[#This Row],[Expected]]="",0,Tasks[[#This Row],[Expected]]-N(Tasks[[#This Row],[_Days]]))</f>
        <v>0</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4"/>
      <c r="U78" s="23"/>
      <c r="V78" s="84"/>
      <c r="W78" s="23"/>
      <c r="X78" s="84"/>
      <c r="Y78" s="23"/>
      <c r="Z78" s="84"/>
      <c r="AA78" s="23"/>
      <c r="AB78" s="23"/>
      <c r="AC78" s="7"/>
      <c r="AD78" s="7"/>
      <c r="AE78" s="63" t="str">
        <f aca="false">IF(Tasks[[#This Row],[Task Name]]="","",IF(Tasks[[#This Row],[_IsSummary]],MIN(INDEX(Tasks[_ShownFcstStart],Tasks[[#This Row],[_Row]]+1):INDEX(Tasks[_ShownFcstStart],Tasks[[#This Row],[_Row]]+Tasks[[#This Row],[_Descendants]])),Tasks[[#This Row],[_ShownFcstStart]]))</f>
        <v/>
      </c>
      <c r="AF78" s="63"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8" s="7"/>
      <c r="AK78" s="22"/>
      <c r="AL78" s="23"/>
      <c r="AM78" s="7"/>
      <c r="AN78" s="47"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3" t="str">
        <f aca="false">IF(Tasks[[#This Row],[Task Name]]="","",IF(N(Tasks[[#This Row],[Baseline Start]])&gt;0,Tasks[[#This Row],[Baseline Start]],Tasks[[#This Row],[_CalcStart]]))</f>
        <v/>
      </c>
      <c r="AR78" s="63" t="str">
        <f aca="false">IF(Tasks[[#This Row],[Task Name]]="","",IF(N(Tasks[[#This Row],[Baseline Finish]])&gt;0,Tasks[[#This Row],[Baseline Finish]],Tasks[[#This Row],[_CalcFinish]]))</f>
        <v/>
      </c>
      <c r="AS78" s="47" t="str">
        <f aca="false">IF(Tasks[[#This Row],[Task Name]]="","",IF(Tasks[[#This Row],[Start]]&gt;=Tasks[[#This Row],[Planned Start]],NETWORKDAYS.INTL(Tasks[[#This Row],[Planned Start]],Tasks[[#This Row],[Start]],WorkWeek,Holidays)-1,1-NETWORKDAYS.INTL(Tasks[[#This Row],[Start]],Tasks[[#This Row],[Planned Start]],WorkWeek,Holidays)))</f>
        <v/>
      </c>
      <c r="AT78" s="63" t="str">
        <f aca="false">IF(Tasks[[#This Row],[Task Name]]="","",IF(Tasks[[#This Row],[_IsSummary]],MIN(INDEX(Tasks[_LeafLateStart],Tasks[[#This Row],[_Row]]+1):INDEX(Tasks[_LeafLateStart],Tasks[[#This Row],[_Row]]+Tasks[[#This Row],[_Descendants]])),Tasks[[#This Row],[_LeafLateStart]]))</f>
        <v/>
      </c>
      <c r="AU78" s="63" t="str">
        <f aca="false">IF(Tasks[[#This Row],[Task Name]]="","",IF(Tasks[[#This Row],[_IsSummary]],MAX(INDEX(Tasks[_LeafLateFinish],Tasks[[#This Row],[_Row]]+1):INDEX(Tasks[_LeafLateFinish],Tasks[[#This Row],[_Row]]+Tasks[[#This Row],[_Descendants]])),Tasks[[#This Row],[_LeafLateFinish]]))</f>
        <v/>
      </c>
      <c r="AV78" s="47"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5"/>
      <c r="BA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6"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7"/>
      <c r="BJ78" s="22"/>
      <c r="BK78" s="47" t="str">
        <f aca="false">IF(OR(Tasks[[#This Row],[Task Name]]="",Tasks[[#This Row],[Baseline Duration]]=""),"",Tasks[[#This Row],[_SpanDays]]-N(Tasks[[#This Row],[Baseline Duration]]))</f>
        <v/>
      </c>
      <c r="BL78" s="86" t="str">
        <f aca="false">IF(OR(Tasks[[#This Row],[Task Name]]="",Tasks[[#This Row],[Baseline Work]]=""),"",Tasks[[#This Row],[Work]]-N(Tasks[[#This Row],[Baseline Work]]))</f>
        <v/>
      </c>
      <c r="BM78" s="63" t="str">
        <f aca="false">IF(Tasks[[#This Row],[Task Name]]="","",IF(OR(TakeBaseline="Yes",N(Tasks[[#This Row],[Baseline Start]])=0),Tasks[[#This Row],[Start]],Tasks[[#This Row],[Baseline Start]]))</f>
        <v/>
      </c>
      <c r="BN78" s="63" t="str">
        <f aca="false">IF(Tasks[[#This Row],[Task Name]]="","",IF(OR(TakeBaseline="Yes",N(Tasks[[#This Row],[Baseline Finish]])=0),Tasks[[#This Row],[Finish]],Tasks[[#This Row],[Baseline Finish]]))</f>
        <v/>
      </c>
      <c r="BO78" s="21" t="str">
        <f aca="false">IF(Tasks[[#This Row],[Task Name]]="","",IF(OR(TakeBaseline="Yes",N(Tasks[[#This Row],[Baseline Duration]])=0),Tasks[[#This Row],[_SpanDays]],Tasks[[#This Row],[Baseline Duration]]))</f>
        <v/>
      </c>
      <c r="BP78" s="86" t="str">
        <f aca="false">IF(Tasks[[#This Row],[Task Name]]="","",IF(OR(TakeBaseline="Yes",N(Tasks[[#This Row],[Baseline Work]])=0),Tasks[[#This Row],[Work]],Tasks[[#This Row],[Baseline Work]]))</f>
        <v/>
      </c>
      <c r="BQ78" s="7"/>
      <c r="BR78" s="7"/>
      <c r="BS78" s="22"/>
      <c r="BT78" s="88"/>
      <c r="BU78" s="23"/>
      <c r="BV78" s="23"/>
      <c r="BW78" s="23"/>
      <c r="BX78" s="89" t="str">
        <f aca="false">IF(AND(Tasks[[#This Row],[_IsLeaf]]=1,ISNUMBER(Tasks[[#This Row],[Optimistic]]),ISNUMBER(Tasks[[#This Row],[Pessimistic]])),ROUND((Tasks[[#This Row],[Optimistic]]+4*N(Tasks[[#This Row],[_Days]])+Tasks[[#This Row],[Pessimistic]])/6,1),"")</f>
        <v/>
      </c>
      <c r="BY78" s="87"/>
      <c r="BZ78" s="87"/>
      <c r="CA78" s="22"/>
      <c r="CB78" s="43" t="str">
        <f aca="false">IF(Tasks[[#This Row],[Task Name]]="","",MAX(1,N(Tasks[[#This Row],[Level]])))</f>
        <v/>
      </c>
      <c r="CC78" s="43" t="n">
        <f aca="false">ROW()-ROW(Tasks[[#Headers],[ID]])</f>
        <v>73</v>
      </c>
      <c r="CD78" s="43" t="n">
        <f aca="false">IF(OR(Tasks[[#This Row],[Task Name]]="",Tasks[[#This Row],[_Level]]&lt;=1),0,IFERROR(LOOKUP(2,1/(Tasks[[#Headers],[_Level]]:Tasks[[#This Row],[_Level]]=Tasks[[#This Row],[_Level]]-1),ROW(Tasks[[#Headers],[_Level]]:Tasks[[#This Row],[_Level]])),0))</f>
        <v>0</v>
      </c>
      <c r="CE78" s="43" t="n">
        <f aca="false">IFERROR(N(INDEX(Tasks[_Level],Tasks[[#This Row],[_Row]]+1)),0)</f>
        <v>0</v>
      </c>
      <c r="CF78" s="90" t="b">
        <f aca="false">AND(Tasks[[#This Row],[Task Name]]&lt;&gt;"",Tasks[[#This Row],[_NextLevel]]&gt;Tasks[[#This Row],[_Level]])</f>
        <v>0</v>
      </c>
      <c r="CG78" s="43" t="n">
        <f aca="false">IF(Tasks[[#This Row],[_IsSummary]],COUNTIF(Tasks[WBS],Tasks[[#This Row],[WBS]]&amp;".*"),0)</f>
        <v>0</v>
      </c>
      <c r="CH78" s="43" t="n">
        <f aca="false">IF(AND(Tasks[[#This Row],[Task Name]]&lt;&gt;"",NOT(Tasks[[#This Row],[_IsSummary]])),1,0)</f>
        <v>0</v>
      </c>
      <c r="CI78" s="43" t="n">
        <f aca="false">IF(N(Tasks[[#This Row],[_Pred1UID]])=0,0,IFERROR(MATCH(Tasks[[#This Row],[_Pred1UID]],Tasks[UID],0),-1))</f>
        <v>0</v>
      </c>
      <c r="CJ78" s="43" t="n">
        <f aca="false">IF(N(Tasks[[#This Row],[_Pred2UID]])=0,0,IFERROR(MATCH(Tasks[[#This Row],[_Pred2UID]],Tasks[UID],0),-1))</f>
        <v>0</v>
      </c>
      <c r="CK78" s="43" t="n">
        <f aca="false">IF(N(Tasks[[#This Row],[_Pred3UID]])=0,0,IFERROR(MATCH(Tasks[[#This Row],[_Pred3UID]],Tasks[UID],0),-1))</f>
        <v>0</v>
      </c>
      <c r="CL78" s="43" t="n">
        <f aca="false">IF(N(Tasks[[#This Row],[_Pred4UID]])=0,0,IFERROR(MATCH(Tasks[[#This Row],[_Pred4UID]],Tasks[UID],0),-1))</f>
        <v>0</v>
      </c>
      <c r="CM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8" s="91" t="n">
        <f aca="false">IF(OR(Tasks[[#This Row],[_ConstraintCode]]=2,Tasks[[#This Row],[_ConstraintCode]]=3,Tasks[[#This Row],[_ConstraintCode]]=4,Tasks[[#This Row],[_ConstraintCode]]=6),Tasks[[#This Row],[_ConstraintStart]],0)</f>
        <v>0</v>
      </c>
      <c r="CP78" s="91" t="n">
        <f aca="false">IF(OR(Tasks[[#This Row],[_ConstraintCode]]=2,Tasks[[#This Row],[_ConstraintCode]]=3,Tasks[[#This Row],[_ConstraintCode]]=5,Tasks[[#This Row],[_ConstraintCode]]=7),Tasks[[#This Row],[_ConstraintStart]],2958465)</f>
        <v>2958465</v>
      </c>
      <c r="CQ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91" t="str">
        <f aca="false">IF(NOT(Tasks[[#This Row],[_IsLeaf]]=1),"",IF(N(Tasks[[#This Row],[_Days]])&lt;=0,Tasks[[#This Row],[_LeafCalcStart]],WORKDAY.INTL(Tasks[[#This Row],[_LeafCalcStart]],Tasks[[#This Row],[_Days]]-1,WorkWeek,Holidays)))</f>
        <v/>
      </c>
      <c r="CS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3" t="str">
        <f aca="false">IF(Tasks[[#This Row],[_Predecessors]]="","",TRIM(MID(SUBSTITUTE(SUBSTITUTE(SUBSTITUTE(UPPER(Tasks[[#This Row],[_Predecessors]]),";",",")," ",""),",",REPT(" ",99)),1,99)))</f>
        <v/>
      </c>
      <c r="CV78" s="43" t="str">
        <f aca="false">IF(Tasks[[#This Row],[_Pred1Text]]="","",IFERROR(VALUE(LEFT(Tasks[[#This Row],[_Pred1Text]],MIN(FIND("F",Tasks[[#This Row],[_Pred1Text]]&amp;"F"),FIND("S",Tasks[[#This Row],[_Pred1Text]]&amp;"S"),FIND("+",Tasks[[#This Row],[_Pred1Text]]&amp;"+"),FIND("-",Tasks[[#This Row],[_Pred1Text]]&amp;"-"))-1)),""))</f>
        <v/>
      </c>
      <c r="CW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3" t="str">
        <f aca="false">IF(Tasks[[#This Row],[_Pred1Text]]="","",TRIM(MID(SUBSTITUTE(SUBSTITUTE(SUBSTITUTE(UPPER(Tasks[[#This Row],[_Predecessors]]),";",",")," ",""),",",REPT(" ",99)),100,99)))</f>
        <v/>
      </c>
      <c r="CZ78" s="43" t="str">
        <f aca="false">IF(Tasks[[#This Row],[_Pred2Text]]="","",IFERROR(VALUE(LEFT(Tasks[[#This Row],[_Pred2Text]],MIN(FIND("F",Tasks[[#This Row],[_Pred2Text]]&amp;"F"),FIND("S",Tasks[[#This Row],[_Pred2Text]]&amp;"S"),FIND("+",Tasks[[#This Row],[_Pred2Text]]&amp;"+"),FIND("-",Tasks[[#This Row],[_Pred2Text]]&amp;"-"))-1)),""))</f>
        <v/>
      </c>
      <c r="DA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3" t="str">
        <f aca="false">IF(Tasks[[#This Row],[_Pred2Text]]="","",TRIM(MID(SUBSTITUTE(SUBSTITUTE(SUBSTITUTE(UPPER(Tasks[[#This Row],[_Predecessors]]),";",",")," ",""),",",REPT(" ",99)),199,99)))</f>
        <v/>
      </c>
      <c r="DD78" s="43" t="str">
        <f aca="false">IF(Tasks[[#This Row],[_Pred3Text]]="","",IFERROR(VALUE(LEFT(Tasks[[#This Row],[_Pred3Text]],MIN(FIND("F",Tasks[[#This Row],[_Pred3Text]]&amp;"F"),FIND("S",Tasks[[#This Row],[_Pred3Text]]&amp;"S"),FIND("+",Tasks[[#This Row],[_Pred3Text]]&amp;"+"),FIND("-",Tasks[[#This Row],[_Pred3Text]]&amp;"-"))-1)),""))</f>
        <v/>
      </c>
      <c r="DE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3" t="str">
        <f aca="false">IF(Tasks[[#This Row],[_Pred3Text]]="","",TRIM(MID(SUBSTITUTE(SUBSTITUTE(SUBSTITUTE(UPPER(Tasks[[#This Row],[_Predecessors]]),";",",")," ",""),",",REPT(" ",99)),298,99)))</f>
        <v/>
      </c>
      <c r="DH78" s="43" t="str">
        <f aca="false">IF(Tasks[[#This Row],[_Pred4Text]]="","",IFERROR(VALUE(LEFT(Tasks[[#This Row],[_Pred4Text]],MIN(FIND("F",Tasks[[#This Row],[_Pred4Text]]&amp;"F"),FIND("S",Tasks[[#This Row],[_Pred4Text]]&amp;"S"),FIND("+",Tasks[[#This Row],[_Pred4Text]]&amp;"+"),FIND("-",Tasks[[#This Row],[_Pred4Text]]&amp;"-"))-1)),""))</f>
        <v/>
      </c>
      <c r="DI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3" t="str">
        <f aca="false">IF(OR(Tasks[[#This Row],[Task Name]]="",Tasks[[#This Row],[_Resources]]=""),"",TRIM(MID(SUBSTITUTE(Tasks[[#This Row],[_Resources]],",",REPT(" ",99)),1,99)))</f>
        <v/>
      </c>
      <c r="DL78" s="43" t="str">
        <f aca="false">IF(Tasks[[#This Row],[_Res1Text]]="","",TRIM(MID(SUBSTITUTE(Tasks[[#This Row],[_Resources]],",",REPT(" ",99)),100,99)))</f>
        <v/>
      </c>
      <c r="DM78" s="43" t="str">
        <f aca="false">IF(Tasks[[#This Row],[_Res2Text]]="","",TRIM(MID(SUBSTITUTE(Tasks[[#This Row],[_Resources]],",",REPT(" ",99)),199,99)))</f>
        <v/>
      </c>
      <c r="DN78" s="43" t="str">
        <f aca="false">IF(Tasks[[#This Row],[_Res3Text]]="","",TRIM(MID(SUBSTITUTE(Tasks[[#This Row],[_Resources]],",",REPT(" ",99)),298,99)))</f>
        <v/>
      </c>
      <c r="DO78" s="43" t="n">
        <f aca="false">IF(Tasks[[#This Row],[_Res1Text]]="",0,IFERROR(MATCH(TRIM(LEFT(Tasks[[#This Row],[_Res1Text]],FIND("[",Tasks[[#This Row],[_Res1Text]]&amp;"[")-1)),res_Name,0),IFERROR(MATCH(TRIM(LEFT(Tasks[[#This Row],[_Res1Text]],FIND("[",Tasks[[#This Row],[_Res1Text]]&amp;"[")-1)),res_Initials,0),0)))</f>
        <v>0</v>
      </c>
      <c r="DP78" s="43" t="n">
        <f aca="false">IF(Tasks[[#This Row],[_Res2Text]]="",0,IFERROR(MATCH(TRIM(LEFT(Tasks[[#This Row],[_Res2Text]],FIND("[",Tasks[[#This Row],[_Res2Text]]&amp;"[")-1)),res_Name,0),IFERROR(MATCH(TRIM(LEFT(Tasks[[#This Row],[_Res2Text]],FIND("[",Tasks[[#This Row],[_Res2Text]]&amp;"[")-1)),res_Initials,0),0)))</f>
        <v>0</v>
      </c>
      <c r="DQ78" s="43" t="n">
        <f aca="false">IF(Tasks[[#This Row],[_Res3Text]]="",0,IFERROR(MATCH(TRIM(LEFT(Tasks[[#This Row],[_Res3Text]],FIND("[",Tasks[[#This Row],[_Res3Text]]&amp;"[")-1)),res_Name,0),IFERROR(MATCH(TRIM(LEFT(Tasks[[#This Row],[_Res3Text]],FIND("[",Tasks[[#This Row],[_Res3Text]]&amp;"[")-1)),res_Initials,0),0)))</f>
        <v>0</v>
      </c>
      <c r="DR78" s="43" t="n">
        <f aca="false">IF(Tasks[[#This Row],[_Res4Text]]="",0,IFERROR(MATCH(TRIM(LEFT(Tasks[[#This Row],[_Res4Text]],FIND("[",Tasks[[#This Row],[_Res4Text]]&amp;"[")-1)),res_Name,0),IFERROR(MATCH(TRIM(LEFT(Tasks[[#This Row],[_Res4Text]],FIND("[",Tasks[[#This Row],[_Res4Text]]&amp;"[")-1)),res_Initials,0),0)))</f>
        <v>0</v>
      </c>
      <c r="DS78" s="43" t="str">
        <f aca="false">IF(Tasks[[#This Row],[_Res1Text]]="","",IF(Tasks[[#This Row],[_Res1Row]]&gt;0,INDEX(res_Name,Tasks[[#This Row],[_Res1Row]]),TRIM(LEFT(Tasks[[#This Row],[_Res1Text]],FIND("[",Tasks[[#This Row],[_Res1Text]]&amp;"[")-1))))</f>
        <v/>
      </c>
      <c r="DT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3" t="n">
        <f aca="false">IF(NOT(Tasks[[#This Row],[_IsLeaf]]=1),0,(Tasks[[#This Row],[_Resource1]]&lt;&gt;"")+(Tasks[[#This Row],[_Res2]]&lt;&gt;"")+(Tasks[[#This Row],[_Res3]]&lt;&gt;"")+(Tasks[[#This Row],[_Res4]]&lt;&gt;""))</f>
        <v>0</v>
      </c>
      <c r="DV78" s="43" t="str">
        <f aca="false">IF(Tasks[[#This Row],[_Res2Text]]="","",IF(Tasks[[#This Row],[_Res2Row]]&gt;0,INDEX(res_Name,Tasks[[#This Row],[_Res2Row]]),TRIM(LEFT(Tasks[[#This Row],[_Res2Text]],FIND("[",Tasks[[#This Row],[_Res2Text]]&amp;"[")-1))))</f>
        <v/>
      </c>
      <c r="DW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3" t="n">
        <f aca="false">IF(OR(NOT(Tasks[[#This Row],[_IsLeaf]]=1),Tasks[[#This Row],[_Res2Row]]=0),0,N(Tasks[[#This Row],[_Days]])*HoursPerDay*IF(Tasks[[#This Row],[_Res2Units]]="",DefaultUnits,Tasks[[#This Row],[_Res2Units]]))</f>
        <v>0</v>
      </c>
      <c r="DY78" s="43" t="n">
        <f aca="false">IF(AND(AND(Tasks[[#This Row],[_IsLeaf]]=1,Tasks[[#This Row],[_LeafTotalWork]]&gt;0),Tasks[[#This Row],[_Res2Work]]&gt;0),Tasks[[#This Row],[_Res2Work]]/(Tasks[[#This Row],[_FinishWorkday]]-Tasks[[#This Row],[_StartWorkday]]+1),0)</f>
        <v>0</v>
      </c>
      <c r="DZ78" s="43" t="n">
        <f aca="false">Tasks[[#This Row],[_Res2WorkPerWD]]*MAX(0,Tasks[[#This Row],[_StartWorkday]]-1)</f>
        <v>0</v>
      </c>
      <c r="EA78" s="43" t="n">
        <f aca="false">Tasks[[#This Row],[_Res2Work]]*Tasks[[#This Row],[_LeafProgress]]</f>
        <v>0</v>
      </c>
      <c r="EB78" s="43" t="str">
        <f aca="false">IF(Tasks[[#This Row],[_Res3Text]]="","",IF(Tasks[[#This Row],[_Res3Row]]&gt;0,INDEX(res_Name,Tasks[[#This Row],[_Res3Row]]),TRIM(LEFT(Tasks[[#This Row],[_Res3Text]],FIND("[",Tasks[[#This Row],[_Res3Text]]&amp;"[")-1))))</f>
        <v/>
      </c>
      <c r="EC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3" t="n">
        <f aca="false">IF(OR(NOT(Tasks[[#This Row],[_IsLeaf]]=1),Tasks[[#This Row],[_Res3Row]]=0),0,N(Tasks[[#This Row],[_Days]])*HoursPerDay*IF(Tasks[[#This Row],[_Res3Units]]="",DefaultUnits,Tasks[[#This Row],[_Res3Units]]))</f>
        <v>0</v>
      </c>
      <c r="EE78" s="43" t="n">
        <f aca="false">IF(AND(AND(Tasks[[#This Row],[_IsLeaf]]=1,Tasks[[#This Row],[_LeafTotalWork]]&gt;0),Tasks[[#This Row],[_Res3Work]]&gt;0),Tasks[[#This Row],[_Res3Work]]/(Tasks[[#This Row],[_FinishWorkday]]-Tasks[[#This Row],[_StartWorkday]]+1),0)</f>
        <v>0</v>
      </c>
      <c r="EF78" s="43" t="n">
        <f aca="false">Tasks[[#This Row],[_Res3WorkPerWD]]*MAX(0,Tasks[[#This Row],[_StartWorkday]]-1)</f>
        <v>0</v>
      </c>
      <c r="EG78" s="43" t="n">
        <f aca="false">Tasks[[#This Row],[_Res3Work]]*Tasks[[#This Row],[_LeafProgress]]</f>
        <v>0</v>
      </c>
      <c r="EH78" s="43" t="str">
        <f aca="false">IF(Tasks[[#This Row],[_Res4Text]]="","",IF(Tasks[[#This Row],[_Res4Row]]&gt;0,INDEX(res_Name,Tasks[[#This Row],[_Res4Row]]),TRIM(LEFT(Tasks[[#This Row],[_Res4Text]],FIND("[",Tasks[[#This Row],[_Res4Text]]&amp;"[")-1))))</f>
        <v/>
      </c>
      <c r="EI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3" t="n">
        <f aca="false">IF(OR(NOT(Tasks[[#This Row],[_IsLeaf]]=1),Tasks[[#This Row],[_Res4Row]]=0),0,N(Tasks[[#This Row],[_Days]])*HoursPerDay*IF(Tasks[[#This Row],[_Res4Units]]="",DefaultUnits,Tasks[[#This Row],[_Res4Units]]))</f>
        <v>0</v>
      </c>
      <c r="EK78" s="43" t="n">
        <f aca="false">IF(AND(AND(Tasks[[#This Row],[_IsLeaf]]=1,Tasks[[#This Row],[_LeafTotalWork]]&gt;0),Tasks[[#This Row],[_Res4Work]]&gt;0),Tasks[[#This Row],[_Res4Work]]/(Tasks[[#This Row],[_FinishWorkday]]-Tasks[[#This Row],[_StartWorkday]]+1),0)</f>
        <v>0</v>
      </c>
      <c r="EL78" s="43" t="n">
        <f aca="false">Tasks[[#This Row],[_Res4WorkPerWD]]*MAX(0,Tasks[[#This Row],[_StartWorkday]]-1)</f>
        <v>0</v>
      </c>
      <c r="EM78" s="43" t="n">
        <f aca="false">Tasks[[#This Row],[_Res4Work]]*Tasks[[#This Row],[_LeafProgress]]</f>
        <v>0</v>
      </c>
      <c r="EN78" s="43" t="n">
        <f aca="false">IF(ISNUMBER(Tasks[[#This Row],[% Complete]]),Tasks[[#This Row],[% Complete]],IF(Tasks[[#This Row],[Stage]]="",0,IFERROR(INDEX(stg_Pct,MATCH(Tasks[[#This Row],[Stage]],stg_Name,0)),0)))</f>
        <v>0</v>
      </c>
      <c r="EO78" s="43" t="n">
        <f aca="false">IF(NOT(Tasks[[#This Row],[_IsLeaf]]=1),0,IF(N(Tasks[[#This Row],[Actual Finish]])&gt;0,1,MIN(1,Tasks[[#This Row],[_Pct]])))</f>
        <v>0</v>
      </c>
      <c r="EP78" s="43" t="n">
        <f aca="false">IF(OR(NOT(Tasks[[#This Row],[_IsLeaf]]=1),Tasks[[#This Row],[_Res1Row]]=0),0,N(Tasks[[#This Row],[_Days]])*HoursPerDay*IF(Tasks[[#This Row],[_Units1]]="",DefaultUnits,Tasks[[#This Row],[_Units1]]))</f>
        <v>0</v>
      </c>
      <c r="EQ78" s="43" t="n">
        <f aca="false">Tasks[[#This Row],[_LeafWork]]+Tasks[[#This Row],[_Res2Work]]+Tasks[[#This Row],[_Res3Work]]+Tasks[[#This Row],[_Res4Work]]</f>
        <v>0</v>
      </c>
      <c r="ER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3" t="n">
        <f aca="false">IF(NOT(Tasks[[#This Row],[_IsLeaf]]=1),0,MAX(_xlfn.MAXIFS(Tasks[_Row],Tasks[_Pred1UID],Tasks[[#This Row],[UID]]),_xlfn.MAXIFS(Tasks[_Row],Tasks[_Pred2UID],Tasks[[#This Row],[UID]]),_xlfn.MAXIFS(Tasks[_Row],Tasks[_Pred3UID],Tasks[[#This Row],[UID]]),_xlfn.MAXIFS(Tasks[_Row],Tasks[_Pred4UID],Tasks[[#This Row],[UID]])))</f>
        <v>0</v>
      </c>
      <c r="FA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91" t="str">
        <f aca="false">IF(NOT(Tasks[[#This Row],[_IsLeaf]]=1),"",IF(N(Tasks[[#This Row],[_Days]])&lt;=0,Tasks[[#This Row],[_LeafLateFinish]],WORKDAY.INTL(Tasks[[#This Row],[_LeafLateFinish]],-(Tasks[[#This Row],[_Days]]-1),WorkWeek,Holidays)))</f>
        <v/>
      </c>
      <c r="FD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8" s="90" t="b">
        <f aca="false">AND(Tasks[[#This Row],[_IsLeaf]]=1,Tasks[[#This Row],[_LeafProgress]]&lt;1,N(Tasks[[#This Row],[_LeafTotalSlack]])&lt;=CriticalSlackDays)</f>
        <v>0</v>
      </c>
      <c r="FF78" s="43" t="n">
        <f aca="false">IF(AND(Tasks[[#This Row],[_IsLeaf]]=1,Tasks[[#This Row],[_ConstraintCode]]=1,Tasks[[#This Row],[Mode]]&lt;&gt;"Manual",N(Tasks[[#This Row],[Actual Start]])=0),MAX(0,N(Tasks[[#This Row],[Free Slack]])),0)</f>
        <v>0</v>
      </c>
      <c r="FG78" s="91" t="str">
        <f aca="false">IF(NOT(Tasks[[#This Row],[_IsLeaf]]=1),"",IF(Tasks[[#This Row],[_AlapShift]]=0,Tasks[[#This Row],[_LeafCalcStart]],WORKDAY.INTL(Tasks[[#This Row],[_LeafCalcStart]],Tasks[[#This Row],[_AlapShift]],WorkWeek,Holidays)))</f>
        <v/>
      </c>
      <c r="FH78" s="91" t="str">
        <f aca="false">IF(NOT(Tasks[[#This Row],[_IsLeaf]]=1),"",IF(Tasks[[#This Row],[_AlapShift]]=0,Tasks[[#This Row],[_LeafCalcFinish]],WORKDAY.INTL(Tasks[[#This Row],[_LeafCalcFinish]],Tasks[[#This Row],[_AlapShift]],WorkWeek,Holidays)))</f>
        <v/>
      </c>
      <c r="FI78" s="91" t="str">
        <f aca="false">IF(NOT(Tasks[[#This Row],[_IsLeaf]]=1),"",IF(Tasks[[#This Row],[_AlapShift]]=0,Tasks[[#This Row],[_LeafFcstStart]],WORKDAY.INTL(Tasks[[#This Row],[_LeafFcstStart]],Tasks[[#This Row],[_AlapShift]],WorkWeek,Holidays)))</f>
        <v/>
      </c>
      <c r="FJ78" s="91" t="str">
        <f aca="false">IF(NOT(Tasks[[#This Row],[_IsLeaf]]=1),"",IF(Tasks[[#This Row],[_AlapShift]]=0,Tasks[[#This Row],[_LeafFcstFinish]],WORKDAY.INTL(Tasks[[#This Row],[_LeafFcstFinish]],Tasks[[#This Row],[_AlapShift]],WorkWeek,Holidays)))</f>
        <v/>
      </c>
      <c r="FK78" s="91" t="str">
        <f aca="false">IF(Tasks[[#This Row],[Task Name]]="","",IF(Tasks[[#This Row],[_IsSummary]],MIN(INDEX(Tasks[_ShownCalcStart],Tasks[[#This Row],[_Row]]+1):INDEX(Tasks[_ShownCalcStart],Tasks[[#This Row],[_Row]]+Tasks[[#This Row],[_Descendants]])),Tasks[[#This Row],[_ShownCalcStart]]))</f>
        <v/>
      </c>
      <c r="FL78" s="91" t="str">
        <f aca="false">IF(Tasks[[#This Row],[Task Name]]="","",IF(Tasks[[#This Row],[_IsSummary]],MAX(INDEX(Tasks[_ShownCalcFinish],Tasks[[#This Row],[_Row]]+1):INDEX(Tasks[_ShownCalcFinish],Tasks[[#This Row],[_Row]]+Tasks[[#This Row],[_Descendants]])),Tasks[[#This Row],[_ShownCalcFinish]]))</f>
        <v/>
      </c>
      <c r="FM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8" s="43" t="n">
        <f aca="false">IF(AND(Tasks[[#This Row],[_IsLeaf]]=1,Tasks[[#This Row],[_LeafTotalWork]]&gt;0),NETWORKDAYS.INTL(ProjectStart,Tasks[[#This Row],[_ShownFcstStart]],WorkWeek,Holidays),0)</f>
        <v>0</v>
      </c>
      <c r="FZ78" s="43" t="n">
        <f aca="false">IF(AND(Tasks[[#This Row],[_IsLeaf]]=1,Tasks[[#This Row],[_LeafTotalWork]]&gt;0),MAX(Tasks[[#This Row],[_StartWorkday]],NETWORKDAYS.INTL(ProjectStart,Tasks[[#This Row],[_ShownFcstFinish]],WorkWeek,Holidays)),0)</f>
        <v>0</v>
      </c>
      <c r="GA78" s="43" t="n">
        <f aca="false">IF(AND(Tasks[[#This Row],[_IsLeaf]]=1,Tasks[[#This Row],[_LeafTotalWork]]&gt;0),Tasks[[#This Row],[_LeafWork]]/(Tasks[[#This Row],[_FinishWorkday]]-Tasks[[#This Row],[_StartWorkday]]+1),0)</f>
        <v>0</v>
      </c>
      <c r="GB78" s="43" t="n">
        <f aca="false">Tasks[[#This Row],[_WorkPerWorkday]]*(Tasks[[#This Row],[_StartWorkday]]-1)</f>
        <v>-0</v>
      </c>
      <c r="GC78" s="43" t="n">
        <f aca="false">IF(Tasks[[#This Row],[_IsLeaf]]=1,MAX(N(Tasks[[#This Row],[_Days]]),0.1),0)</f>
        <v>0</v>
      </c>
      <c r="GD78" s="43" t="n">
        <f aca="false">Tasks[[#This Row],[_WeightDur]]*Tasks[[#This Row],[_LeafProgress]]</f>
        <v>0</v>
      </c>
      <c r="GE78" s="43" t="n">
        <f aca="false">Tasks[[#This Row],[_WeightDur]]*Tasks[[#This Row],[_PlannedPct]]</f>
        <v>0</v>
      </c>
      <c r="GF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3" t="str">
        <f aca="false">IF(AND(Tasks[[#This Row],[_IsLeaf]]=1,N(Tasks[[#This Row],[_Days]])=0,Tasks[[#This Row],[_LeafProgress]]&lt;1),Tasks[[#This Row],[_ShownFcstFinish]]+Tasks[[#This Row],[_Row]]/100000,"")</f>
        <v/>
      </c>
      <c r="GH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8" s="43" t="str">
        <f aca="false">IF(Tasks[[#This Row],[Task Name]]="","",LEFT(Tasks[[#This Row],[WBS]],FIND(".",Tasks[[#This Row],[WBS]]&amp;".")-1))</f>
        <v/>
      </c>
      <c r="GJ78" s="43" t="str">
        <f aca="false">IF(AND(Tasks[[#This Row],[Task Name]]&lt;&gt;"",Tasks[[#This Row],[_Level]]=1),Tasks[[#This Row],[_Row]],"")</f>
        <v/>
      </c>
      <c r="GK78" s="43" t="str">
        <f aca="false">IF(AND(Tasks[[#This Row],[_IsLeaf]]=1,N(Tasks[[#This Row],[_Days]])=0),Tasks[[#This Row],[Planned Finish]]+Tasks[[#This Row],[_Row]]/100000,"")</f>
        <v/>
      </c>
      <c r="GL78" s="43" t="str">
        <f aca="false">IF(AND(Tasks[[#This Row],[_IsLeaf]]=1,Tasks[[#This Row],[_LeafProgress]]&lt;1,OR(N(Tasks[[#This Row],[Finish Var]])&gt;0,Tasks[[#This Row],[Status]]="Late Start")),MAX(0,Tasks[[#This Row],[Finish Var]])+1-Tasks[[#This Row],[_Row]]/1000000,"")</f>
        <v/>
      </c>
      <c r="GM78" s="43" t="str">
        <f aca="false">IF(AND(Tasks[[#This Row],[_IsLeaf]]=1,N(Tasks[[#This Row],[Actual Start]])=0,Tasks[[#This Row],[_ShownFcstStart]]&gt;=StatusDate,Tasks[[#This Row],[_ShownFcstStart]]&lt;=LookaheadEnd),Tasks[[#This Row],[_ShownFcstStart]]+Tasks[[#This Row],[_Row]]/100000,"")</f>
        <v/>
      </c>
      <c r="GN78" s="43" t="str">
        <f aca="false">IF(AND(Tasks[[#This Row],[_IsLeaf]]=1,Tasks[[#This Row],[_LeafProgress]]&lt;1,Tasks[[#This Row],[_ShownFcstFinish]]&gt;=StatusDate,Tasks[[#This Row],[_ShownFcstFinish]]&lt;=LookaheadEnd),Tasks[[#This Row],[_ShownFcstFinish]]+Tasks[[#This Row],[_Row]]/100000,"")</f>
        <v/>
      </c>
      <c r="GO78" s="43" t="str">
        <f aca="false">IF(Tasks[[#This Row],[_LeafCritical]],Tasks[[#This Row],[_ShownFcstStart]]+Tasks[[#This Row],[_Row]]/100000,"")</f>
        <v/>
      </c>
      <c r="GP78" s="43" t="n">
        <f aca="false">Tasks[[#This Row],[_LeafWork]]*Tasks[[#This Row],[_LeafProgress]]</f>
        <v>0</v>
      </c>
      <c r="GQ78" s="91" t="str">
        <f aca="false">IF(AND(Tasks[[#This Row],[_IsLeaf]]=1,Tasks[[#This Row],[_LeafProgress]]&gt;=1),IF(N(Tasks[[#This Row],[Actual Finish]])&gt;0,Tasks[[#This Row],[Actual Finish]],Tasks[[#This Row],[_ShownFcstFinish]]),"")</f>
        <v/>
      </c>
      <c r="GR78" s="43" t="n">
        <f aca="false">IF(Tasks[[#This Row],[_IsLeaf]]=1,N(Tasks[[#This Row],[Story Points]]),0)</f>
        <v>0</v>
      </c>
      <c r="GS78" s="43" t="str">
        <f aca="false">""</f>
        <v/>
      </c>
      <c r="GT78" s="90" t="b">
        <f aca="false">IF(Tasks[[#This Row],[Task Name]]="",FALSE(),AND(Tasks[[#This Row],[_IsLeaf]]=1,N(Tasks[[#This Row],[_Days]])=0))</f>
        <v>0</v>
      </c>
      <c r="GU78" s="91" t="n">
        <f aca="false">IF(Tasks[[#This Row],[Task Name]]="",0,IF(AND(Tasks[[#This Row],[_IsLeaf]]=1,NOT(Tasks[[#This Row],[_IsMilestone]]),N(Tasks[[#This Row],[Progress]])&gt;0),Tasks[[#This Row],[Start]],0))</f>
        <v>0</v>
      </c>
      <c r="GV78" s="91" t="n">
        <f aca="false">IF(Tasks[[#This Row],[_DoneFrom]]=0,0,IF(Tasks[[#This Row],[Progress]]&gt;=1,Tasks[[#This Row],[Finish]],MAX(Tasks[[#This Row],[_DoneFrom]],Tasks[[#This Row],[Start]]+ROUND((Tasks[[#This Row],[Finish]]-Tasks[[#This Row],[Start]]+1)*Tasks[[#This Row],[Progress]],0)-1)))</f>
        <v>0</v>
      </c>
      <c r="GW78" s="91" t="n">
        <f aca="false">IF(Tasks[[#This Row],[Task Name]]="",0,IF(OR(NOT(Tasks[[#This Row],[_IsLeaf]]=1),Tasks[[#This Row],[_IsMilestone]],N(Tasks[[#This Row],[Progress]])&gt;=1),0,IF(Tasks[[#This Row],[_DoneTo]]&gt;0,Tasks[[#This Row],[_DoneTo]]+1,Tasks[[#This Row],[Start]])))</f>
        <v>0</v>
      </c>
      <c r="GX78" s="91" t="n">
        <f aca="false">IF(Tasks[[#This Row],[_RemFrom]]=0,0,Tasks[[#This Row],[Finish]])</f>
        <v>0</v>
      </c>
      <c r="GY78" s="90" t="b">
        <f aca="false">IF(Tasks[[#This Row],[Task Name]]="",FALSE(),OR(NOT(BaselineSet),N(Tasks[[#This Row],[Baseline Start]])&gt;0))</f>
        <v>0</v>
      </c>
      <c r="GZ7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92" t="str">
        <f aca="false">IF(Tasks[[#This Row],[_IsLeaf]]=1,Tasks[[#This Row],[_Row]],"")</f>
        <v/>
      </c>
      <c r="HD78" s="92" t="str">
        <f aca="false">IFERROR(INDEX(Tasks[UID],SMALL(Tasks[_PickKey],Tasks[[#This Row],[_Row]]))&amp;" "&amp;INDEX(Tasks[Task Name],SMALL(Tasks[_PickKey],Tasks[[#This Row],[_Row]])),"")</f>
        <v/>
      </c>
      <c r="HE78" s="43" t="str">
        <f aca="false">IF(Tasks[[#This Row],[Task Name]]="","",IF(Tasks[[#This Row],[_IsSummary]],NETWORKDAYS.INTL(Tasks[[#This Row],[Start]],Tasks[[#This Row],[Finish]],WorkWeek,Holidays),N(Tasks[[#This Row],[_Days]])))</f>
        <v/>
      </c>
      <c r="HF78" s="43" t="n">
        <f aca="false">IF(Tasks[[#This Row],[Expected]]="",0,((Tasks[[#This Row],[Pessimistic]]-Tasks[[#This Row],[Optimistic]])/6)^2)</f>
        <v>0</v>
      </c>
      <c r="HG78" s="43" t="n">
        <f aca="false">IF(Tasks[[#This Row],[Expected]]="",0,Tasks[[#This Row],[Expected]]-N(Tasks[[#This Row],[_Days]]))</f>
        <v>0</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4"/>
      <c r="U79" s="23"/>
      <c r="V79" s="84"/>
      <c r="W79" s="23"/>
      <c r="X79" s="84"/>
      <c r="Y79" s="23"/>
      <c r="Z79" s="84"/>
      <c r="AA79" s="23"/>
      <c r="AB79" s="23"/>
      <c r="AC79" s="7"/>
      <c r="AD79" s="7"/>
      <c r="AE79" s="63" t="str">
        <f aca="false">IF(Tasks[[#This Row],[Task Name]]="","",IF(Tasks[[#This Row],[_IsSummary]],MIN(INDEX(Tasks[_ShownFcstStart],Tasks[[#This Row],[_Row]]+1):INDEX(Tasks[_ShownFcstStart],Tasks[[#This Row],[_Row]]+Tasks[[#This Row],[_Descendants]])),Tasks[[#This Row],[_ShownFcstStart]]))</f>
        <v/>
      </c>
      <c r="AF79" s="63"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9" s="7"/>
      <c r="AK79" s="22"/>
      <c r="AL79" s="23"/>
      <c r="AM79" s="7"/>
      <c r="AN79" s="47"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3" t="str">
        <f aca="false">IF(Tasks[[#This Row],[Task Name]]="","",IF(N(Tasks[[#This Row],[Baseline Start]])&gt;0,Tasks[[#This Row],[Baseline Start]],Tasks[[#This Row],[_CalcStart]]))</f>
        <v/>
      </c>
      <c r="AR79" s="63" t="str">
        <f aca="false">IF(Tasks[[#This Row],[Task Name]]="","",IF(N(Tasks[[#This Row],[Baseline Finish]])&gt;0,Tasks[[#This Row],[Baseline Finish]],Tasks[[#This Row],[_CalcFinish]]))</f>
        <v/>
      </c>
      <c r="AS79" s="47" t="str">
        <f aca="false">IF(Tasks[[#This Row],[Task Name]]="","",IF(Tasks[[#This Row],[Start]]&gt;=Tasks[[#This Row],[Planned Start]],NETWORKDAYS.INTL(Tasks[[#This Row],[Planned Start]],Tasks[[#This Row],[Start]],WorkWeek,Holidays)-1,1-NETWORKDAYS.INTL(Tasks[[#This Row],[Start]],Tasks[[#This Row],[Planned Start]],WorkWeek,Holidays)))</f>
        <v/>
      </c>
      <c r="AT79" s="63" t="str">
        <f aca="false">IF(Tasks[[#This Row],[Task Name]]="","",IF(Tasks[[#This Row],[_IsSummary]],MIN(INDEX(Tasks[_LeafLateStart],Tasks[[#This Row],[_Row]]+1):INDEX(Tasks[_LeafLateStart],Tasks[[#This Row],[_Row]]+Tasks[[#This Row],[_Descendants]])),Tasks[[#This Row],[_LeafLateStart]]))</f>
        <v/>
      </c>
      <c r="AU79" s="63" t="str">
        <f aca="false">IF(Tasks[[#This Row],[Task Name]]="","",IF(Tasks[[#This Row],[_IsSummary]],MAX(INDEX(Tasks[_LeafLateFinish],Tasks[[#This Row],[_Row]]+1):INDEX(Tasks[_LeafLateFinish],Tasks[[#This Row],[_Row]]+Tasks[[#This Row],[_Descendants]])),Tasks[[#This Row],[_LeafLateFinish]]))</f>
        <v/>
      </c>
      <c r="AV79" s="47"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5"/>
      <c r="BA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6"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7"/>
      <c r="BJ79" s="22"/>
      <c r="BK79" s="47" t="str">
        <f aca="false">IF(OR(Tasks[[#This Row],[Task Name]]="",Tasks[[#This Row],[Baseline Duration]]=""),"",Tasks[[#This Row],[_SpanDays]]-N(Tasks[[#This Row],[Baseline Duration]]))</f>
        <v/>
      </c>
      <c r="BL79" s="86" t="str">
        <f aca="false">IF(OR(Tasks[[#This Row],[Task Name]]="",Tasks[[#This Row],[Baseline Work]]=""),"",Tasks[[#This Row],[Work]]-N(Tasks[[#This Row],[Baseline Work]]))</f>
        <v/>
      </c>
      <c r="BM79" s="63" t="str">
        <f aca="false">IF(Tasks[[#This Row],[Task Name]]="","",IF(OR(TakeBaseline="Yes",N(Tasks[[#This Row],[Baseline Start]])=0),Tasks[[#This Row],[Start]],Tasks[[#This Row],[Baseline Start]]))</f>
        <v/>
      </c>
      <c r="BN79" s="63" t="str">
        <f aca="false">IF(Tasks[[#This Row],[Task Name]]="","",IF(OR(TakeBaseline="Yes",N(Tasks[[#This Row],[Baseline Finish]])=0),Tasks[[#This Row],[Finish]],Tasks[[#This Row],[Baseline Finish]]))</f>
        <v/>
      </c>
      <c r="BO79" s="21" t="str">
        <f aca="false">IF(Tasks[[#This Row],[Task Name]]="","",IF(OR(TakeBaseline="Yes",N(Tasks[[#This Row],[Baseline Duration]])=0),Tasks[[#This Row],[_SpanDays]],Tasks[[#This Row],[Baseline Duration]]))</f>
        <v/>
      </c>
      <c r="BP79" s="86" t="str">
        <f aca="false">IF(Tasks[[#This Row],[Task Name]]="","",IF(OR(TakeBaseline="Yes",N(Tasks[[#This Row],[Baseline Work]])=0),Tasks[[#This Row],[Work]],Tasks[[#This Row],[Baseline Work]]))</f>
        <v/>
      </c>
      <c r="BQ79" s="7"/>
      <c r="BR79" s="7"/>
      <c r="BS79" s="22"/>
      <c r="BT79" s="88"/>
      <c r="BU79" s="23"/>
      <c r="BV79" s="23"/>
      <c r="BW79" s="23"/>
      <c r="BX79" s="89" t="str">
        <f aca="false">IF(AND(Tasks[[#This Row],[_IsLeaf]]=1,ISNUMBER(Tasks[[#This Row],[Optimistic]]),ISNUMBER(Tasks[[#This Row],[Pessimistic]])),ROUND((Tasks[[#This Row],[Optimistic]]+4*N(Tasks[[#This Row],[_Days]])+Tasks[[#This Row],[Pessimistic]])/6,1),"")</f>
        <v/>
      </c>
      <c r="BY79" s="87"/>
      <c r="BZ79" s="87"/>
      <c r="CA79" s="22"/>
      <c r="CB79" s="43" t="str">
        <f aca="false">IF(Tasks[[#This Row],[Task Name]]="","",MAX(1,N(Tasks[[#This Row],[Level]])))</f>
        <v/>
      </c>
      <c r="CC79" s="43" t="n">
        <f aca="false">ROW()-ROW(Tasks[[#Headers],[ID]])</f>
        <v>74</v>
      </c>
      <c r="CD79" s="43" t="n">
        <f aca="false">IF(OR(Tasks[[#This Row],[Task Name]]="",Tasks[[#This Row],[_Level]]&lt;=1),0,IFERROR(LOOKUP(2,1/(Tasks[[#Headers],[_Level]]:Tasks[[#This Row],[_Level]]=Tasks[[#This Row],[_Level]]-1),ROW(Tasks[[#Headers],[_Level]]:Tasks[[#This Row],[_Level]])),0))</f>
        <v>0</v>
      </c>
      <c r="CE79" s="43" t="n">
        <f aca="false">IFERROR(N(INDEX(Tasks[_Level],Tasks[[#This Row],[_Row]]+1)),0)</f>
        <v>0</v>
      </c>
      <c r="CF79" s="90" t="b">
        <f aca="false">AND(Tasks[[#This Row],[Task Name]]&lt;&gt;"",Tasks[[#This Row],[_NextLevel]]&gt;Tasks[[#This Row],[_Level]])</f>
        <v>0</v>
      </c>
      <c r="CG79" s="43" t="n">
        <f aca="false">IF(Tasks[[#This Row],[_IsSummary]],COUNTIF(Tasks[WBS],Tasks[[#This Row],[WBS]]&amp;".*"),0)</f>
        <v>0</v>
      </c>
      <c r="CH79" s="43" t="n">
        <f aca="false">IF(AND(Tasks[[#This Row],[Task Name]]&lt;&gt;"",NOT(Tasks[[#This Row],[_IsSummary]])),1,0)</f>
        <v>0</v>
      </c>
      <c r="CI79" s="43" t="n">
        <f aca="false">IF(N(Tasks[[#This Row],[_Pred1UID]])=0,0,IFERROR(MATCH(Tasks[[#This Row],[_Pred1UID]],Tasks[UID],0),-1))</f>
        <v>0</v>
      </c>
      <c r="CJ79" s="43" t="n">
        <f aca="false">IF(N(Tasks[[#This Row],[_Pred2UID]])=0,0,IFERROR(MATCH(Tasks[[#This Row],[_Pred2UID]],Tasks[UID],0),-1))</f>
        <v>0</v>
      </c>
      <c r="CK79" s="43" t="n">
        <f aca="false">IF(N(Tasks[[#This Row],[_Pred3UID]])=0,0,IFERROR(MATCH(Tasks[[#This Row],[_Pred3UID]],Tasks[UID],0),-1))</f>
        <v>0</v>
      </c>
      <c r="CL79" s="43" t="n">
        <f aca="false">IF(N(Tasks[[#This Row],[_Pred4UID]])=0,0,IFERROR(MATCH(Tasks[[#This Row],[_Pred4UID]],Tasks[UID],0),-1))</f>
        <v>0</v>
      </c>
      <c r="CM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9" s="91" t="n">
        <f aca="false">IF(OR(Tasks[[#This Row],[_ConstraintCode]]=2,Tasks[[#This Row],[_ConstraintCode]]=3,Tasks[[#This Row],[_ConstraintCode]]=4,Tasks[[#This Row],[_ConstraintCode]]=6),Tasks[[#This Row],[_ConstraintStart]],0)</f>
        <v>0</v>
      </c>
      <c r="CP79" s="91" t="n">
        <f aca="false">IF(OR(Tasks[[#This Row],[_ConstraintCode]]=2,Tasks[[#This Row],[_ConstraintCode]]=3,Tasks[[#This Row],[_ConstraintCode]]=5,Tasks[[#This Row],[_ConstraintCode]]=7),Tasks[[#This Row],[_ConstraintStart]],2958465)</f>
        <v>2958465</v>
      </c>
      <c r="CQ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91" t="str">
        <f aca="false">IF(NOT(Tasks[[#This Row],[_IsLeaf]]=1),"",IF(N(Tasks[[#This Row],[_Days]])&lt;=0,Tasks[[#This Row],[_LeafCalcStart]],WORKDAY.INTL(Tasks[[#This Row],[_LeafCalcStart]],Tasks[[#This Row],[_Days]]-1,WorkWeek,Holidays)))</f>
        <v/>
      </c>
      <c r="CS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3" t="str">
        <f aca="false">IF(Tasks[[#This Row],[_Predecessors]]="","",TRIM(MID(SUBSTITUTE(SUBSTITUTE(SUBSTITUTE(UPPER(Tasks[[#This Row],[_Predecessors]]),";",",")," ",""),",",REPT(" ",99)),1,99)))</f>
        <v/>
      </c>
      <c r="CV79" s="43" t="str">
        <f aca="false">IF(Tasks[[#This Row],[_Pred1Text]]="","",IFERROR(VALUE(LEFT(Tasks[[#This Row],[_Pred1Text]],MIN(FIND("F",Tasks[[#This Row],[_Pred1Text]]&amp;"F"),FIND("S",Tasks[[#This Row],[_Pred1Text]]&amp;"S"),FIND("+",Tasks[[#This Row],[_Pred1Text]]&amp;"+"),FIND("-",Tasks[[#This Row],[_Pred1Text]]&amp;"-"))-1)),""))</f>
        <v/>
      </c>
      <c r="CW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3" t="str">
        <f aca="false">IF(Tasks[[#This Row],[_Pred1Text]]="","",TRIM(MID(SUBSTITUTE(SUBSTITUTE(SUBSTITUTE(UPPER(Tasks[[#This Row],[_Predecessors]]),";",",")," ",""),",",REPT(" ",99)),100,99)))</f>
        <v/>
      </c>
      <c r="CZ79" s="43" t="str">
        <f aca="false">IF(Tasks[[#This Row],[_Pred2Text]]="","",IFERROR(VALUE(LEFT(Tasks[[#This Row],[_Pred2Text]],MIN(FIND("F",Tasks[[#This Row],[_Pred2Text]]&amp;"F"),FIND("S",Tasks[[#This Row],[_Pred2Text]]&amp;"S"),FIND("+",Tasks[[#This Row],[_Pred2Text]]&amp;"+"),FIND("-",Tasks[[#This Row],[_Pred2Text]]&amp;"-"))-1)),""))</f>
        <v/>
      </c>
      <c r="DA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3" t="str">
        <f aca="false">IF(Tasks[[#This Row],[_Pred2Text]]="","",TRIM(MID(SUBSTITUTE(SUBSTITUTE(SUBSTITUTE(UPPER(Tasks[[#This Row],[_Predecessors]]),";",",")," ",""),",",REPT(" ",99)),199,99)))</f>
        <v/>
      </c>
      <c r="DD79" s="43" t="str">
        <f aca="false">IF(Tasks[[#This Row],[_Pred3Text]]="","",IFERROR(VALUE(LEFT(Tasks[[#This Row],[_Pred3Text]],MIN(FIND("F",Tasks[[#This Row],[_Pred3Text]]&amp;"F"),FIND("S",Tasks[[#This Row],[_Pred3Text]]&amp;"S"),FIND("+",Tasks[[#This Row],[_Pred3Text]]&amp;"+"),FIND("-",Tasks[[#This Row],[_Pred3Text]]&amp;"-"))-1)),""))</f>
        <v/>
      </c>
      <c r="DE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3" t="str">
        <f aca="false">IF(Tasks[[#This Row],[_Pred3Text]]="","",TRIM(MID(SUBSTITUTE(SUBSTITUTE(SUBSTITUTE(UPPER(Tasks[[#This Row],[_Predecessors]]),";",",")," ",""),",",REPT(" ",99)),298,99)))</f>
        <v/>
      </c>
      <c r="DH79" s="43" t="str">
        <f aca="false">IF(Tasks[[#This Row],[_Pred4Text]]="","",IFERROR(VALUE(LEFT(Tasks[[#This Row],[_Pred4Text]],MIN(FIND("F",Tasks[[#This Row],[_Pred4Text]]&amp;"F"),FIND("S",Tasks[[#This Row],[_Pred4Text]]&amp;"S"),FIND("+",Tasks[[#This Row],[_Pred4Text]]&amp;"+"),FIND("-",Tasks[[#This Row],[_Pred4Text]]&amp;"-"))-1)),""))</f>
        <v/>
      </c>
      <c r="DI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3" t="str">
        <f aca="false">IF(OR(Tasks[[#This Row],[Task Name]]="",Tasks[[#This Row],[_Resources]]=""),"",TRIM(MID(SUBSTITUTE(Tasks[[#This Row],[_Resources]],",",REPT(" ",99)),1,99)))</f>
        <v/>
      </c>
      <c r="DL79" s="43" t="str">
        <f aca="false">IF(Tasks[[#This Row],[_Res1Text]]="","",TRIM(MID(SUBSTITUTE(Tasks[[#This Row],[_Resources]],",",REPT(" ",99)),100,99)))</f>
        <v/>
      </c>
      <c r="DM79" s="43" t="str">
        <f aca="false">IF(Tasks[[#This Row],[_Res2Text]]="","",TRIM(MID(SUBSTITUTE(Tasks[[#This Row],[_Resources]],",",REPT(" ",99)),199,99)))</f>
        <v/>
      </c>
      <c r="DN79" s="43" t="str">
        <f aca="false">IF(Tasks[[#This Row],[_Res3Text]]="","",TRIM(MID(SUBSTITUTE(Tasks[[#This Row],[_Resources]],",",REPT(" ",99)),298,99)))</f>
        <v/>
      </c>
      <c r="DO79" s="43" t="n">
        <f aca="false">IF(Tasks[[#This Row],[_Res1Text]]="",0,IFERROR(MATCH(TRIM(LEFT(Tasks[[#This Row],[_Res1Text]],FIND("[",Tasks[[#This Row],[_Res1Text]]&amp;"[")-1)),res_Name,0),IFERROR(MATCH(TRIM(LEFT(Tasks[[#This Row],[_Res1Text]],FIND("[",Tasks[[#This Row],[_Res1Text]]&amp;"[")-1)),res_Initials,0),0)))</f>
        <v>0</v>
      </c>
      <c r="DP79" s="43" t="n">
        <f aca="false">IF(Tasks[[#This Row],[_Res2Text]]="",0,IFERROR(MATCH(TRIM(LEFT(Tasks[[#This Row],[_Res2Text]],FIND("[",Tasks[[#This Row],[_Res2Text]]&amp;"[")-1)),res_Name,0),IFERROR(MATCH(TRIM(LEFT(Tasks[[#This Row],[_Res2Text]],FIND("[",Tasks[[#This Row],[_Res2Text]]&amp;"[")-1)),res_Initials,0),0)))</f>
        <v>0</v>
      </c>
      <c r="DQ79" s="43" t="n">
        <f aca="false">IF(Tasks[[#This Row],[_Res3Text]]="",0,IFERROR(MATCH(TRIM(LEFT(Tasks[[#This Row],[_Res3Text]],FIND("[",Tasks[[#This Row],[_Res3Text]]&amp;"[")-1)),res_Name,0),IFERROR(MATCH(TRIM(LEFT(Tasks[[#This Row],[_Res3Text]],FIND("[",Tasks[[#This Row],[_Res3Text]]&amp;"[")-1)),res_Initials,0),0)))</f>
        <v>0</v>
      </c>
      <c r="DR79" s="43" t="n">
        <f aca="false">IF(Tasks[[#This Row],[_Res4Text]]="",0,IFERROR(MATCH(TRIM(LEFT(Tasks[[#This Row],[_Res4Text]],FIND("[",Tasks[[#This Row],[_Res4Text]]&amp;"[")-1)),res_Name,0),IFERROR(MATCH(TRIM(LEFT(Tasks[[#This Row],[_Res4Text]],FIND("[",Tasks[[#This Row],[_Res4Text]]&amp;"[")-1)),res_Initials,0),0)))</f>
        <v>0</v>
      </c>
      <c r="DS79" s="43" t="str">
        <f aca="false">IF(Tasks[[#This Row],[_Res1Text]]="","",IF(Tasks[[#This Row],[_Res1Row]]&gt;0,INDEX(res_Name,Tasks[[#This Row],[_Res1Row]]),TRIM(LEFT(Tasks[[#This Row],[_Res1Text]],FIND("[",Tasks[[#This Row],[_Res1Text]]&amp;"[")-1))))</f>
        <v/>
      </c>
      <c r="DT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3" t="n">
        <f aca="false">IF(NOT(Tasks[[#This Row],[_IsLeaf]]=1),0,(Tasks[[#This Row],[_Resource1]]&lt;&gt;"")+(Tasks[[#This Row],[_Res2]]&lt;&gt;"")+(Tasks[[#This Row],[_Res3]]&lt;&gt;"")+(Tasks[[#This Row],[_Res4]]&lt;&gt;""))</f>
        <v>0</v>
      </c>
      <c r="DV79" s="43" t="str">
        <f aca="false">IF(Tasks[[#This Row],[_Res2Text]]="","",IF(Tasks[[#This Row],[_Res2Row]]&gt;0,INDEX(res_Name,Tasks[[#This Row],[_Res2Row]]),TRIM(LEFT(Tasks[[#This Row],[_Res2Text]],FIND("[",Tasks[[#This Row],[_Res2Text]]&amp;"[")-1))))</f>
        <v/>
      </c>
      <c r="DW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3" t="n">
        <f aca="false">IF(OR(NOT(Tasks[[#This Row],[_IsLeaf]]=1),Tasks[[#This Row],[_Res2Row]]=0),0,N(Tasks[[#This Row],[_Days]])*HoursPerDay*IF(Tasks[[#This Row],[_Res2Units]]="",DefaultUnits,Tasks[[#This Row],[_Res2Units]]))</f>
        <v>0</v>
      </c>
      <c r="DY79" s="43" t="n">
        <f aca="false">IF(AND(AND(Tasks[[#This Row],[_IsLeaf]]=1,Tasks[[#This Row],[_LeafTotalWork]]&gt;0),Tasks[[#This Row],[_Res2Work]]&gt;0),Tasks[[#This Row],[_Res2Work]]/(Tasks[[#This Row],[_FinishWorkday]]-Tasks[[#This Row],[_StartWorkday]]+1),0)</f>
        <v>0</v>
      </c>
      <c r="DZ79" s="43" t="n">
        <f aca="false">Tasks[[#This Row],[_Res2WorkPerWD]]*MAX(0,Tasks[[#This Row],[_StartWorkday]]-1)</f>
        <v>0</v>
      </c>
      <c r="EA79" s="43" t="n">
        <f aca="false">Tasks[[#This Row],[_Res2Work]]*Tasks[[#This Row],[_LeafProgress]]</f>
        <v>0</v>
      </c>
      <c r="EB79" s="43" t="str">
        <f aca="false">IF(Tasks[[#This Row],[_Res3Text]]="","",IF(Tasks[[#This Row],[_Res3Row]]&gt;0,INDEX(res_Name,Tasks[[#This Row],[_Res3Row]]),TRIM(LEFT(Tasks[[#This Row],[_Res3Text]],FIND("[",Tasks[[#This Row],[_Res3Text]]&amp;"[")-1))))</f>
        <v/>
      </c>
      <c r="EC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3" t="n">
        <f aca="false">IF(OR(NOT(Tasks[[#This Row],[_IsLeaf]]=1),Tasks[[#This Row],[_Res3Row]]=0),0,N(Tasks[[#This Row],[_Days]])*HoursPerDay*IF(Tasks[[#This Row],[_Res3Units]]="",DefaultUnits,Tasks[[#This Row],[_Res3Units]]))</f>
        <v>0</v>
      </c>
      <c r="EE79" s="43" t="n">
        <f aca="false">IF(AND(AND(Tasks[[#This Row],[_IsLeaf]]=1,Tasks[[#This Row],[_LeafTotalWork]]&gt;0),Tasks[[#This Row],[_Res3Work]]&gt;0),Tasks[[#This Row],[_Res3Work]]/(Tasks[[#This Row],[_FinishWorkday]]-Tasks[[#This Row],[_StartWorkday]]+1),0)</f>
        <v>0</v>
      </c>
      <c r="EF79" s="43" t="n">
        <f aca="false">Tasks[[#This Row],[_Res3WorkPerWD]]*MAX(0,Tasks[[#This Row],[_StartWorkday]]-1)</f>
        <v>0</v>
      </c>
      <c r="EG79" s="43" t="n">
        <f aca="false">Tasks[[#This Row],[_Res3Work]]*Tasks[[#This Row],[_LeafProgress]]</f>
        <v>0</v>
      </c>
      <c r="EH79" s="43" t="str">
        <f aca="false">IF(Tasks[[#This Row],[_Res4Text]]="","",IF(Tasks[[#This Row],[_Res4Row]]&gt;0,INDEX(res_Name,Tasks[[#This Row],[_Res4Row]]),TRIM(LEFT(Tasks[[#This Row],[_Res4Text]],FIND("[",Tasks[[#This Row],[_Res4Text]]&amp;"[")-1))))</f>
        <v/>
      </c>
      <c r="EI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3" t="n">
        <f aca="false">IF(OR(NOT(Tasks[[#This Row],[_IsLeaf]]=1),Tasks[[#This Row],[_Res4Row]]=0),0,N(Tasks[[#This Row],[_Days]])*HoursPerDay*IF(Tasks[[#This Row],[_Res4Units]]="",DefaultUnits,Tasks[[#This Row],[_Res4Units]]))</f>
        <v>0</v>
      </c>
      <c r="EK79" s="43" t="n">
        <f aca="false">IF(AND(AND(Tasks[[#This Row],[_IsLeaf]]=1,Tasks[[#This Row],[_LeafTotalWork]]&gt;0),Tasks[[#This Row],[_Res4Work]]&gt;0),Tasks[[#This Row],[_Res4Work]]/(Tasks[[#This Row],[_FinishWorkday]]-Tasks[[#This Row],[_StartWorkday]]+1),0)</f>
        <v>0</v>
      </c>
      <c r="EL79" s="43" t="n">
        <f aca="false">Tasks[[#This Row],[_Res4WorkPerWD]]*MAX(0,Tasks[[#This Row],[_StartWorkday]]-1)</f>
        <v>0</v>
      </c>
      <c r="EM79" s="43" t="n">
        <f aca="false">Tasks[[#This Row],[_Res4Work]]*Tasks[[#This Row],[_LeafProgress]]</f>
        <v>0</v>
      </c>
      <c r="EN79" s="43" t="n">
        <f aca="false">IF(ISNUMBER(Tasks[[#This Row],[% Complete]]),Tasks[[#This Row],[% Complete]],IF(Tasks[[#This Row],[Stage]]="",0,IFERROR(INDEX(stg_Pct,MATCH(Tasks[[#This Row],[Stage]],stg_Name,0)),0)))</f>
        <v>0</v>
      </c>
      <c r="EO79" s="43" t="n">
        <f aca="false">IF(NOT(Tasks[[#This Row],[_IsLeaf]]=1),0,IF(N(Tasks[[#This Row],[Actual Finish]])&gt;0,1,MIN(1,Tasks[[#This Row],[_Pct]])))</f>
        <v>0</v>
      </c>
      <c r="EP79" s="43" t="n">
        <f aca="false">IF(OR(NOT(Tasks[[#This Row],[_IsLeaf]]=1),Tasks[[#This Row],[_Res1Row]]=0),0,N(Tasks[[#This Row],[_Days]])*HoursPerDay*IF(Tasks[[#This Row],[_Units1]]="",DefaultUnits,Tasks[[#This Row],[_Units1]]))</f>
        <v>0</v>
      </c>
      <c r="EQ79" s="43" t="n">
        <f aca="false">Tasks[[#This Row],[_LeafWork]]+Tasks[[#This Row],[_Res2Work]]+Tasks[[#This Row],[_Res3Work]]+Tasks[[#This Row],[_Res4Work]]</f>
        <v>0</v>
      </c>
      <c r="ER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3" t="n">
        <f aca="false">IF(NOT(Tasks[[#This Row],[_IsLeaf]]=1),0,MAX(_xlfn.MAXIFS(Tasks[_Row],Tasks[_Pred1UID],Tasks[[#This Row],[UID]]),_xlfn.MAXIFS(Tasks[_Row],Tasks[_Pred2UID],Tasks[[#This Row],[UID]]),_xlfn.MAXIFS(Tasks[_Row],Tasks[_Pred3UID],Tasks[[#This Row],[UID]]),_xlfn.MAXIFS(Tasks[_Row],Tasks[_Pred4UID],Tasks[[#This Row],[UID]])))</f>
        <v>0</v>
      </c>
      <c r="FA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91" t="str">
        <f aca="false">IF(NOT(Tasks[[#This Row],[_IsLeaf]]=1),"",IF(N(Tasks[[#This Row],[_Days]])&lt;=0,Tasks[[#This Row],[_LeafLateFinish]],WORKDAY.INTL(Tasks[[#This Row],[_LeafLateFinish]],-(Tasks[[#This Row],[_Days]]-1),WorkWeek,Holidays)))</f>
        <v/>
      </c>
      <c r="FD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9" s="90" t="b">
        <f aca="false">AND(Tasks[[#This Row],[_IsLeaf]]=1,Tasks[[#This Row],[_LeafProgress]]&lt;1,N(Tasks[[#This Row],[_LeafTotalSlack]])&lt;=CriticalSlackDays)</f>
        <v>0</v>
      </c>
      <c r="FF79" s="43" t="n">
        <f aca="false">IF(AND(Tasks[[#This Row],[_IsLeaf]]=1,Tasks[[#This Row],[_ConstraintCode]]=1,Tasks[[#This Row],[Mode]]&lt;&gt;"Manual",N(Tasks[[#This Row],[Actual Start]])=0),MAX(0,N(Tasks[[#This Row],[Free Slack]])),0)</f>
        <v>0</v>
      </c>
      <c r="FG79" s="91" t="str">
        <f aca="false">IF(NOT(Tasks[[#This Row],[_IsLeaf]]=1),"",IF(Tasks[[#This Row],[_AlapShift]]=0,Tasks[[#This Row],[_LeafCalcStart]],WORKDAY.INTL(Tasks[[#This Row],[_LeafCalcStart]],Tasks[[#This Row],[_AlapShift]],WorkWeek,Holidays)))</f>
        <v/>
      </c>
      <c r="FH79" s="91" t="str">
        <f aca="false">IF(NOT(Tasks[[#This Row],[_IsLeaf]]=1),"",IF(Tasks[[#This Row],[_AlapShift]]=0,Tasks[[#This Row],[_LeafCalcFinish]],WORKDAY.INTL(Tasks[[#This Row],[_LeafCalcFinish]],Tasks[[#This Row],[_AlapShift]],WorkWeek,Holidays)))</f>
        <v/>
      </c>
      <c r="FI79" s="91" t="str">
        <f aca="false">IF(NOT(Tasks[[#This Row],[_IsLeaf]]=1),"",IF(Tasks[[#This Row],[_AlapShift]]=0,Tasks[[#This Row],[_LeafFcstStart]],WORKDAY.INTL(Tasks[[#This Row],[_LeafFcstStart]],Tasks[[#This Row],[_AlapShift]],WorkWeek,Holidays)))</f>
        <v/>
      </c>
      <c r="FJ79" s="91" t="str">
        <f aca="false">IF(NOT(Tasks[[#This Row],[_IsLeaf]]=1),"",IF(Tasks[[#This Row],[_AlapShift]]=0,Tasks[[#This Row],[_LeafFcstFinish]],WORKDAY.INTL(Tasks[[#This Row],[_LeafFcstFinish]],Tasks[[#This Row],[_AlapShift]],WorkWeek,Holidays)))</f>
        <v/>
      </c>
      <c r="FK79" s="91" t="str">
        <f aca="false">IF(Tasks[[#This Row],[Task Name]]="","",IF(Tasks[[#This Row],[_IsSummary]],MIN(INDEX(Tasks[_ShownCalcStart],Tasks[[#This Row],[_Row]]+1):INDEX(Tasks[_ShownCalcStart],Tasks[[#This Row],[_Row]]+Tasks[[#This Row],[_Descendants]])),Tasks[[#This Row],[_ShownCalcStart]]))</f>
        <v/>
      </c>
      <c r="FL79" s="91" t="str">
        <f aca="false">IF(Tasks[[#This Row],[Task Name]]="","",IF(Tasks[[#This Row],[_IsSummary]],MAX(INDEX(Tasks[_ShownCalcFinish],Tasks[[#This Row],[_Row]]+1):INDEX(Tasks[_ShownCalcFinish],Tasks[[#This Row],[_Row]]+Tasks[[#This Row],[_Descendants]])),Tasks[[#This Row],[_ShownCalcFinish]]))</f>
        <v/>
      </c>
      <c r="FM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9" s="43" t="n">
        <f aca="false">IF(AND(Tasks[[#This Row],[_IsLeaf]]=1,Tasks[[#This Row],[_LeafTotalWork]]&gt;0),NETWORKDAYS.INTL(ProjectStart,Tasks[[#This Row],[_ShownFcstStart]],WorkWeek,Holidays),0)</f>
        <v>0</v>
      </c>
      <c r="FZ79" s="43" t="n">
        <f aca="false">IF(AND(Tasks[[#This Row],[_IsLeaf]]=1,Tasks[[#This Row],[_LeafTotalWork]]&gt;0),MAX(Tasks[[#This Row],[_StartWorkday]],NETWORKDAYS.INTL(ProjectStart,Tasks[[#This Row],[_ShownFcstFinish]],WorkWeek,Holidays)),0)</f>
        <v>0</v>
      </c>
      <c r="GA79" s="43" t="n">
        <f aca="false">IF(AND(Tasks[[#This Row],[_IsLeaf]]=1,Tasks[[#This Row],[_LeafTotalWork]]&gt;0),Tasks[[#This Row],[_LeafWork]]/(Tasks[[#This Row],[_FinishWorkday]]-Tasks[[#This Row],[_StartWorkday]]+1),0)</f>
        <v>0</v>
      </c>
      <c r="GB79" s="43" t="n">
        <f aca="false">Tasks[[#This Row],[_WorkPerWorkday]]*(Tasks[[#This Row],[_StartWorkday]]-1)</f>
        <v>-0</v>
      </c>
      <c r="GC79" s="43" t="n">
        <f aca="false">IF(Tasks[[#This Row],[_IsLeaf]]=1,MAX(N(Tasks[[#This Row],[_Days]]),0.1),0)</f>
        <v>0</v>
      </c>
      <c r="GD79" s="43" t="n">
        <f aca="false">Tasks[[#This Row],[_WeightDur]]*Tasks[[#This Row],[_LeafProgress]]</f>
        <v>0</v>
      </c>
      <c r="GE79" s="43" t="n">
        <f aca="false">Tasks[[#This Row],[_WeightDur]]*Tasks[[#This Row],[_PlannedPct]]</f>
        <v>0</v>
      </c>
      <c r="GF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3" t="str">
        <f aca="false">IF(AND(Tasks[[#This Row],[_IsLeaf]]=1,N(Tasks[[#This Row],[_Days]])=0,Tasks[[#This Row],[_LeafProgress]]&lt;1),Tasks[[#This Row],[_ShownFcstFinish]]+Tasks[[#This Row],[_Row]]/100000,"")</f>
        <v/>
      </c>
      <c r="GH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9" s="43" t="str">
        <f aca="false">IF(Tasks[[#This Row],[Task Name]]="","",LEFT(Tasks[[#This Row],[WBS]],FIND(".",Tasks[[#This Row],[WBS]]&amp;".")-1))</f>
        <v/>
      </c>
      <c r="GJ79" s="43" t="str">
        <f aca="false">IF(AND(Tasks[[#This Row],[Task Name]]&lt;&gt;"",Tasks[[#This Row],[_Level]]=1),Tasks[[#This Row],[_Row]],"")</f>
        <v/>
      </c>
      <c r="GK79" s="43" t="str">
        <f aca="false">IF(AND(Tasks[[#This Row],[_IsLeaf]]=1,N(Tasks[[#This Row],[_Days]])=0),Tasks[[#This Row],[Planned Finish]]+Tasks[[#This Row],[_Row]]/100000,"")</f>
        <v/>
      </c>
      <c r="GL79" s="43" t="str">
        <f aca="false">IF(AND(Tasks[[#This Row],[_IsLeaf]]=1,Tasks[[#This Row],[_LeafProgress]]&lt;1,OR(N(Tasks[[#This Row],[Finish Var]])&gt;0,Tasks[[#This Row],[Status]]="Late Start")),MAX(0,Tasks[[#This Row],[Finish Var]])+1-Tasks[[#This Row],[_Row]]/1000000,"")</f>
        <v/>
      </c>
      <c r="GM79" s="43" t="str">
        <f aca="false">IF(AND(Tasks[[#This Row],[_IsLeaf]]=1,N(Tasks[[#This Row],[Actual Start]])=0,Tasks[[#This Row],[_ShownFcstStart]]&gt;=StatusDate,Tasks[[#This Row],[_ShownFcstStart]]&lt;=LookaheadEnd),Tasks[[#This Row],[_ShownFcstStart]]+Tasks[[#This Row],[_Row]]/100000,"")</f>
        <v/>
      </c>
      <c r="GN79" s="43" t="str">
        <f aca="false">IF(AND(Tasks[[#This Row],[_IsLeaf]]=1,Tasks[[#This Row],[_LeafProgress]]&lt;1,Tasks[[#This Row],[_ShownFcstFinish]]&gt;=StatusDate,Tasks[[#This Row],[_ShownFcstFinish]]&lt;=LookaheadEnd),Tasks[[#This Row],[_ShownFcstFinish]]+Tasks[[#This Row],[_Row]]/100000,"")</f>
        <v/>
      </c>
      <c r="GO79" s="43" t="str">
        <f aca="false">IF(Tasks[[#This Row],[_LeafCritical]],Tasks[[#This Row],[_ShownFcstStart]]+Tasks[[#This Row],[_Row]]/100000,"")</f>
        <v/>
      </c>
      <c r="GP79" s="43" t="n">
        <f aca="false">Tasks[[#This Row],[_LeafWork]]*Tasks[[#This Row],[_LeafProgress]]</f>
        <v>0</v>
      </c>
      <c r="GQ79" s="91" t="str">
        <f aca="false">IF(AND(Tasks[[#This Row],[_IsLeaf]]=1,Tasks[[#This Row],[_LeafProgress]]&gt;=1),IF(N(Tasks[[#This Row],[Actual Finish]])&gt;0,Tasks[[#This Row],[Actual Finish]],Tasks[[#This Row],[_ShownFcstFinish]]),"")</f>
        <v/>
      </c>
      <c r="GR79" s="43" t="n">
        <f aca="false">IF(Tasks[[#This Row],[_IsLeaf]]=1,N(Tasks[[#This Row],[Story Points]]),0)</f>
        <v>0</v>
      </c>
      <c r="GS79" s="43" t="str">
        <f aca="false">""</f>
        <v/>
      </c>
      <c r="GT79" s="90" t="b">
        <f aca="false">IF(Tasks[[#This Row],[Task Name]]="",FALSE(),AND(Tasks[[#This Row],[_IsLeaf]]=1,N(Tasks[[#This Row],[_Days]])=0))</f>
        <v>0</v>
      </c>
      <c r="GU79" s="91" t="n">
        <f aca="false">IF(Tasks[[#This Row],[Task Name]]="",0,IF(AND(Tasks[[#This Row],[_IsLeaf]]=1,NOT(Tasks[[#This Row],[_IsMilestone]]),N(Tasks[[#This Row],[Progress]])&gt;0),Tasks[[#This Row],[Start]],0))</f>
        <v>0</v>
      </c>
      <c r="GV79" s="91" t="n">
        <f aca="false">IF(Tasks[[#This Row],[_DoneFrom]]=0,0,IF(Tasks[[#This Row],[Progress]]&gt;=1,Tasks[[#This Row],[Finish]],MAX(Tasks[[#This Row],[_DoneFrom]],Tasks[[#This Row],[Start]]+ROUND((Tasks[[#This Row],[Finish]]-Tasks[[#This Row],[Start]]+1)*Tasks[[#This Row],[Progress]],0)-1)))</f>
        <v>0</v>
      </c>
      <c r="GW79" s="91" t="n">
        <f aca="false">IF(Tasks[[#This Row],[Task Name]]="",0,IF(OR(NOT(Tasks[[#This Row],[_IsLeaf]]=1),Tasks[[#This Row],[_IsMilestone]],N(Tasks[[#This Row],[Progress]])&gt;=1),0,IF(Tasks[[#This Row],[_DoneTo]]&gt;0,Tasks[[#This Row],[_DoneTo]]+1,Tasks[[#This Row],[Start]])))</f>
        <v>0</v>
      </c>
      <c r="GX79" s="91" t="n">
        <f aca="false">IF(Tasks[[#This Row],[_RemFrom]]=0,0,Tasks[[#This Row],[Finish]])</f>
        <v>0</v>
      </c>
      <c r="GY79" s="90" t="b">
        <f aca="false">IF(Tasks[[#This Row],[Task Name]]="",FALSE(),OR(NOT(BaselineSet),N(Tasks[[#This Row],[Baseline Start]])&gt;0))</f>
        <v>0</v>
      </c>
      <c r="GZ7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92" t="str">
        <f aca="false">IF(Tasks[[#This Row],[_IsLeaf]]=1,Tasks[[#This Row],[_Row]],"")</f>
        <v/>
      </c>
      <c r="HD79" s="92" t="str">
        <f aca="false">IFERROR(INDEX(Tasks[UID],SMALL(Tasks[_PickKey],Tasks[[#This Row],[_Row]]))&amp;" "&amp;INDEX(Tasks[Task Name],SMALL(Tasks[_PickKey],Tasks[[#This Row],[_Row]])),"")</f>
        <v/>
      </c>
      <c r="HE79" s="43" t="str">
        <f aca="false">IF(Tasks[[#This Row],[Task Name]]="","",IF(Tasks[[#This Row],[_IsSummary]],NETWORKDAYS.INTL(Tasks[[#This Row],[Start]],Tasks[[#This Row],[Finish]],WorkWeek,Holidays),N(Tasks[[#This Row],[_Days]])))</f>
        <v/>
      </c>
      <c r="HF79" s="43" t="n">
        <f aca="false">IF(Tasks[[#This Row],[Expected]]="",0,((Tasks[[#This Row],[Pessimistic]]-Tasks[[#This Row],[Optimistic]])/6)^2)</f>
        <v>0</v>
      </c>
      <c r="HG79" s="43" t="n">
        <f aca="false">IF(Tasks[[#This Row],[Expected]]="",0,Tasks[[#This Row],[Expected]]-N(Tasks[[#This Row],[_Days]]))</f>
        <v>0</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4"/>
      <c r="U80" s="23"/>
      <c r="V80" s="84"/>
      <c r="W80" s="23"/>
      <c r="X80" s="84"/>
      <c r="Y80" s="23"/>
      <c r="Z80" s="84"/>
      <c r="AA80" s="23"/>
      <c r="AB80" s="23"/>
      <c r="AC80" s="7"/>
      <c r="AD80" s="7"/>
      <c r="AE80" s="63" t="str">
        <f aca="false">IF(Tasks[[#This Row],[Task Name]]="","",IF(Tasks[[#This Row],[_IsSummary]],MIN(INDEX(Tasks[_ShownFcstStart],Tasks[[#This Row],[_Row]]+1):INDEX(Tasks[_ShownFcstStart],Tasks[[#This Row],[_Row]]+Tasks[[#This Row],[_Descendants]])),Tasks[[#This Row],[_ShownFcstStart]]))</f>
        <v/>
      </c>
      <c r="AF80" s="63"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0" s="7"/>
      <c r="AK80" s="22"/>
      <c r="AL80" s="23"/>
      <c r="AM80" s="7"/>
      <c r="AN80" s="47"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3" t="str">
        <f aca="false">IF(Tasks[[#This Row],[Task Name]]="","",IF(N(Tasks[[#This Row],[Baseline Start]])&gt;0,Tasks[[#This Row],[Baseline Start]],Tasks[[#This Row],[_CalcStart]]))</f>
        <v/>
      </c>
      <c r="AR80" s="63" t="str">
        <f aca="false">IF(Tasks[[#This Row],[Task Name]]="","",IF(N(Tasks[[#This Row],[Baseline Finish]])&gt;0,Tasks[[#This Row],[Baseline Finish]],Tasks[[#This Row],[_CalcFinish]]))</f>
        <v/>
      </c>
      <c r="AS80" s="47" t="str">
        <f aca="false">IF(Tasks[[#This Row],[Task Name]]="","",IF(Tasks[[#This Row],[Start]]&gt;=Tasks[[#This Row],[Planned Start]],NETWORKDAYS.INTL(Tasks[[#This Row],[Planned Start]],Tasks[[#This Row],[Start]],WorkWeek,Holidays)-1,1-NETWORKDAYS.INTL(Tasks[[#This Row],[Start]],Tasks[[#This Row],[Planned Start]],WorkWeek,Holidays)))</f>
        <v/>
      </c>
      <c r="AT80" s="63" t="str">
        <f aca="false">IF(Tasks[[#This Row],[Task Name]]="","",IF(Tasks[[#This Row],[_IsSummary]],MIN(INDEX(Tasks[_LeafLateStart],Tasks[[#This Row],[_Row]]+1):INDEX(Tasks[_LeafLateStart],Tasks[[#This Row],[_Row]]+Tasks[[#This Row],[_Descendants]])),Tasks[[#This Row],[_LeafLateStart]]))</f>
        <v/>
      </c>
      <c r="AU80" s="63" t="str">
        <f aca="false">IF(Tasks[[#This Row],[Task Name]]="","",IF(Tasks[[#This Row],[_IsSummary]],MAX(INDEX(Tasks[_LeafLateFinish],Tasks[[#This Row],[_Row]]+1):INDEX(Tasks[_LeafLateFinish],Tasks[[#This Row],[_Row]]+Tasks[[#This Row],[_Descendants]])),Tasks[[#This Row],[_LeafLateFinish]]))</f>
        <v/>
      </c>
      <c r="AV80" s="47"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5"/>
      <c r="BA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6"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7"/>
      <c r="BJ80" s="22"/>
      <c r="BK80" s="47" t="str">
        <f aca="false">IF(OR(Tasks[[#This Row],[Task Name]]="",Tasks[[#This Row],[Baseline Duration]]=""),"",Tasks[[#This Row],[_SpanDays]]-N(Tasks[[#This Row],[Baseline Duration]]))</f>
        <v/>
      </c>
      <c r="BL80" s="86" t="str">
        <f aca="false">IF(OR(Tasks[[#This Row],[Task Name]]="",Tasks[[#This Row],[Baseline Work]]=""),"",Tasks[[#This Row],[Work]]-N(Tasks[[#This Row],[Baseline Work]]))</f>
        <v/>
      </c>
      <c r="BM80" s="63" t="str">
        <f aca="false">IF(Tasks[[#This Row],[Task Name]]="","",IF(OR(TakeBaseline="Yes",N(Tasks[[#This Row],[Baseline Start]])=0),Tasks[[#This Row],[Start]],Tasks[[#This Row],[Baseline Start]]))</f>
        <v/>
      </c>
      <c r="BN80" s="63" t="str">
        <f aca="false">IF(Tasks[[#This Row],[Task Name]]="","",IF(OR(TakeBaseline="Yes",N(Tasks[[#This Row],[Baseline Finish]])=0),Tasks[[#This Row],[Finish]],Tasks[[#This Row],[Baseline Finish]]))</f>
        <v/>
      </c>
      <c r="BO80" s="21" t="str">
        <f aca="false">IF(Tasks[[#This Row],[Task Name]]="","",IF(OR(TakeBaseline="Yes",N(Tasks[[#This Row],[Baseline Duration]])=0),Tasks[[#This Row],[_SpanDays]],Tasks[[#This Row],[Baseline Duration]]))</f>
        <v/>
      </c>
      <c r="BP80" s="86" t="str">
        <f aca="false">IF(Tasks[[#This Row],[Task Name]]="","",IF(OR(TakeBaseline="Yes",N(Tasks[[#This Row],[Baseline Work]])=0),Tasks[[#This Row],[Work]],Tasks[[#This Row],[Baseline Work]]))</f>
        <v/>
      </c>
      <c r="BQ80" s="7"/>
      <c r="BR80" s="7"/>
      <c r="BS80" s="22"/>
      <c r="BT80" s="88"/>
      <c r="BU80" s="23"/>
      <c r="BV80" s="23"/>
      <c r="BW80" s="23"/>
      <c r="BX80" s="89" t="str">
        <f aca="false">IF(AND(Tasks[[#This Row],[_IsLeaf]]=1,ISNUMBER(Tasks[[#This Row],[Optimistic]]),ISNUMBER(Tasks[[#This Row],[Pessimistic]])),ROUND((Tasks[[#This Row],[Optimistic]]+4*N(Tasks[[#This Row],[_Days]])+Tasks[[#This Row],[Pessimistic]])/6,1),"")</f>
        <v/>
      </c>
      <c r="BY80" s="87"/>
      <c r="BZ80" s="87"/>
      <c r="CA80" s="22"/>
      <c r="CB80" s="43" t="str">
        <f aca="false">IF(Tasks[[#This Row],[Task Name]]="","",MAX(1,N(Tasks[[#This Row],[Level]])))</f>
        <v/>
      </c>
      <c r="CC80" s="43" t="n">
        <f aca="false">ROW()-ROW(Tasks[[#Headers],[ID]])</f>
        <v>75</v>
      </c>
      <c r="CD80" s="43" t="n">
        <f aca="false">IF(OR(Tasks[[#This Row],[Task Name]]="",Tasks[[#This Row],[_Level]]&lt;=1),0,IFERROR(LOOKUP(2,1/(Tasks[[#Headers],[_Level]]:Tasks[[#This Row],[_Level]]=Tasks[[#This Row],[_Level]]-1),ROW(Tasks[[#Headers],[_Level]]:Tasks[[#This Row],[_Level]])),0))</f>
        <v>0</v>
      </c>
      <c r="CE80" s="43" t="n">
        <f aca="false">IFERROR(N(INDEX(Tasks[_Level],Tasks[[#This Row],[_Row]]+1)),0)</f>
        <v>0</v>
      </c>
      <c r="CF80" s="90" t="b">
        <f aca="false">AND(Tasks[[#This Row],[Task Name]]&lt;&gt;"",Tasks[[#This Row],[_NextLevel]]&gt;Tasks[[#This Row],[_Level]])</f>
        <v>0</v>
      </c>
      <c r="CG80" s="43" t="n">
        <f aca="false">IF(Tasks[[#This Row],[_IsSummary]],COUNTIF(Tasks[WBS],Tasks[[#This Row],[WBS]]&amp;".*"),0)</f>
        <v>0</v>
      </c>
      <c r="CH80" s="43" t="n">
        <f aca="false">IF(AND(Tasks[[#This Row],[Task Name]]&lt;&gt;"",NOT(Tasks[[#This Row],[_IsSummary]])),1,0)</f>
        <v>0</v>
      </c>
      <c r="CI80" s="43" t="n">
        <f aca="false">IF(N(Tasks[[#This Row],[_Pred1UID]])=0,0,IFERROR(MATCH(Tasks[[#This Row],[_Pred1UID]],Tasks[UID],0),-1))</f>
        <v>0</v>
      </c>
      <c r="CJ80" s="43" t="n">
        <f aca="false">IF(N(Tasks[[#This Row],[_Pred2UID]])=0,0,IFERROR(MATCH(Tasks[[#This Row],[_Pred2UID]],Tasks[UID],0),-1))</f>
        <v>0</v>
      </c>
      <c r="CK80" s="43" t="n">
        <f aca="false">IF(N(Tasks[[#This Row],[_Pred3UID]])=0,0,IFERROR(MATCH(Tasks[[#This Row],[_Pred3UID]],Tasks[UID],0),-1))</f>
        <v>0</v>
      </c>
      <c r="CL80" s="43" t="n">
        <f aca="false">IF(N(Tasks[[#This Row],[_Pred4UID]])=0,0,IFERROR(MATCH(Tasks[[#This Row],[_Pred4UID]],Tasks[UID],0),-1))</f>
        <v>0</v>
      </c>
      <c r="CM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0" s="91" t="n">
        <f aca="false">IF(OR(Tasks[[#This Row],[_ConstraintCode]]=2,Tasks[[#This Row],[_ConstraintCode]]=3,Tasks[[#This Row],[_ConstraintCode]]=4,Tasks[[#This Row],[_ConstraintCode]]=6),Tasks[[#This Row],[_ConstraintStart]],0)</f>
        <v>0</v>
      </c>
      <c r="CP80" s="91" t="n">
        <f aca="false">IF(OR(Tasks[[#This Row],[_ConstraintCode]]=2,Tasks[[#This Row],[_ConstraintCode]]=3,Tasks[[#This Row],[_ConstraintCode]]=5,Tasks[[#This Row],[_ConstraintCode]]=7),Tasks[[#This Row],[_ConstraintStart]],2958465)</f>
        <v>2958465</v>
      </c>
      <c r="CQ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91" t="str">
        <f aca="false">IF(NOT(Tasks[[#This Row],[_IsLeaf]]=1),"",IF(N(Tasks[[#This Row],[_Days]])&lt;=0,Tasks[[#This Row],[_LeafCalcStart]],WORKDAY.INTL(Tasks[[#This Row],[_LeafCalcStart]],Tasks[[#This Row],[_Days]]-1,WorkWeek,Holidays)))</f>
        <v/>
      </c>
      <c r="CS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3" t="str">
        <f aca="false">IF(Tasks[[#This Row],[_Predecessors]]="","",TRIM(MID(SUBSTITUTE(SUBSTITUTE(SUBSTITUTE(UPPER(Tasks[[#This Row],[_Predecessors]]),";",",")," ",""),",",REPT(" ",99)),1,99)))</f>
        <v/>
      </c>
      <c r="CV80" s="43" t="str">
        <f aca="false">IF(Tasks[[#This Row],[_Pred1Text]]="","",IFERROR(VALUE(LEFT(Tasks[[#This Row],[_Pred1Text]],MIN(FIND("F",Tasks[[#This Row],[_Pred1Text]]&amp;"F"),FIND("S",Tasks[[#This Row],[_Pred1Text]]&amp;"S"),FIND("+",Tasks[[#This Row],[_Pred1Text]]&amp;"+"),FIND("-",Tasks[[#This Row],[_Pred1Text]]&amp;"-"))-1)),""))</f>
        <v/>
      </c>
      <c r="CW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3" t="str">
        <f aca="false">IF(Tasks[[#This Row],[_Pred1Text]]="","",TRIM(MID(SUBSTITUTE(SUBSTITUTE(SUBSTITUTE(UPPER(Tasks[[#This Row],[_Predecessors]]),";",",")," ",""),",",REPT(" ",99)),100,99)))</f>
        <v/>
      </c>
      <c r="CZ80" s="43" t="str">
        <f aca="false">IF(Tasks[[#This Row],[_Pred2Text]]="","",IFERROR(VALUE(LEFT(Tasks[[#This Row],[_Pred2Text]],MIN(FIND("F",Tasks[[#This Row],[_Pred2Text]]&amp;"F"),FIND("S",Tasks[[#This Row],[_Pred2Text]]&amp;"S"),FIND("+",Tasks[[#This Row],[_Pred2Text]]&amp;"+"),FIND("-",Tasks[[#This Row],[_Pred2Text]]&amp;"-"))-1)),""))</f>
        <v/>
      </c>
      <c r="DA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3" t="str">
        <f aca="false">IF(Tasks[[#This Row],[_Pred2Text]]="","",TRIM(MID(SUBSTITUTE(SUBSTITUTE(SUBSTITUTE(UPPER(Tasks[[#This Row],[_Predecessors]]),";",",")," ",""),",",REPT(" ",99)),199,99)))</f>
        <v/>
      </c>
      <c r="DD80" s="43" t="str">
        <f aca="false">IF(Tasks[[#This Row],[_Pred3Text]]="","",IFERROR(VALUE(LEFT(Tasks[[#This Row],[_Pred3Text]],MIN(FIND("F",Tasks[[#This Row],[_Pred3Text]]&amp;"F"),FIND("S",Tasks[[#This Row],[_Pred3Text]]&amp;"S"),FIND("+",Tasks[[#This Row],[_Pred3Text]]&amp;"+"),FIND("-",Tasks[[#This Row],[_Pred3Text]]&amp;"-"))-1)),""))</f>
        <v/>
      </c>
      <c r="DE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3" t="str">
        <f aca="false">IF(Tasks[[#This Row],[_Pred3Text]]="","",TRIM(MID(SUBSTITUTE(SUBSTITUTE(SUBSTITUTE(UPPER(Tasks[[#This Row],[_Predecessors]]),";",",")," ",""),",",REPT(" ",99)),298,99)))</f>
        <v/>
      </c>
      <c r="DH80" s="43" t="str">
        <f aca="false">IF(Tasks[[#This Row],[_Pred4Text]]="","",IFERROR(VALUE(LEFT(Tasks[[#This Row],[_Pred4Text]],MIN(FIND("F",Tasks[[#This Row],[_Pred4Text]]&amp;"F"),FIND("S",Tasks[[#This Row],[_Pred4Text]]&amp;"S"),FIND("+",Tasks[[#This Row],[_Pred4Text]]&amp;"+"),FIND("-",Tasks[[#This Row],[_Pred4Text]]&amp;"-"))-1)),""))</f>
        <v/>
      </c>
      <c r="DI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3" t="str">
        <f aca="false">IF(OR(Tasks[[#This Row],[Task Name]]="",Tasks[[#This Row],[_Resources]]=""),"",TRIM(MID(SUBSTITUTE(Tasks[[#This Row],[_Resources]],",",REPT(" ",99)),1,99)))</f>
        <v/>
      </c>
      <c r="DL80" s="43" t="str">
        <f aca="false">IF(Tasks[[#This Row],[_Res1Text]]="","",TRIM(MID(SUBSTITUTE(Tasks[[#This Row],[_Resources]],",",REPT(" ",99)),100,99)))</f>
        <v/>
      </c>
      <c r="DM80" s="43" t="str">
        <f aca="false">IF(Tasks[[#This Row],[_Res2Text]]="","",TRIM(MID(SUBSTITUTE(Tasks[[#This Row],[_Resources]],",",REPT(" ",99)),199,99)))</f>
        <v/>
      </c>
      <c r="DN80" s="43" t="str">
        <f aca="false">IF(Tasks[[#This Row],[_Res3Text]]="","",TRIM(MID(SUBSTITUTE(Tasks[[#This Row],[_Resources]],",",REPT(" ",99)),298,99)))</f>
        <v/>
      </c>
      <c r="DO80" s="43" t="n">
        <f aca="false">IF(Tasks[[#This Row],[_Res1Text]]="",0,IFERROR(MATCH(TRIM(LEFT(Tasks[[#This Row],[_Res1Text]],FIND("[",Tasks[[#This Row],[_Res1Text]]&amp;"[")-1)),res_Name,0),IFERROR(MATCH(TRIM(LEFT(Tasks[[#This Row],[_Res1Text]],FIND("[",Tasks[[#This Row],[_Res1Text]]&amp;"[")-1)),res_Initials,0),0)))</f>
        <v>0</v>
      </c>
      <c r="DP80" s="43" t="n">
        <f aca="false">IF(Tasks[[#This Row],[_Res2Text]]="",0,IFERROR(MATCH(TRIM(LEFT(Tasks[[#This Row],[_Res2Text]],FIND("[",Tasks[[#This Row],[_Res2Text]]&amp;"[")-1)),res_Name,0),IFERROR(MATCH(TRIM(LEFT(Tasks[[#This Row],[_Res2Text]],FIND("[",Tasks[[#This Row],[_Res2Text]]&amp;"[")-1)),res_Initials,0),0)))</f>
        <v>0</v>
      </c>
      <c r="DQ80" s="43" t="n">
        <f aca="false">IF(Tasks[[#This Row],[_Res3Text]]="",0,IFERROR(MATCH(TRIM(LEFT(Tasks[[#This Row],[_Res3Text]],FIND("[",Tasks[[#This Row],[_Res3Text]]&amp;"[")-1)),res_Name,0),IFERROR(MATCH(TRIM(LEFT(Tasks[[#This Row],[_Res3Text]],FIND("[",Tasks[[#This Row],[_Res3Text]]&amp;"[")-1)),res_Initials,0),0)))</f>
        <v>0</v>
      </c>
      <c r="DR80" s="43" t="n">
        <f aca="false">IF(Tasks[[#This Row],[_Res4Text]]="",0,IFERROR(MATCH(TRIM(LEFT(Tasks[[#This Row],[_Res4Text]],FIND("[",Tasks[[#This Row],[_Res4Text]]&amp;"[")-1)),res_Name,0),IFERROR(MATCH(TRIM(LEFT(Tasks[[#This Row],[_Res4Text]],FIND("[",Tasks[[#This Row],[_Res4Text]]&amp;"[")-1)),res_Initials,0),0)))</f>
        <v>0</v>
      </c>
      <c r="DS80" s="43" t="str">
        <f aca="false">IF(Tasks[[#This Row],[_Res1Text]]="","",IF(Tasks[[#This Row],[_Res1Row]]&gt;0,INDEX(res_Name,Tasks[[#This Row],[_Res1Row]]),TRIM(LEFT(Tasks[[#This Row],[_Res1Text]],FIND("[",Tasks[[#This Row],[_Res1Text]]&amp;"[")-1))))</f>
        <v/>
      </c>
      <c r="DT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3" t="n">
        <f aca="false">IF(NOT(Tasks[[#This Row],[_IsLeaf]]=1),0,(Tasks[[#This Row],[_Resource1]]&lt;&gt;"")+(Tasks[[#This Row],[_Res2]]&lt;&gt;"")+(Tasks[[#This Row],[_Res3]]&lt;&gt;"")+(Tasks[[#This Row],[_Res4]]&lt;&gt;""))</f>
        <v>0</v>
      </c>
      <c r="DV80" s="43" t="str">
        <f aca="false">IF(Tasks[[#This Row],[_Res2Text]]="","",IF(Tasks[[#This Row],[_Res2Row]]&gt;0,INDEX(res_Name,Tasks[[#This Row],[_Res2Row]]),TRIM(LEFT(Tasks[[#This Row],[_Res2Text]],FIND("[",Tasks[[#This Row],[_Res2Text]]&amp;"[")-1))))</f>
        <v/>
      </c>
      <c r="DW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3" t="n">
        <f aca="false">IF(OR(NOT(Tasks[[#This Row],[_IsLeaf]]=1),Tasks[[#This Row],[_Res2Row]]=0),0,N(Tasks[[#This Row],[_Days]])*HoursPerDay*IF(Tasks[[#This Row],[_Res2Units]]="",DefaultUnits,Tasks[[#This Row],[_Res2Units]]))</f>
        <v>0</v>
      </c>
      <c r="DY80" s="43" t="n">
        <f aca="false">IF(AND(AND(Tasks[[#This Row],[_IsLeaf]]=1,Tasks[[#This Row],[_LeafTotalWork]]&gt;0),Tasks[[#This Row],[_Res2Work]]&gt;0),Tasks[[#This Row],[_Res2Work]]/(Tasks[[#This Row],[_FinishWorkday]]-Tasks[[#This Row],[_StartWorkday]]+1),0)</f>
        <v>0</v>
      </c>
      <c r="DZ80" s="43" t="n">
        <f aca="false">Tasks[[#This Row],[_Res2WorkPerWD]]*MAX(0,Tasks[[#This Row],[_StartWorkday]]-1)</f>
        <v>0</v>
      </c>
      <c r="EA80" s="43" t="n">
        <f aca="false">Tasks[[#This Row],[_Res2Work]]*Tasks[[#This Row],[_LeafProgress]]</f>
        <v>0</v>
      </c>
      <c r="EB80" s="43" t="str">
        <f aca="false">IF(Tasks[[#This Row],[_Res3Text]]="","",IF(Tasks[[#This Row],[_Res3Row]]&gt;0,INDEX(res_Name,Tasks[[#This Row],[_Res3Row]]),TRIM(LEFT(Tasks[[#This Row],[_Res3Text]],FIND("[",Tasks[[#This Row],[_Res3Text]]&amp;"[")-1))))</f>
        <v/>
      </c>
      <c r="EC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3" t="n">
        <f aca="false">IF(OR(NOT(Tasks[[#This Row],[_IsLeaf]]=1),Tasks[[#This Row],[_Res3Row]]=0),0,N(Tasks[[#This Row],[_Days]])*HoursPerDay*IF(Tasks[[#This Row],[_Res3Units]]="",DefaultUnits,Tasks[[#This Row],[_Res3Units]]))</f>
        <v>0</v>
      </c>
      <c r="EE80" s="43" t="n">
        <f aca="false">IF(AND(AND(Tasks[[#This Row],[_IsLeaf]]=1,Tasks[[#This Row],[_LeafTotalWork]]&gt;0),Tasks[[#This Row],[_Res3Work]]&gt;0),Tasks[[#This Row],[_Res3Work]]/(Tasks[[#This Row],[_FinishWorkday]]-Tasks[[#This Row],[_StartWorkday]]+1),0)</f>
        <v>0</v>
      </c>
      <c r="EF80" s="43" t="n">
        <f aca="false">Tasks[[#This Row],[_Res3WorkPerWD]]*MAX(0,Tasks[[#This Row],[_StartWorkday]]-1)</f>
        <v>0</v>
      </c>
      <c r="EG80" s="43" t="n">
        <f aca="false">Tasks[[#This Row],[_Res3Work]]*Tasks[[#This Row],[_LeafProgress]]</f>
        <v>0</v>
      </c>
      <c r="EH80" s="43" t="str">
        <f aca="false">IF(Tasks[[#This Row],[_Res4Text]]="","",IF(Tasks[[#This Row],[_Res4Row]]&gt;0,INDEX(res_Name,Tasks[[#This Row],[_Res4Row]]),TRIM(LEFT(Tasks[[#This Row],[_Res4Text]],FIND("[",Tasks[[#This Row],[_Res4Text]]&amp;"[")-1))))</f>
        <v/>
      </c>
      <c r="EI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3" t="n">
        <f aca="false">IF(OR(NOT(Tasks[[#This Row],[_IsLeaf]]=1),Tasks[[#This Row],[_Res4Row]]=0),0,N(Tasks[[#This Row],[_Days]])*HoursPerDay*IF(Tasks[[#This Row],[_Res4Units]]="",DefaultUnits,Tasks[[#This Row],[_Res4Units]]))</f>
        <v>0</v>
      </c>
      <c r="EK80" s="43" t="n">
        <f aca="false">IF(AND(AND(Tasks[[#This Row],[_IsLeaf]]=1,Tasks[[#This Row],[_LeafTotalWork]]&gt;0),Tasks[[#This Row],[_Res4Work]]&gt;0),Tasks[[#This Row],[_Res4Work]]/(Tasks[[#This Row],[_FinishWorkday]]-Tasks[[#This Row],[_StartWorkday]]+1),0)</f>
        <v>0</v>
      </c>
      <c r="EL80" s="43" t="n">
        <f aca="false">Tasks[[#This Row],[_Res4WorkPerWD]]*MAX(0,Tasks[[#This Row],[_StartWorkday]]-1)</f>
        <v>0</v>
      </c>
      <c r="EM80" s="43" t="n">
        <f aca="false">Tasks[[#This Row],[_Res4Work]]*Tasks[[#This Row],[_LeafProgress]]</f>
        <v>0</v>
      </c>
      <c r="EN80" s="43" t="n">
        <f aca="false">IF(ISNUMBER(Tasks[[#This Row],[% Complete]]),Tasks[[#This Row],[% Complete]],IF(Tasks[[#This Row],[Stage]]="",0,IFERROR(INDEX(stg_Pct,MATCH(Tasks[[#This Row],[Stage]],stg_Name,0)),0)))</f>
        <v>0</v>
      </c>
      <c r="EO80" s="43" t="n">
        <f aca="false">IF(NOT(Tasks[[#This Row],[_IsLeaf]]=1),0,IF(N(Tasks[[#This Row],[Actual Finish]])&gt;0,1,MIN(1,Tasks[[#This Row],[_Pct]])))</f>
        <v>0</v>
      </c>
      <c r="EP80" s="43" t="n">
        <f aca="false">IF(OR(NOT(Tasks[[#This Row],[_IsLeaf]]=1),Tasks[[#This Row],[_Res1Row]]=0),0,N(Tasks[[#This Row],[_Days]])*HoursPerDay*IF(Tasks[[#This Row],[_Units1]]="",DefaultUnits,Tasks[[#This Row],[_Units1]]))</f>
        <v>0</v>
      </c>
      <c r="EQ80" s="43" t="n">
        <f aca="false">Tasks[[#This Row],[_LeafWork]]+Tasks[[#This Row],[_Res2Work]]+Tasks[[#This Row],[_Res3Work]]+Tasks[[#This Row],[_Res4Work]]</f>
        <v>0</v>
      </c>
      <c r="ER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3" t="n">
        <f aca="false">IF(NOT(Tasks[[#This Row],[_IsLeaf]]=1),0,MAX(_xlfn.MAXIFS(Tasks[_Row],Tasks[_Pred1UID],Tasks[[#This Row],[UID]]),_xlfn.MAXIFS(Tasks[_Row],Tasks[_Pred2UID],Tasks[[#This Row],[UID]]),_xlfn.MAXIFS(Tasks[_Row],Tasks[_Pred3UID],Tasks[[#This Row],[UID]]),_xlfn.MAXIFS(Tasks[_Row],Tasks[_Pred4UID],Tasks[[#This Row],[UID]])))</f>
        <v>0</v>
      </c>
      <c r="FA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91" t="str">
        <f aca="false">IF(NOT(Tasks[[#This Row],[_IsLeaf]]=1),"",IF(N(Tasks[[#This Row],[_Days]])&lt;=0,Tasks[[#This Row],[_LeafLateFinish]],WORKDAY.INTL(Tasks[[#This Row],[_LeafLateFinish]],-(Tasks[[#This Row],[_Days]]-1),WorkWeek,Holidays)))</f>
        <v/>
      </c>
      <c r="FD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0" s="90" t="b">
        <f aca="false">AND(Tasks[[#This Row],[_IsLeaf]]=1,Tasks[[#This Row],[_LeafProgress]]&lt;1,N(Tasks[[#This Row],[_LeafTotalSlack]])&lt;=CriticalSlackDays)</f>
        <v>0</v>
      </c>
      <c r="FF80" s="43" t="n">
        <f aca="false">IF(AND(Tasks[[#This Row],[_IsLeaf]]=1,Tasks[[#This Row],[_ConstraintCode]]=1,Tasks[[#This Row],[Mode]]&lt;&gt;"Manual",N(Tasks[[#This Row],[Actual Start]])=0),MAX(0,N(Tasks[[#This Row],[Free Slack]])),0)</f>
        <v>0</v>
      </c>
      <c r="FG80" s="91" t="str">
        <f aca="false">IF(NOT(Tasks[[#This Row],[_IsLeaf]]=1),"",IF(Tasks[[#This Row],[_AlapShift]]=0,Tasks[[#This Row],[_LeafCalcStart]],WORKDAY.INTL(Tasks[[#This Row],[_LeafCalcStart]],Tasks[[#This Row],[_AlapShift]],WorkWeek,Holidays)))</f>
        <v/>
      </c>
      <c r="FH80" s="91" t="str">
        <f aca="false">IF(NOT(Tasks[[#This Row],[_IsLeaf]]=1),"",IF(Tasks[[#This Row],[_AlapShift]]=0,Tasks[[#This Row],[_LeafCalcFinish]],WORKDAY.INTL(Tasks[[#This Row],[_LeafCalcFinish]],Tasks[[#This Row],[_AlapShift]],WorkWeek,Holidays)))</f>
        <v/>
      </c>
      <c r="FI80" s="91" t="str">
        <f aca="false">IF(NOT(Tasks[[#This Row],[_IsLeaf]]=1),"",IF(Tasks[[#This Row],[_AlapShift]]=0,Tasks[[#This Row],[_LeafFcstStart]],WORKDAY.INTL(Tasks[[#This Row],[_LeafFcstStart]],Tasks[[#This Row],[_AlapShift]],WorkWeek,Holidays)))</f>
        <v/>
      </c>
      <c r="FJ80" s="91" t="str">
        <f aca="false">IF(NOT(Tasks[[#This Row],[_IsLeaf]]=1),"",IF(Tasks[[#This Row],[_AlapShift]]=0,Tasks[[#This Row],[_LeafFcstFinish]],WORKDAY.INTL(Tasks[[#This Row],[_LeafFcstFinish]],Tasks[[#This Row],[_AlapShift]],WorkWeek,Holidays)))</f>
        <v/>
      </c>
      <c r="FK80" s="91" t="str">
        <f aca="false">IF(Tasks[[#This Row],[Task Name]]="","",IF(Tasks[[#This Row],[_IsSummary]],MIN(INDEX(Tasks[_ShownCalcStart],Tasks[[#This Row],[_Row]]+1):INDEX(Tasks[_ShownCalcStart],Tasks[[#This Row],[_Row]]+Tasks[[#This Row],[_Descendants]])),Tasks[[#This Row],[_ShownCalcStart]]))</f>
        <v/>
      </c>
      <c r="FL80" s="91" t="str">
        <f aca="false">IF(Tasks[[#This Row],[Task Name]]="","",IF(Tasks[[#This Row],[_IsSummary]],MAX(INDEX(Tasks[_ShownCalcFinish],Tasks[[#This Row],[_Row]]+1):INDEX(Tasks[_ShownCalcFinish],Tasks[[#This Row],[_Row]]+Tasks[[#This Row],[_Descendants]])),Tasks[[#This Row],[_ShownCalcFinish]]))</f>
        <v/>
      </c>
      <c r="FM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0" s="43" t="n">
        <f aca="false">IF(AND(Tasks[[#This Row],[_IsLeaf]]=1,Tasks[[#This Row],[_LeafTotalWork]]&gt;0),NETWORKDAYS.INTL(ProjectStart,Tasks[[#This Row],[_ShownFcstStart]],WorkWeek,Holidays),0)</f>
        <v>0</v>
      </c>
      <c r="FZ80" s="43" t="n">
        <f aca="false">IF(AND(Tasks[[#This Row],[_IsLeaf]]=1,Tasks[[#This Row],[_LeafTotalWork]]&gt;0),MAX(Tasks[[#This Row],[_StartWorkday]],NETWORKDAYS.INTL(ProjectStart,Tasks[[#This Row],[_ShownFcstFinish]],WorkWeek,Holidays)),0)</f>
        <v>0</v>
      </c>
      <c r="GA80" s="43" t="n">
        <f aca="false">IF(AND(Tasks[[#This Row],[_IsLeaf]]=1,Tasks[[#This Row],[_LeafTotalWork]]&gt;0),Tasks[[#This Row],[_LeafWork]]/(Tasks[[#This Row],[_FinishWorkday]]-Tasks[[#This Row],[_StartWorkday]]+1),0)</f>
        <v>0</v>
      </c>
      <c r="GB80" s="43" t="n">
        <f aca="false">Tasks[[#This Row],[_WorkPerWorkday]]*(Tasks[[#This Row],[_StartWorkday]]-1)</f>
        <v>-0</v>
      </c>
      <c r="GC80" s="43" t="n">
        <f aca="false">IF(Tasks[[#This Row],[_IsLeaf]]=1,MAX(N(Tasks[[#This Row],[_Days]]),0.1),0)</f>
        <v>0</v>
      </c>
      <c r="GD80" s="43" t="n">
        <f aca="false">Tasks[[#This Row],[_WeightDur]]*Tasks[[#This Row],[_LeafProgress]]</f>
        <v>0</v>
      </c>
      <c r="GE80" s="43" t="n">
        <f aca="false">Tasks[[#This Row],[_WeightDur]]*Tasks[[#This Row],[_PlannedPct]]</f>
        <v>0</v>
      </c>
      <c r="GF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3" t="str">
        <f aca="false">IF(AND(Tasks[[#This Row],[_IsLeaf]]=1,N(Tasks[[#This Row],[_Days]])=0,Tasks[[#This Row],[_LeafProgress]]&lt;1),Tasks[[#This Row],[_ShownFcstFinish]]+Tasks[[#This Row],[_Row]]/100000,"")</f>
        <v/>
      </c>
      <c r="GH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0" s="43" t="str">
        <f aca="false">IF(Tasks[[#This Row],[Task Name]]="","",LEFT(Tasks[[#This Row],[WBS]],FIND(".",Tasks[[#This Row],[WBS]]&amp;".")-1))</f>
        <v/>
      </c>
      <c r="GJ80" s="43" t="str">
        <f aca="false">IF(AND(Tasks[[#This Row],[Task Name]]&lt;&gt;"",Tasks[[#This Row],[_Level]]=1),Tasks[[#This Row],[_Row]],"")</f>
        <v/>
      </c>
      <c r="GK80" s="43" t="str">
        <f aca="false">IF(AND(Tasks[[#This Row],[_IsLeaf]]=1,N(Tasks[[#This Row],[_Days]])=0),Tasks[[#This Row],[Planned Finish]]+Tasks[[#This Row],[_Row]]/100000,"")</f>
        <v/>
      </c>
      <c r="GL80" s="43" t="str">
        <f aca="false">IF(AND(Tasks[[#This Row],[_IsLeaf]]=1,Tasks[[#This Row],[_LeafProgress]]&lt;1,OR(N(Tasks[[#This Row],[Finish Var]])&gt;0,Tasks[[#This Row],[Status]]="Late Start")),MAX(0,Tasks[[#This Row],[Finish Var]])+1-Tasks[[#This Row],[_Row]]/1000000,"")</f>
        <v/>
      </c>
      <c r="GM80" s="43" t="str">
        <f aca="false">IF(AND(Tasks[[#This Row],[_IsLeaf]]=1,N(Tasks[[#This Row],[Actual Start]])=0,Tasks[[#This Row],[_ShownFcstStart]]&gt;=StatusDate,Tasks[[#This Row],[_ShownFcstStart]]&lt;=LookaheadEnd),Tasks[[#This Row],[_ShownFcstStart]]+Tasks[[#This Row],[_Row]]/100000,"")</f>
        <v/>
      </c>
      <c r="GN80" s="43" t="str">
        <f aca="false">IF(AND(Tasks[[#This Row],[_IsLeaf]]=1,Tasks[[#This Row],[_LeafProgress]]&lt;1,Tasks[[#This Row],[_ShownFcstFinish]]&gt;=StatusDate,Tasks[[#This Row],[_ShownFcstFinish]]&lt;=LookaheadEnd),Tasks[[#This Row],[_ShownFcstFinish]]+Tasks[[#This Row],[_Row]]/100000,"")</f>
        <v/>
      </c>
      <c r="GO80" s="43" t="str">
        <f aca="false">IF(Tasks[[#This Row],[_LeafCritical]],Tasks[[#This Row],[_ShownFcstStart]]+Tasks[[#This Row],[_Row]]/100000,"")</f>
        <v/>
      </c>
      <c r="GP80" s="43" t="n">
        <f aca="false">Tasks[[#This Row],[_LeafWork]]*Tasks[[#This Row],[_LeafProgress]]</f>
        <v>0</v>
      </c>
      <c r="GQ80" s="91" t="str">
        <f aca="false">IF(AND(Tasks[[#This Row],[_IsLeaf]]=1,Tasks[[#This Row],[_LeafProgress]]&gt;=1),IF(N(Tasks[[#This Row],[Actual Finish]])&gt;0,Tasks[[#This Row],[Actual Finish]],Tasks[[#This Row],[_ShownFcstFinish]]),"")</f>
        <v/>
      </c>
      <c r="GR80" s="43" t="n">
        <f aca="false">IF(Tasks[[#This Row],[_IsLeaf]]=1,N(Tasks[[#This Row],[Story Points]]),0)</f>
        <v>0</v>
      </c>
      <c r="GS80" s="43" t="str">
        <f aca="false">""</f>
        <v/>
      </c>
      <c r="GT80" s="90" t="b">
        <f aca="false">IF(Tasks[[#This Row],[Task Name]]="",FALSE(),AND(Tasks[[#This Row],[_IsLeaf]]=1,N(Tasks[[#This Row],[_Days]])=0))</f>
        <v>0</v>
      </c>
      <c r="GU80" s="91" t="n">
        <f aca="false">IF(Tasks[[#This Row],[Task Name]]="",0,IF(AND(Tasks[[#This Row],[_IsLeaf]]=1,NOT(Tasks[[#This Row],[_IsMilestone]]),N(Tasks[[#This Row],[Progress]])&gt;0),Tasks[[#This Row],[Start]],0))</f>
        <v>0</v>
      </c>
      <c r="GV80" s="91" t="n">
        <f aca="false">IF(Tasks[[#This Row],[_DoneFrom]]=0,0,IF(Tasks[[#This Row],[Progress]]&gt;=1,Tasks[[#This Row],[Finish]],MAX(Tasks[[#This Row],[_DoneFrom]],Tasks[[#This Row],[Start]]+ROUND((Tasks[[#This Row],[Finish]]-Tasks[[#This Row],[Start]]+1)*Tasks[[#This Row],[Progress]],0)-1)))</f>
        <v>0</v>
      </c>
      <c r="GW80" s="91" t="n">
        <f aca="false">IF(Tasks[[#This Row],[Task Name]]="",0,IF(OR(NOT(Tasks[[#This Row],[_IsLeaf]]=1),Tasks[[#This Row],[_IsMilestone]],N(Tasks[[#This Row],[Progress]])&gt;=1),0,IF(Tasks[[#This Row],[_DoneTo]]&gt;0,Tasks[[#This Row],[_DoneTo]]+1,Tasks[[#This Row],[Start]])))</f>
        <v>0</v>
      </c>
      <c r="GX80" s="91" t="n">
        <f aca="false">IF(Tasks[[#This Row],[_RemFrom]]=0,0,Tasks[[#This Row],[Finish]])</f>
        <v>0</v>
      </c>
      <c r="GY80" s="90" t="b">
        <f aca="false">IF(Tasks[[#This Row],[Task Name]]="",FALSE(),OR(NOT(BaselineSet),N(Tasks[[#This Row],[Baseline Start]])&gt;0))</f>
        <v>0</v>
      </c>
      <c r="GZ8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92" t="str">
        <f aca="false">IF(Tasks[[#This Row],[_IsLeaf]]=1,Tasks[[#This Row],[_Row]],"")</f>
        <v/>
      </c>
      <c r="HD80" s="92" t="str">
        <f aca="false">IFERROR(INDEX(Tasks[UID],SMALL(Tasks[_PickKey],Tasks[[#This Row],[_Row]]))&amp;" "&amp;INDEX(Tasks[Task Name],SMALL(Tasks[_PickKey],Tasks[[#This Row],[_Row]])),"")</f>
        <v/>
      </c>
      <c r="HE80" s="43" t="str">
        <f aca="false">IF(Tasks[[#This Row],[Task Name]]="","",IF(Tasks[[#This Row],[_IsSummary]],NETWORKDAYS.INTL(Tasks[[#This Row],[Start]],Tasks[[#This Row],[Finish]],WorkWeek,Holidays),N(Tasks[[#This Row],[_Days]])))</f>
        <v/>
      </c>
      <c r="HF80" s="43" t="n">
        <f aca="false">IF(Tasks[[#This Row],[Expected]]="",0,((Tasks[[#This Row],[Pessimistic]]-Tasks[[#This Row],[Optimistic]])/6)^2)</f>
        <v>0</v>
      </c>
      <c r="HG80" s="43" t="n">
        <f aca="false">IF(Tasks[[#This Row],[Expected]]="",0,Tasks[[#This Row],[Expected]]-N(Tasks[[#This Row],[_Days]]))</f>
        <v>0</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4"/>
      <c r="U81" s="23"/>
      <c r="V81" s="84"/>
      <c r="W81" s="23"/>
      <c r="X81" s="84"/>
      <c r="Y81" s="23"/>
      <c r="Z81" s="84"/>
      <c r="AA81" s="23"/>
      <c r="AB81" s="23"/>
      <c r="AC81" s="7"/>
      <c r="AD81" s="7"/>
      <c r="AE81" s="63" t="str">
        <f aca="false">IF(Tasks[[#This Row],[Task Name]]="","",IF(Tasks[[#This Row],[_IsSummary]],MIN(INDEX(Tasks[_ShownFcstStart],Tasks[[#This Row],[_Row]]+1):INDEX(Tasks[_ShownFcstStart],Tasks[[#This Row],[_Row]]+Tasks[[#This Row],[_Descendants]])),Tasks[[#This Row],[_ShownFcstStart]]))</f>
        <v/>
      </c>
      <c r="AF81" s="63"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1" s="7"/>
      <c r="AK81" s="22"/>
      <c r="AL81" s="23"/>
      <c r="AM81" s="7"/>
      <c r="AN81" s="47"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3" t="str">
        <f aca="false">IF(Tasks[[#This Row],[Task Name]]="","",IF(N(Tasks[[#This Row],[Baseline Start]])&gt;0,Tasks[[#This Row],[Baseline Start]],Tasks[[#This Row],[_CalcStart]]))</f>
        <v/>
      </c>
      <c r="AR81" s="63" t="str">
        <f aca="false">IF(Tasks[[#This Row],[Task Name]]="","",IF(N(Tasks[[#This Row],[Baseline Finish]])&gt;0,Tasks[[#This Row],[Baseline Finish]],Tasks[[#This Row],[_CalcFinish]]))</f>
        <v/>
      </c>
      <c r="AS81" s="47" t="str">
        <f aca="false">IF(Tasks[[#This Row],[Task Name]]="","",IF(Tasks[[#This Row],[Start]]&gt;=Tasks[[#This Row],[Planned Start]],NETWORKDAYS.INTL(Tasks[[#This Row],[Planned Start]],Tasks[[#This Row],[Start]],WorkWeek,Holidays)-1,1-NETWORKDAYS.INTL(Tasks[[#This Row],[Start]],Tasks[[#This Row],[Planned Start]],WorkWeek,Holidays)))</f>
        <v/>
      </c>
      <c r="AT81" s="63" t="str">
        <f aca="false">IF(Tasks[[#This Row],[Task Name]]="","",IF(Tasks[[#This Row],[_IsSummary]],MIN(INDEX(Tasks[_LeafLateStart],Tasks[[#This Row],[_Row]]+1):INDEX(Tasks[_LeafLateStart],Tasks[[#This Row],[_Row]]+Tasks[[#This Row],[_Descendants]])),Tasks[[#This Row],[_LeafLateStart]]))</f>
        <v/>
      </c>
      <c r="AU81" s="63" t="str">
        <f aca="false">IF(Tasks[[#This Row],[Task Name]]="","",IF(Tasks[[#This Row],[_IsSummary]],MAX(INDEX(Tasks[_LeafLateFinish],Tasks[[#This Row],[_Row]]+1):INDEX(Tasks[_LeafLateFinish],Tasks[[#This Row],[_Row]]+Tasks[[#This Row],[_Descendants]])),Tasks[[#This Row],[_LeafLateFinish]]))</f>
        <v/>
      </c>
      <c r="AV81" s="47"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5"/>
      <c r="BA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6"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7"/>
      <c r="BJ81" s="22"/>
      <c r="BK81" s="47" t="str">
        <f aca="false">IF(OR(Tasks[[#This Row],[Task Name]]="",Tasks[[#This Row],[Baseline Duration]]=""),"",Tasks[[#This Row],[_SpanDays]]-N(Tasks[[#This Row],[Baseline Duration]]))</f>
        <v/>
      </c>
      <c r="BL81" s="86" t="str">
        <f aca="false">IF(OR(Tasks[[#This Row],[Task Name]]="",Tasks[[#This Row],[Baseline Work]]=""),"",Tasks[[#This Row],[Work]]-N(Tasks[[#This Row],[Baseline Work]]))</f>
        <v/>
      </c>
      <c r="BM81" s="63" t="str">
        <f aca="false">IF(Tasks[[#This Row],[Task Name]]="","",IF(OR(TakeBaseline="Yes",N(Tasks[[#This Row],[Baseline Start]])=0),Tasks[[#This Row],[Start]],Tasks[[#This Row],[Baseline Start]]))</f>
        <v/>
      </c>
      <c r="BN81" s="63" t="str">
        <f aca="false">IF(Tasks[[#This Row],[Task Name]]="","",IF(OR(TakeBaseline="Yes",N(Tasks[[#This Row],[Baseline Finish]])=0),Tasks[[#This Row],[Finish]],Tasks[[#This Row],[Baseline Finish]]))</f>
        <v/>
      </c>
      <c r="BO81" s="21" t="str">
        <f aca="false">IF(Tasks[[#This Row],[Task Name]]="","",IF(OR(TakeBaseline="Yes",N(Tasks[[#This Row],[Baseline Duration]])=0),Tasks[[#This Row],[_SpanDays]],Tasks[[#This Row],[Baseline Duration]]))</f>
        <v/>
      </c>
      <c r="BP81" s="86" t="str">
        <f aca="false">IF(Tasks[[#This Row],[Task Name]]="","",IF(OR(TakeBaseline="Yes",N(Tasks[[#This Row],[Baseline Work]])=0),Tasks[[#This Row],[Work]],Tasks[[#This Row],[Baseline Work]]))</f>
        <v/>
      </c>
      <c r="BQ81" s="7"/>
      <c r="BR81" s="7"/>
      <c r="BS81" s="22"/>
      <c r="BT81" s="88"/>
      <c r="BU81" s="23"/>
      <c r="BV81" s="23"/>
      <c r="BW81" s="23"/>
      <c r="BX81" s="89" t="str">
        <f aca="false">IF(AND(Tasks[[#This Row],[_IsLeaf]]=1,ISNUMBER(Tasks[[#This Row],[Optimistic]]),ISNUMBER(Tasks[[#This Row],[Pessimistic]])),ROUND((Tasks[[#This Row],[Optimistic]]+4*N(Tasks[[#This Row],[_Days]])+Tasks[[#This Row],[Pessimistic]])/6,1),"")</f>
        <v/>
      </c>
      <c r="BY81" s="87"/>
      <c r="BZ81" s="87"/>
      <c r="CA81" s="22"/>
      <c r="CB81" s="43" t="str">
        <f aca="false">IF(Tasks[[#This Row],[Task Name]]="","",MAX(1,N(Tasks[[#This Row],[Level]])))</f>
        <v/>
      </c>
      <c r="CC81" s="43" t="n">
        <f aca="false">ROW()-ROW(Tasks[[#Headers],[ID]])</f>
        <v>76</v>
      </c>
      <c r="CD81" s="43" t="n">
        <f aca="false">IF(OR(Tasks[[#This Row],[Task Name]]="",Tasks[[#This Row],[_Level]]&lt;=1),0,IFERROR(LOOKUP(2,1/(Tasks[[#Headers],[_Level]]:Tasks[[#This Row],[_Level]]=Tasks[[#This Row],[_Level]]-1),ROW(Tasks[[#Headers],[_Level]]:Tasks[[#This Row],[_Level]])),0))</f>
        <v>0</v>
      </c>
      <c r="CE81" s="43" t="n">
        <f aca="false">IFERROR(N(INDEX(Tasks[_Level],Tasks[[#This Row],[_Row]]+1)),0)</f>
        <v>0</v>
      </c>
      <c r="CF81" s="90" t="b">
        <f aca="false">AND(Tasks[[#This Row],[Task Name]]&lt;&gt;"",Tasks[[#This Row],[_NextLevel]]&gt;Tasks[[#This Row],[_Level]])</f>
        <v>0</v>
      </c>
      <c r="CG81" s="43" t="n">
        <f aca="false">IF(Tasks[[#This Row],[_IsSummary]],COUNTIF(Tasks[WBS],Tasks[[#This Row],[WBS]]&amp;".*"),0)</f>
        <v>0</v>
      </c>
      <c r="CH81" s="43" t="n">
        <f aca="false">IF(AND(Tasks[[#This Row],[Task Name]]&lt;&gt;"",NOT(Tasks[[#This Row],[_IsSummary]])),1,0)</f>
        <v>0</v>
      </c>
      <c r="CI81" s="43" t="n">
        <f aca="false">IF(N(Tasks[[#This Row],[_Pred1UID]])=0,0,IFERROR(MATCH(Tasks[[#This Row],[_Pred1UID]],Tasks[UID],0),-1))</f>
        <v>0</v>
      </c>
      <c r="CJ81" s="43" t="n">
        <f aca="false">IF(N(Tasks[[#This Row],[_Pred2UID]])=0,0,IFERROR(MATCH(Tasks[[#This Row],[_Pred2UID]],Tasks[UID],0),-1))</f>
        <v>0</v>
      </c>
      <c r="CK81" s="43" t="n">
        <f aca="false">IF(N(Tasks[[#This Row],[_Pred3UID]])=0,0,IFERROR(MATCH(Tasks[[#This Row],[_Pred3UID]],Tasks[UID],0),-1))</f>
        <v>0</v>
      </c>
      <c r="CL81" s="43" t="n">
        <f aca="false">IF(N(Tasks[[#This Row],[_Pred4UID]])=0,0,IFERROR(MATCH(Tasks[[#This Row],[_Pred4UID]],Tasks[UID],0),-1))</f>
        <v>0</v>
      </c>
      <c r="CM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1" s="91" t="n">
        <f aca="false">IF(OR(Tasks[[#This Row],[_ConstraintCode]]=2,Tasks[[#This Row],[_ConstraintCode]]=3,Tasks[[#This Row],[_ConstraintCode]]=4,Tasks[[#This Row],[_ConstraintCode]]=6),Tasks[[#This Row],[_ConstraintStart]],0)</f>
        <v>0</v>
      </c>
      <c r="CP81" s="91" t="n">
        <f aca="false">IF(OR(Tasks[[#This Row],[_ConstraintCode]]=2,Tasks[[#This Row],[_ConstraintCode]]=3,Tasks[[#This Row],[_ConstraintCode]]=5,Tasks[[#This Row],[_ConstraintCode]]=7),Tasks[[#This Row],[_ConstraintStart]],2958465)</f>
        <v>2958465</v>
      </c>
      <c r="CQ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91" t="str">
        <f aca="false">IF(NOT(Tasks[[#This Row],[_IsLeaf]]=1),"",IF(N(Tasks[[#This Row],[_Days]])&lt;=0,Tasks[[#This Row],[_LeafCalcStart]],WORKDAY.INTL(Tasks[[#This Row],[_LeafCalcStart]],Tasks[[#This Row],[_Days]]-1,WorkWeek,Holidays)))</f>
        <v/>
      </c>
      <c r="CS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3" t="str">
        <f aca="false">IF(Tasks[[#This Row],[_Predecessors]]="","",TRIM(MID(SUBSTITUTE(SUBSTITUTE(SUBSTITUTE(UPPER(Tasks[[#This Row],[_Predecessors]]),";",",")," ",""),",",REPT(" ",99)),1,99)))</f>
        <v/>
      </c>
      <c r="CV81" s="43" t="str">
        <f aca="false">IF(Tasks[[#This Row],[_Pred1Text]]="","",IFERROR(VALUE(LEFT(Tasks[[#This Row],[_Pred1Text]],MIN(FIND("F",Tasks[[#This Row],[_Pred1Text]]&amp;"F"),FIND("S",Tasks[[#This Row],[_Pred1Text]]&amp;"S"),FIND("+",Tasks[[#This Row],[_Pred1Text]]&amp;"+"),FIND("-",Tasks[[#This Row],[_Pred1Text]]&amp;"-"))-1)),""))</f>
        <v/>
      </c>
      <c r="CW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3" t="str">
        <f aca="false">IF(Tasks[[#This Row],[_Pred1Text]]="","",TRIM(MID(SUBSTITUTE(SUBSTITUTE(SUBSTITUTE(UPPER(Tasks[[#This Row],[_Predecessors]]),";",",")," ",""),",",REPT(" ",99)),100,99)))</f>
        <v/>
      </c>
      <c r="CZ81" s="43" t="str">
        <f aca="false">IF(Tasks[[#This Row],[_Pred2Text]]="","",IFERROR(VALUE(LEFT(Tasks[[#This Row],[_Pred2Text]],MIN(FIND("F",Tasks[[#This Row],[_Pred2Text]]&amp;"F"),FIND("S",Tasks[[#This Row],[_Pred2Text]]&amp;"S"),FIND("+",Tasks[[#This Row],[_Pred2Text]]&amp;"+"),FIND("-",Tasks[[#This Row],[_Pred2Text]]&amp;"-"))-1)),""))</f>
        <v/>
      </c>
      <c r="DA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3" t="str">
        <f aca="false">IF(Tasks[[#This Row],[_Pred2Text]]="","",TRIM(MID(SUBSTITUTE(SUBSTITUTE(SUBSTITUTE(UPPER(Tasks[[#This Row],[_Predecessors]]),";",",")," ",""),",",REPT(" ",99)),199,99)))</f>
        <v/>
      </c>
      <c r="DD81" s="43" t="str">
        <f aca="false">IF(Tasks[[#This Row],[_Pred3Text]]="","",IFERROR(VALUE(LEFT(Tasks[[#This Row],[_Pred3Text]],MIN(FIND("F",Tasks[[#This Row],[_Pred3Text]]&amp;"F"),FIND("S",Tasks[[#This Row],[_Pred3Text]]&amp;"S"),FIND("+",Tasks[[#This Row],[_Pred3Text]]&amp;"+"),FIND("-",Tasks[[#This Row],[_Pred3Text]]&amp;"-"))-1)),""))</f>
        <v/>
      </c>
      <c r="DE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3" t="str">
        <f aca="false">IF(Tasks[[#This Row],[_Pred3Text]]="","",TRIM(MID(SUBSTITUTE(SUBSTITUTE(SUBSTITUTE(UPPER(Tasks[[#This Row],[_Predecessors]]),";",",")," ",""),",",REPT(" ",99)),298,99)))</f>
        <v/>
      </c>
      <c r="DH81" s="43" t="str">
        <f aca="false">IF(Tasks[[#This Row],[_Pred4Text]]="","",IFERROR(VALUE(LEFT(Tasks[[#This Row],[_Pred4Text]],MIN(FIND("F",Tasks[[#This Row],[_Pred4Text]]&amp;"F"),FIND("S",Tasks[[#This Row],[_Pred4Text]]&amp;"S"),FIND("+",Tasks[[#This Row],[_Pred4Text]]&amp;"+"),FIND("-",Tasks[[#This Row],[_Pred4Text]]&amp;"-"))-1)),""))</f>
        <v/>
      </c>
      <c r="DI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3" t="str">
        <f aca="false">IF(OR(Tasks[[#This Row],[Task Name]]="",Tasks[[#This Row],[_Resources]]=""),"",TRIM(MID(SUBSTITUTE(Tasks[[#This Row],[_Resources]],",",REPT(" ",99)),1,99)))</f>
        <v/>
      </c>
      <c r="DL81" s="43" t="str">
        <f aca="false">IF(Tasks[[#This Row],[_Res1Text]]="","",TRIM(MID(SUBSTITUTE(Tasks[[#This Row],[_Resources]],",",REPT(" ",99)),100,99)))</f>
        <v/>
      </c>
      <c r="DM81" s="43" t="str">
        <f aca="false">IF(Tasks[[#This Row],[_Res2Text]]="","",TRIM(MID(SUBSTITUTE(Tasks[[#This Row],[_Resources]],",",REPT(" ",99)),199,99)))</f>
        <v/>
      </c>
      <c r="DN81" s="43" t="str">
        <f aca="false">IF(Tasks[[#This Row],[_Res3Text]]="","",TRIM(MID(SUBSTITUTE(Tasks[[#This Row],[_Resources]],",",REPT(" ",99)),298,99)))</f>
        <v/>
      </c>
      <c r="DO81" s="43" t="n">
        <f aca="false">IF(Tasks[[#This Row],[_Res1Text]]="",0,IFERROR(MATCH(TRIM(LEFT(Tasks[[#This Row],[_Res1Text]],FIND("[",Tasks[[#This Row],[_Res1Text]]&amp;"[")-1)),res_Name,0),IFERROR(MATCH(TRIM(LEFT(Tasks[[#This Row],[_Res1Text]],FIND("[",Tasks[[#This Row],[_Res1Text]]&amp;"[")-1)),res_Initials,0),0)))</f>
        <v>0</v>
      </c>
      <c r="DP81" s="43" t="n">
        <f aca="false">IF(Tasks[[#This Row],[_Res2Text]]="",0,IFERROR(MATCH(TRIM(LEFT(Tasks[[#This Row],[_Res2Text]],FIND("[",Tasks[[#This Row],[_Res2Text]]&amp;"[")-1)),res_Name,0),IFERROR(MATCH(TRIM(LEFT(Tasks[[#This Row],[_Res2Text]],FIND("[",Tasks[[#This Row],[_Res2Text]]&amp;"[")-1)),res_Initials,0),0)))</f>
        <v>0</v>
      </c>
      <c r="DQ81" s="43" t="n">
        <f aca="false">IF(Tasks[[#This Row],[_Res3Text]]="",0,IFERROR(MATCH(TRIM(LEFT(Tasks[[#This Row],[_Res3Text]],FIND("[",Tasks[[#This Row],[_Res3Text]]&amp;"[")-1)),res_Name,0),IFERROR(MATCH(TRIM(LEFT(Tasks[[#This Row],[_Res3Text]],FIND("[",Tasks[[#This Row],[_Res3Text]]&amp;"[")-1)),res_Initials,0),0)))</f>
        <v>0</v>
      </c>
      <c r="DR81" s="43" t="n">
        <f aca="false">IF(Tasks[[#This Row],[_Res4Text]]="",0,IFERROR(MATCH(TRIM(LEFT(Tasks[[#This Row],[_Res4Text]],FIND("[",Tasks[[#This Row],[_Res4Text]]&amp;"[")-1)),res_Name,0),IFERROR(MATCH(TRIM(LEFT(Tasks[[#This Row],[_Res4Text]],FIND("[",Tasks[[#This Row],[_Res4Text]]&amp;"[")-1)),res_Initials,0),0)))</f>
        <v>0</v>
      </c>
      <c r="DS81" s="43" t="str">
        <f aca="false">IF(Tasks[[#This Row],[_Res1Text]]="","",IF(Tasks[[#This Row],[_Res1Row]]&gt;0,INDEX(res_Name,Tasks[[#This Row],[_Res1Row]]),TRIM(LEFT(Tasks[[#This Row],[_Res1Text]],FIND("[",Tasks[[#This Row],[_Res1Text]]&amp;"[")-1))))</f>
        <v/>
      </c>
      <c r="DT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3" t="n">
        <f aca="false">IF(NOT(Tasks[[#This Row],[_IsLeaf]]=1),0,(Tasks[[#This Row],[_Resource1]]&lt;&gt;"")+(Tasks[[#This Row],[_Res2]]&lt;&gt;"")+(Tasks[[#This Row],[_Res3]]&lt;&gt;"")+(Tasks[[#This Row],[_Res4]]&lt;&gt;""))</f>
        <v>0</v>
      </c>
      <c r="DV81" s="43" t="str">
        <f aca="false">IF(Tasks[[#This Row],[_Res2Text]]="","",IF(Tasks[[#This Row],[_Res2Row]]&gt;0,INDEX(res_Name,Tasks[[#This Row],[_Res2Row]]),TRIM(LEFT(Tasks[[#This Row],[_Res2Text]],FIND("[",Tasks[[#This Row],[_Res2Text]]&amp;"[")-1))))</f>
        <v/>
      </c>
      <c r="DW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3" t="n">
        <f aca="false">IF(OR(NOT(Tasks[[#This Row],[_IsLeaf]]=1),Tasks[[#This Row],[_Res2Row]]=0),0,N(Tasks[[#This Row],[_Days]])*HoursPerDay*IF(Tasks[[#This Row],[_Res2Units]]="",DefaultUnits,Tasks[[#This Row],[_Res2Units]]))</f>
        <v>0</v>
      </c>
      <c r="DY81" s="43" t="n">
        <f aca="false">IF(AND(AND(Tasks[[#This Row],[_IsLeaf]]=1,Tasks[[#This Row],[_LeafTotalWork]]&gt;0),Tasks[[#This Row],[_Res2Work]]&gt;0),Tasks[[#This Row],[_Res2Work]]/(Tasks[[#This Row],[_FinishWorkday]]-Tasks[[#This Row],[_StartWorkday]]+1),0)</f>
        <v>0</v>
      </c>
      <c r="DZ81" s="43" t="n">
        <f aca="false">Tasks[[#This Row],[_Res2WorkPerWD]]*MAX(0,Tasks[[#This Row],[_StartWorkday]]-1)</f>
        <v>0</v>
      </c>
      <c r="EA81" s="43" t="n">
        <f aca="false">Tasks[[#This Row],[_Res2Work]]*Tasks[[#This Row],[_LeafProgress]]</f>
        <v>0</v>
      </c>
      <c r="EB81" s="43" t="str">
        <f aca="false">IF(Tasks[[#This Row],[_Res3Text]]="","",IF(Tasks[[#This Row],[_Res3Row]]&gt;0,INDEX(res_Name,Tasks[[#This Row],[_Res3Row]]),TRIM(LEFT(Tasks[[#This Row],[_Res3Text]],FIND("[",Tasks[[#This Row],[_Res3Text]]&amp;"[")-1))))</f>
        <v/>
      </c>
      <c r="EC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3" t="n">
        <f aca="false">IF(OR(NOT(Tasks[[#This Row],[_IsLeaf]]=1),Tasks[[#This Row],[_Res3Row]]=0),0,N(Tasks[[#This Row],[_Days]])*HoursPerDay*IF(Tasks[[#This Row],[_Res3Units]]="",DefaultUnits,Tasks[[#This Row],[_Res3Units]]))</f>
        <v>0</v>
      </c>
      <c r="EE81" s="43" t="n">
        <f aca="false">IF(AND(AND(Tasks[[#This Row],[_IsLeaf]]=1,Tasks[[#This Row],[_LeafTotalWork]]&gt;0),Tasks[[#This Row],[_Res3Work]]&gt;0),Tasks[[#This Row],[_Res3Work]]/(Tasks[[#This Row],[_FinishWorkday]]-Tasks[[#This Row],[_StartWorkday]]+1),0)</f>
        <v>0</v>
      </c>
      <c r="EF81" s="43" t="n">
        <f aca="false">Tasks[[#This Row],[_Res3WorkPerWD]]*MAX(0,Tasks[[#This Row],[_StartWorkday]]-1)</f>
        <v>0</v>
      </c>
      <c r="EG81" s="43" t="n">
        <f aca="false">Tasks[[#This Row],[_Res3Work]]*Tasks[[#This Row],[_LeafProgress]]</f>
        <v>0</v>
      </c>
      <c r="EH81" s="43" t="str">
        <f aca="false">IF(Tasks[[#This Row],[_Res4Text]]="","",IF(Tasks[[#This Row],[_Res4Row]]&gt;0,INDEX(res_Name,Tasks[[#This Row],[_Res4Row]]),TRIM(LEFT(Tasks[[#This Row],[_Res4Text]],FIND("[",Tasks[[#This Row],[_Res4Text]]&amp;"[")-1))))</f>
        <v/>
      </c>
      <c r="EI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3" t="n">
        <f aca="false">IF(OR(NOT(Tasks[[#This Row],[_IsLeaf]]=1),Tasks[[#This Row],[_Res4Row]]=0),0,N(Tasks[[#This Row],[_Days]])*HoursPerDay*IF(Tasks[[#This Row],[_Res4Units]]="",DefaultUnits,Tasks[[#This Row],[_Res4Units]]))</f>
        <v>0</v>
      </c>
      <c r="EK81" s="43" t="n">
        <f aca="false">IF(AND(AND(Tasks[[#This Row],[_IsLeaf]]=1,Tasks[[#This Row],[_LeafTotalWork]]&gt;0),Tasks[[#This Row],[_Res4Work]]&gt;0),Tasks[[#This Row],[_Res4Work]]/(Tasks[[#This Row],[_FinishWorkday]]-Tasks[[#This Row],[_StartWorkday]]+1),0)</f>
        <v>0</v>
      </c>
      <c r="EL81" s="43" t="n">
        <f aca="false">Tasks[[#This Row],[_Res4WorkPerWD]]*MAX(0,Tasks[[#This Row],[_StartWorkday]]-1)</f>
        <v>0</v>
      </c>
      <c r="EM81" s="43" t="n">
        <f aca="false">Tasks[[#This Row],[_Res4Work]]*Tasks[[#This Row],[_LeafProgress]]</f>
        <v>0</v>
      </c>
      <c r="EN81" s="43" t="n">
        <f aca="false">IF(ISNUMBER(Tasks[[#This Row],[% Complete]]),Tasks[[#This Row],[% Complete]],IF(Tasks[[#This Row],[Stage]]="",0,IFERROR(INDEX(stg_Pct,MATCH(Tasks[[#This Row],[Stage]],stg_Name,0)),0)))</f>
        <v>0</v>
      </c>
      <c r="EO81" s="43" t="n">
        <f aca="false">IF(NOT(Tasks[[#This Row],[_IsLeaf]]=1),0,IF(N(Tasks[[#This Row],[Actual Finish]])&gt;0,1,MIN(1,Tasks[[#This Row],[_Pct]])))</f>
        <v>0</v>
      </c>
      <c r="EP81" s="43" t="n">
        <f aca="false">IF(OR(NOT(Tasks[[#This Row],[_IsLeaf]]=1),Tasks[[#This Row],[_Res1Row]]=0),0,N(Tasks[[#This Row],[_Days]])*HoursPerDay*IF(Tasks[[#This Row],[_Units1]]="",DefaultUnits,Tasks[[#This Row],[_Units1]]))</f>
        <v>0</v>
      </c>
      <c r="EQ81" s="43" t="n">
        <f aca="false">Tasks[[#This Row],[_LeafWork]]+Tasks[[#This Row],[_Res2Work]]+Tasks[[#This Row],[_Res3Work]]+Tasks[[#This Row],[_Res4Work]]</f>
        <v>0</v>
      </c>
      <c r="ER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3" t="n">
        <f aca="false">IF(NOT(Tasks[[#This Row],[_IsLeaf]]=1),0,MAX(_xlfn.MAXIFS(Tasks[_Row],Tasks[_Pred1UID],Tasks[[#This Row],[UID]]),_xlfn.MAXIFS(Tasks[_Row],Tasks[_Pred2UID],Tasks[[#This Row],[UID]]),_xlfn.MAXIFS(Tasks[_Row],Tasks[_Pred3UID],Tasks[[#This Row],[UID]]),_xlfn.MAXIFS(Tasks[_Row],Tasks[_Pred4UID],Tasks[[#This Row],[UID]])))</f>
        <v>0</v>
      </c>
      <c r="FA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91" t="str">
        <f aca="false">IF(NOT(Tasks[[#This Row],[_IsLeaf]]=1),"",IF(N(Tasks[[#This Row],[_Days]])&lt;=0,Tasks[[#This Row],[_LeafLateFinish]],WORKDAY.INTL(Tasks[[#This Row],[_LeafLateFinish]],-(Tasks[[#This Row],[_Days]]-1),WorkWeek,Holidays)))</f>
        <v/>
      </c>
      <c r="FD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1" s="90" t="b">
        <f aca="false">AND(Tasks[[#This Row],[_IsLeaf]]=1,Tasks[[#This Row],[_LeafProgress]]&lt;1,N(Tasks[[#This Row],[_LeafTotalSlack]])&lt;=CriticalSlackDays)</f>
        <v>0</v>
      </c>
      <c r="FF81" s="43" t="n">
        <f aca="false">IF(AND(Tasks[[#This Row],[_IsLeaf]]=1,Tasks[[#This Row],[_ConstraintCode]]=1,Tasks[[#This Row],[Mode]]&lt;&gt;"Manual",N(Tasks[[#This Row],[Actual Start]])=0),MAX(0,N(Tasks[[#This Row],[Free Slack]])),0)</f>
        <v>0</v>
      </c>
      <c r="FG81" s="91" t="str">
        <f aca="false">IF(NOT(Tasks[[#This Row],[_IsLeaf]]=1),"",IF(Tasks[[#This Row],[_AlapShift]]=0,Tasks[[#This Row],[_LeafCalcStart]],WORKDAY.INTL(Tasks[[#This Row],[_LeafCalcStart]],Tasks[[#This Row],[_AlapShift]],WorkWeek,Holidays)))</f>
        <v/>
      </c>
      <c r="FH81" s="91" t="str">
        <f aca="false">IF(NOT(Tasks[[#This Row],[_IsLeaf]]=1),"",IF(Tasks[[#This Row],[_AlapShift]]=0,Tasks[[#This Row],[_LeafCalcFinish]],WORKDAY.INTL(Tasks[[#This Row],[_LeafCalcFinish]],Tasks[[#This Row],[_AlapShift]],WorkWeek,Holidays)))</f>
        <v/>
      </c>
      <c r="FI81" s="91" t="str">
        <f aca="false">IF(NOT(Tasks[[#This Row],[_IsLeaf]]=1),"",IF(Tasks[[#This Row],[_AlapShift]]=0,Tasks[[#This Row],[_LeafFcstStart]],WORKDAY.INTL(Tasks[[#This Row],[_LeafFcstStart]],Tasks[[#This Row],[_AlapShift]],WorkWeek,Holidays)))</f>
        <v/>
      </c>
      <c r="FJ81" s="91" t="str">
        <f aca="false">IF(NOT(Tasks[[#This Row],[_IsLeaf]]=1),"",IF(Tasks[[#This Row],[_AlapShift]]=0,Tasks[[#This Row],[_LeafFcstFinish]],WORKDAY.INTL(Tasks[[#This Row],[_LeafFcstFinish]],Tasks[[#This Row],[_AlapShift]],WorkWeek,Holidays)))</f>
        <v/>
      </c>
      <c r="FK81" s="91" t="str">
        <f aca="false">IF(Tasks[[#This Row],[Task Name]]="","",IF(Tasks[[#This Row],[_IsSummary]],MIN(INDEX(Tasks[_ShownCalcStart],Tasks[[#This Row],[_Row]]+1):INDEX(Tasks[_ShownCalcStart],Tasks[[#This Row],[_Row]]+Tasks[[#This Row],[_Descendants]])),Tasks[[#This Row],[_ShownCalcStart]]))</f>
        <v/>
      </c>
      <c r="FL81" s="91" t="str">
        <f aca="false">IF(Tasks[[#This Row],[Task Name]]="","",IF(Tasks[[#This Row],[_IsSummary]],MAX(INDEX(Tasks[_ShownCalcFinish],Tasks[[#This Row],[_Row]]+1):INDEX(Tasks[_ShownCalcFinish],Tasks[[#This Row],[_Row]]+Tasks[[#This Row],[_Descendants]])),Tasks[[#This Row],[_ShownCalcFinish]]))</f>
        <v/>
      </c>
      <c r="FM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1" s="43" t="n">
        <f aca="false">IF(AND(Tasks[[#This Row],[_IsLeaf]]=1,Tasks[[#This Row],[_LeafTotalWork]]&gt;0),NETWORKDAYS.INTL(ProjectStart,Tasks[[#This Row],[_ShownFcstStart]],WorkWeek,Holidays),0)</f>
        <v>0</v>
      </c>
      <c r="FZ81" s="43" t="n">
        <f aca="false">IF(AND(Tasks[[#This Row],[_IsLeaf]]=1,Tasks[[#This Row],[_LeafTotalWork]]&gt;0),MAX(Tasks[[#This Row],[_StartWorkday]],NETWORKDAYS.INTL(ProjectStart,Tasks[[#This Row],[_ShownFcstFinish]],WorkWeek,Holidays)),0)</f>
        <v>0</v>
      </c>
      <c r="GA81" s="43" t="n">
        <f aca="false">IF(AND(Tasks[[#This Row],[_IsLeaf]]=1,Tasks[[#This Row],[_LeafTotalWork]]&gt;0),Tasks[[#This Row],[_LeafWork]]/(Tasks[[#This Row],[_FinishWorkday]]-Tasks[[#This Row],[_StartWorkday]]+1),0)</f>
        <v>0</v>
      </c>
      <c r="GB81" s="43" t="n">
        <f aca="false">Tasks[[#This Row],[_WorkPerWorkday]]*(Tasks[[#This Row],[_StartWorkday]]-1)</f>
        <v>-0</v>
      </c>
      <c r="GC81" s="43" t="n">
        <f aca="false">IF(Tasks[[#This Row],[_IsLeaf]]=1,MAX(N(Tasks[[#This Row],[_Days]]),0.1),0)</f>
        <v>0</v>
      </c>
      <c r="GD81" s="43" t="n">
        <f aca="false">Tasks[[#This Row],[_WeightDur]]*Tasks[[#This Row],[_LeafProgress]]</f>
        <v>0</v>
      </c>
      <c r="GE81" s="43" t="n">
        <f aca="false">Tasks[[#This Row],[_WeightDur]]*Tasks[[#This Row],[_PlannedPct]]</f>
        <v>0</v>
      </c>
      <c r="GF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3" t="str">
        <f aca="false">IF(AND(Tasks[[#This Row],[_IsLeaf]]=1,N(Tasks[[#This Row],[_Days]])=0,Tasks[[#This Row],[_LeafProgress]]&lt;1),Tasks[[#This Row],[_ShownFcstFinish]]+Tasks[[#This Row],[_Row]]/100000,"")</f>
        <v/>
      </c>
      <c r="GH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1" s="43" t="str">
        <f aca="false">IF(Tasks[[#This Row],[Task Name]]="","",LEFT(Tasks[[#This Row],[WBS]],FIND(".",Tasks[[#This Row],[WBS]]&amp;".")-1))</f>
        <v/>
      </c>
      <c r="GJ81" s="43" t="str">
        <f aca="false">IF(AND(Tasks[[#This Row],[Task Name]]&lt;&gt;"",Tasks[[#This Row],[_Level]]=1),Tasks[[#This Row],[_Row]],"")</f>
        <v/>
      </c>
      <c r="GK81" s="43" t="str">
        <f aca="false">IF(AND(Tasks[[#This Row],[_IsLeaf]]=1,N(Tasks[[#This Row],[_Days]])=0),Tasks[[#This Row],[Planned Finish]]+Tasks[[#This Row],[_Row]]/100000,"")</f>
        <v/>
      </c>
      <c r="GL81" s="43" t="str">
        <f aca="false">IF(AND(Tasks[[#This Row],[_IsLeaf]]=1,Tasks[[#This Row],[_LeafProgress]]&lt;1,OR(N(Tasks[[#This Row],[Finish Var]])&gt;0,Tasks[[#This Row],[Status]]="Late Start")),MAX(0,Tasks[[#This Row],[Finish Var]])+1-Tasks[[#This Row],[_Row]]/1000000,"")</f>
        <v/>
      </c>
      <c r="GM81" s="43" t="str">
        <f aca="false">IF(AND(Tasks[[#This Row],[_IsLeaf]]=1,N(Tasks[[#This Row],[Actual Start]])=0,Tasks[[#This Row],[_ShownFcstStart]]&gt;=StatusDate,Tasks[[#This Row],[_ShownFcstStart]]&lt;=LookaheadEnd),Tasks[[#This Row],[_ShownFcstStart]]+Tasks[[#This Row],[_Row]]/100000,"")</f>
        <v/>
      </c>
      <c r="GN81" s="43" t="str">
        <f aca="false">IF(AND(Tasks[[#This Row],[_IsLeaf]]=1,Tasks[[#This Row],[_LeafProgress]]&lt;1,Tasks[[#This Row],[_ShownFcstFinish]]&gt;=StatusDate,Tasks[[#This Row],[_ShownFcstFinish]]&lt;=LookaheadEnd),Tasks[[#This Row],[_ShownFcstFinish]]+Tasks[[#This Row],[_Row]]/100000,"")</f>
        <v/>
      </c>
      <c r="GO81" s="43" t="str">
        <f aca="false">IF(Tasks[[#This Row],[_LeafCritical]],Tasks[[#This Row],[_ShownFcstStart]]+Tasks[[#This Row],[_Row]]/100000,"")</f>
        <v/>
      </c>
      <c r="GP81" s="43" t="n">
        <f aca="false">Tasks[[#This Row],[_LeafWork]]*Tasks[[#This Row],[_LeafProgress]]</f>
        <v>0</v>
      </c>
      <c r="GQ81" s="91" t="str">
        <f aca="false">IF(AND(Tasks[[#This Row],[_IsLeaf]]=1,Tasks[[#This Row],[_LeafProgress]]&gt;=1),IF(N(Tasks[[#This Row],[Actual Finish]])&gt;0,Tasks[[#This Row],[Actual Finish]],Tasks[[#This Row],[_ShownFcstFinish]]),"")</f>
        <v/>
      </c>
      <c r="GR81" s="43" t="n">
        <f aca="false">IF(Tasks[[#This Row],[_IsLeaf]]=1,N(Tasks[[#This Row],[Story Points]]),0)</f>
        <v>0</v>
      </c>
      <c r="GS81" s="43" t="str">
        <f aca="false">""</f>
        <v/>
      </c>
      <c r="GT81" s="90" t="b">
        <f aca="false">IF(Tasks[[#This Row],[Task Name]]="",FALSE(),AND(Tasks[[#This Row],[_IsLeaf]]=1,N(Tasks[[#This Row],[_Days]])=0))</f>
        <v>0</v>
      </c>
      <c r="GU81" s="91" t="n">
        <f aca="false">IF(Tasks[[#This Row],[Task Name]]="",0,IF(AND(Tasks[[#This Row],[_IsLeaf]]=1,NOT(Tasks[[#This Row],[_IsMilestone]]),N(Tasks[[#This Row],[Progress]])&gt;0),Tasks[[#This Row],[Start]],0))</f>
        <v>0</v>
      </c>
      <c r="GV81" s="91" t="n">
        <f aca="false">IF(Tasks[[#This Row],[_DoneFrom]]=0,0,IF(Tasks[[#This Row],[Progress]]&gt;=1,Tasks[[#This Row],[Finish]],MAX(Tasks[[#This Row],[_DoneFrom]],Tasks[[#This Row],[Start]]+ROUND((Tasks[[#This Row],[Finish]]-Tasks[[#This Row],[Start]]+1)*Tasks[[#This Row],[Progress]],0)-1)))</f>
        <v>0</v>
      </c>
      <c r="GW81" s="91" t="n">
        <f aca="false">IF(Tasks[[#This Row],[Task Name]]="",0,IF(OR(NOT(Tasks[[#This Row],[_IsLeaf]]=1),Tasks[[#This Row],[_IsMilestone]],N(Tasks[[#This Row],[Progress]])&gt;=1),0,IF(Tasks[[#This Row],[_DoneTo]]&gt;0,Tasks[[#This Row],[_DoneTo]]+1,Tasks[[#This Row],[Start]])))</f>
        <v>0</v>
      </c>
      <c r="GX81" s="91" t="n">
        <f aca="false">IF(Tasks[[#This Row],[_RemFrom]]=0,0,Tasks[[#This Row],[Finish]])</f>
        <v>0</v>
      </c>
      <c r="GY81" s="90" t="b">
        <f aca="false">IF(Tasks[[#This Row],[Task Name]]="",FALSE(),OR(NOT(BaselineSet),N(Tasks[[#This Row],[Baseline Start]])&gt;0))</f>
        <v>0</v>
      </c>
      <c r="GZ8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92" t="str">
        <f aca="false">IF(Tasks[[#This Row],[_IsLeaf]]=1,Tasks[[#This Row],[_Row]],"")</f>
        <v/>
      </c>
      <c r="HD81" s="92" t="str">
        <f aca="false">IFERROR(INDEX(Tasks[UID],SMALL(Tasks[_PickKey],Tasks[[#This Row],[_Row]]))&amp;" "&amp;INDEX(Tasks[Task Name],SMALL(Tasks[_PickKey],Tasks[[#This Row],[_Row]])),"")</f>
        <v/>
      </c>
      <c r="HE81" s="43" t="str">
        <f aca="false">IF(Tasks[[#This Row],[Task Name]]="","",IF(Tasks[[#This Row],[_IsSummary]],NETWORKDAYS.INTL(Tasks[[#This Row],[Start]],Tasks[[#This Row],[Finish]],WorkWeek,Holidays),N(Tasks[[#This Row],[_Days]])))</f>
        <v/>
      </c>
      <c r="HF81" s="43" t="n">
        <f aca="false">IF(Tasks[[#This Row],[Expected]]="",0,((Tasks[[#This Row],[Pessimistic]]-Tasks[[#This Row],[Optimistic]])/6)^2)</f>
        <v>0</v>
      </c>
      <c r="HG81" s="43" t="n">
        <f aca="false">IF(Tasks[[#This Row],[Expected]]="",0,Tasks[[#This Row],[Expected]]-N(Tasks[[#This Row],[_Days]]))</f>
        <v>0</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4"/>
      <c r="U82" s="23"/>
      <c r="V82" s="84"/>
      <c r="W82" s="23"/>
      <c r="X82" s="84"/>
      <c r="Y82" s="23"/>
      <c r="Z82" s="84"/>
      <c r="AA82" s="23"/>
      <c r="AB82" s="23"/>
      <c r="AC82" s="7"/>
      <c r="AD82" s="7"/>
      <c r="AE82" s="63" t="str">
        <f aca="false">IF(Tasks[[#This Row],[Task Name]]="","",IF(Tasks[[#This Row],[_IsSummary]],MIN(INDEX(Tasks[_ShownFcstStart],Tasks[[#This Row],[_Row]]+1):INDEX(Tasks[_ShownFcstStart],Tasks[[#This Row],[_Row]]+Tasks[[#This Row],[_Descendants]])),Tasks[[#This Row],[_ShownFcstStart]]))</f>
        <v/>
      </c>
      <c r="AF82" s="63"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2" s="7"/>
      <c r="AK82" s="22"/>
      <c r="AL82" s="23"/>
      <c r="AM82" s="7"/>
      <c r="AN82" s="47"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3" t="str">
        <f aca="false">IF(Tasks[[#This Row],[Task Name]]="","",IF(N(Tasks[[#This Row],[Baseline Start]])&gt;0,Tasks[[#This Row],[Baseline Start]],Tasks[[#This Row],[_CalcStart]]))</f>
        <v/>
      </c>
      <c r="AR82" s="63" t="str">
        <f aca="false">IF(Tasks[[#This Row],[Task Name]]="","",IF(N(Tasks[[#This Row],[Baseline Finish]])&gt;0,Tasks[[#This Row],[Baseline Finish]],Tasks[[#This Row],[_CalcFinish]]))</f>
        <v/>
      </c>
      <c r="AS82" s="47" t="str">
        <f aca="false">IF(Tasks[[#This Row],[Task Name]]="","",IF(Tasks[[#This Row],[Start]]&gt;=Tasks[[#This Row],[Planned Start]],NETWORKDAYS.INTL(Tasks[[#This Row],[Planned Start]],Tasks[[#This Row],[Start]],WorkWeek,Holidays)-1,1-NETWORKDAYS.INTL(Tasks[[#This Row],[Start]],Tasks[[#This Row],[Planned Start]],WorkWeek,Holidays)))</f>
        <v/>
      </c>
      <c r="AT82" s="63" t="str">
        <f aca="false">IF(Tasks[[#This Row],[Task Name]]="","",IF(Tasks[[#This Row],[_IsSummary]],MIN(INDEX(Tasks[_LeafLateStart],Tasks[[#This Row],[_Row]]+1):INDEX(Tasks[_LeafLateStart],Tasks[[#This Row],[_Row]]+Tasks[[#This Row],[_Descendants]])),Tasks[[#This Row],[_LeafLateStart]]))</f>
        <v/>
      </c>
      <c r="AU82" s="63" t="str">
        <f aca="false">IF(Tasks[[#This Row],[Task Name]]="","",IF(Tasks[[#This Row],[_IsSummary]],MAX(INDEX(Tasks[_LeafLateFinish],Tasks[[#This Row],[_Row]]+1):INDEX(Tasks[_LeafLateFinish],Tasks[[#This Row],[_Row]]+Tasks[[#This Row],[_Descendants]])),Tasks[[#This Row],[_LeafLateFinish]]))</f>
        <v/>
      </c>
      <c r="AV82" s="47"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5"/>
      <c r="BA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6"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7"/>
      <c r="BJ82" s="22"/>
      <c r="BK82" s="47" t="str">
        <f aca="false">IF(OR(Tasks[[#This Row],[Task Name]]="",Tasks[[#This Row],[Baseline Duration]]=""),"",Tasks[[#This Row],[_SpanDays]]-N(Tasks[[#This Row],[Baseline Duration]]))</f>
        <v/>
      </c>
      <c r="BL82" s="86" t="str">
        <f aca="false">IF(OR(Tasks[[#This Row],[Task Name]]="",Tasks[[#This Row],[Baseline Work]]=""),"",Tasks[[#This Row],[Work]]-N(Tasks[[#This Row],[Baseline Work]]))</f>
        <v/>
      </c>
      <c r="BM82" s="63" t="str">
        <f aca="false">IF(Tasks[[#This Row],[Task Name]]="","",IF(OR(TakeBaseline="Yes",N(Tasks[[#This Row],[Baseline Start]])=0),Tasks[[#This Row],[Start]],Tasks[[#This Row],[Baseline Start]]))</f>
        <v/>
      </c>
      <c r="BN82" s="63" t="str">
        <f aca="false">IF(Tasks[[#This Row],[Task Name]]="","",IF(OR(TakeBaseline="Yes",N(Tasks[[#This Row],[Baseline Finish]])=0),Tasks[[#This Row],[Finish]],Tasks[[#This Row],[Baseline Finish]]))</f>
        <v/>
      </c>
      <c r="BO82" s="21" t="str">
        <f aca="false">IF(Tasks[[#This Row],[Task Name]]="","",IF(OR(TakeBaseline="Yes",N(Tasks[[#This Row],[Baseline Duration]])=0),Tasks[[#This Row],[_SpanDays]],Tasks[[#This Row],[Baseline Duration]]))</f>
        <v/>
      </c>
      <c r="BP82" s="86" t="str">
        <f aca="false">IF(Tasks[[#This Row],[Task Name]]="","",IF(OR(TakeBaseline="Yes",N(Tasks[[#This Row],[Baseline Work]])=0),Tasks[[#This Row],[Work]],Tasks[[#This Row],[Baseline Work]]))</f>
        <v/>
      </c>
      <c r="BQ82" s="7"/>
      <c r="BR82" s="7"/>
      <c r="BS82" s="22"/>
      <c r="BT82" s="88"/>
      <c r="BU82" s="23"/>
      <c r="BV82" s="23"/>
      <c r="BW82" s="23"/>
      <c r="BX82" s="89" t="str">
        <f aca="false">IF(AND(Tasks[[#This Row],[_IsLeaf]]=1,ISNUMBER(Tasks[[#This Row],[Optimistic]]),ISNUMBER(Tasks[[#This Row],[Pessimistic]])),ROUND((Tasks[[#This Row],[Optimistic]]+4*N(Tasks[[#This Row],[_Days]])+Tasks[[#This Row],[Pessimistic]])/6,1),"")</f>
        <v/>
      </c>
      <c r="BY82" s="87"/>
      <c r="BZ82" s="87"/>
      <c r="CA82" s="22"/>
      <c r="CB82" s="43" t="str">
        <f aca="false">IF(Tasks[[#This Row],[Task Name]]="","",MAX(1,N(Tasks[[#This Row],[Level]])))</f>
        <v/>
      </c>
      <c r="CC82" s="43" t="n">
        <f aca="false">ROW()-ROW(Tasks[[#Headers],[ID]])</f>
        <v>77</v>
      </c>
      <c r="CD82" s="43" t="n">
        <f aca="false">IF(OR(Tasks[[#This Row],[Task Name]]="",Tasks[[#This Row],[_Level]]&lt;=1),0,IFERROR(LOOKUP(2,1/(Tasks[[#Headers],[_Level]]:Tasks[[#This Row],[_Level]]=Tasks[[#This Row],[_Level]]-1),ROW(Tasks[[#Headers],[_Level]]:Tasks[[#This Row],[_Level]])),0))</f>
        <v>0</v>
      </c>
      <c r="CE82" s="43" t="n">
        <f aca="false">IFERROR(N(INDEX(Tasks[_Level],Tasks[[#This Row],[_Row]]+1)),0)</f>
        <v>0</v>
      </c>
      <c r="CF82" s="90" t="b">
        <f aca="false">AND(Tasks[[#This Row],[Task Name]]&lt;&gt;"",Tasks[[#This Row],[_NextLevel]]&gt;Tasks[[#This Row],[_Level]])</f>
        <v>0</v>
      </c>
      <c r="CG82" s="43" t="n">
        <f aca="false">IF(Tasks[[#This Row],[_IsSummary]],COUNTIF(Tasks[WBS],Tasks[[#This Row],[WBS]]&amp;".*"),0)</f>
        <v>0</v>
      </c>
      <c r="CH82" s="43" t="n">
        <f aca="false">IF(AND(Tasks[[#This Row],[Task Name]]&lt;&gt;"",NOT(Tasks[[#This Row],[_IsSummary]])),1,0)</f>
        <v>0</v>
      </c>
      <c r="CI82" s="43" t="n">
        <f aca="false">IF(N(Tasks[[#This Row],[_Pred1UID]])=0,0,IFERROR(MATCH(Tasks[[#This Row],[_Pred1UID]],Tasks[UID],0),-1))</f>
        <v>0</v>
      </c>
      <c r="CJ82" s="43" t="n">
        <f aca="false">IF(N(Tasks[[#This Row],[_Pred2UID]])=0,0,IFERROR(MATCH(Tasks[[#This Row],[_Pred2UID]],Tasks[UID],0),-1))</f>
        <v>0</v>
      </c>
      <c r="CK82" s="43" t="n">
        <f aca="false">IF(N(Tasks[[#This Row],[_Pred3UID]])=0,0,IFERROR(MATCH(Tasks[[#This Row],[_Pred3UID]],Tasks[UID],0),-1))</f>
        <v>0</v>
      </c>
      <c r="CL82" s="43" t="n">
        <f aca="false">IF(N(Tasks[[#This Row],[_Pred4UID]])=0,0,IFERROR(MATCH(Tasks[[#This Row],[_Pred4UID]],Tasks[UID],0),-1))</f>
        <v>0</v>
      </c>
      <c r="CM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2" s="91" t="n">
        <f aca="false">IF(OR(Tasks[[#This Row],[_ConstraintCode]]=2,Tasks[[#This Row],[_ConstraintCode]]=3,Tasks[[#This Row],[_ConstraintCode]]=4,Tasks[[#This Row],[_ConstraintCode]]=6),Tasks[[#This Row],[_ConstraintStart]],0)</f>
        <v>0</v>
      </c>
      <c r="CP82" s="91" t="n">
        <f aca="false">IF(OR(Tasks[[#This Row],[_ConstraintCode]]=2,Tasks[[#This Row],[_ConstraintCode]]=3,Tasks[[#This Row],[_ConstraintCode]]=5,Tasks[[#This Row],[_ConstraintCode]]=7),Tasks[[#This Row],[_ConstraintStart]],2958465)</f>
        <v>2958465</v>
      </c>
      <c r="CQ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91" t="str">
        <f aca="false">IF(NOT(Tasks[[#This Row],[_IsLeaf]]=1),"",IF(N(Tasks[[#This Row],[_Days]])&lt;=0,Tasks[[#This Row],[_LeafCalcStart]],WORKDAY.INTL(Tasks[[#This Row],[_LeafCalcStart]],Tasks[[#This Row],[_Days]]-1,WorkWeek,Holidays)))</f>
        <v/>
      </c>
      <c r="CS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3" t="str">
        <f aca="false">IF(Tasks[[#This Row],[_Predecessors]]="","",TRIM(MID(SUBSTITUTE(SUBSTITUTE(SUBSTITUTE(UPPER(Tasks[[#This Row],[_Predecessors]]),";",",")," ",""),",",REPT(" ",99)),1,99)))</f>
        <v/>
      </c>
      <c r="CV82" s="43" t="str">
        <f aca="false">IF(Tasks[[#This Row],[_Pred1Text]]="","",IFERROR(VALUE(LEFT(Tasks[[#This Row],[_Pred1Text]],MIN(FIND("F",Tasks[[#This Row],[_Pred1Text]]&amp;"F"),FIND("S",Tasks[[#This Row],[_Pred1Text]]&amp;"S"),FIND("+",Tasks[[#This Row],[_Pred1Text]]&amp;"+"),FIND("-",Tasks[[#This Row],[_Pred1Text]]&amp;"-"))-1)),""))</f>
        <v/>
      </c>
      <c r="CW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3" t="str">
        <f aca="false">IF(Tasks[[#This Row],[_Pred1Text]]="","",TRIM(MID(SUBSTITUTE(SUBSTITUTE(SUBSTITUTE(UPPER(Tasks[[#This Row],[_Predecessors]]),";",",")," ",""),",",REPT(" ",99)),100,99)))</f>
        <v/>
      </c>
      <c r="CZ82" s="43" t="str">
        <f aca="false">IF(Tasks[[#This Row],[_Pred2Text]]="","",IFERROR(VALUE(LEFT(Tasks[[#This Row],[_Pred2Text]],MIN(FIND("F",Tasks[[#This Row],[_Pred2Text]]&amp;"F"),FIND("S",Tasks[[#This Row],[_Pred2Text]]&amp;"S"),FIND("+",Tasks[[#This Row],[_Pred2Text]]&amp;"+"),FIND("-",Tasks[[#This Row],[_Pred2Text]]&amp;"-"))-1)),""))</f>
        <v/>
      </c>
      <c r="DA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3" t="str">
        <f aca="false">IF(Tasks[[#This Row],[_Pred2Text]]="","",TRIM(MID(SUBSTITUTE(SUBSTITUTE(SUBSTITUTE(UPPER(Tasks[[#This Row],[_Predecessors]]),";",",")," ",""),",",REPT(" ",99)),199,99)))</f>
        <v/>
      </c>
      <c r="DD82" s="43" t="str">
        <f aca="false">IF(Tasks[[#This Row],[_Pred3Text]]="","",IFERROR(VALUE(LEFT(Tasks[[#This Row],[_Pred3Text]],MIN(FIND("F",Tasks[[#This Row],[_Pred3Text]]&amp;"F"),FIND("S",Tasks[[#This Row],[_Pred3Text]]&amp;"S"),FIND("+",Tasks[[#This Row],[_Pred3Text]]&amp;"+"),FIND("-",Tasks[[#This Row],[_Pred3Text]]&amp;"-"))-1)),""))</f>
        <v/>
      </c>
      <c r="DE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3" t="str">
        <f aca="false">IF(Tasks[[#This Row],[_Pred3Text]]="","",TRIM(MID(SUBSTITUTE(SUBSTITUTE(SUBSTITUTE(UPPER(Tasks[[#This Row],[_Predecessors]]),";",",")," ",""),",",REPT(" ",99)),298,99)))</f>
        <v/>
      </c>
      <c r="DH82" s="43" t="str">
        <f aca="false">IF(Tasks[[#This Row],[_Pred4Text]]="","",IFERROR(VALUE(LEFT(Tasks[[#This Row],[_Pred4Text]],MIN(FIND("F",Tasks[[#This Row],[_Pred4Text]]&amp;"F"),FIND("S",Tasks[[#This Row],[_Pred4Text]]&amp;"S"),FIND("+",Tasks[[#This Row],[_Pred4Text]]&amp;"+"),FIND("-",Tasks[[#This Row],[_Pred4Text]]&amp;"-"))-1)),""))</f>
        <v/>
      </c>
      <c r="DI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3" t="str">
        <f aca="false">IF(OR(Tasks[[#This Row],[Task Name]]="",Tasks[[#This Row],[_Resources]]=""),"",TRIM(MID(SUBSTITUTE(Tasks[[#This Row],[_Resources]],",",REPT(" ",99)),1,99)))</f>
        <v/>
      </c>
      <c r="DL82" s="43" t="str">
        <f aca="false">IF(Tasks[[#This Row],[_Res1Text]]="","",TRIM(MID(SUBSTITUTE(Tasks[[#This Row],[_Resources]],",",REPT(" ",99)),100,99)))</f>
        <v/>
      </c>
      <c r="DM82" s="43" t="str">
        <f aca="false">IF(Tasks[[#This Row],[_Res2Text]]="","",TRIM(MID(SUBSTITUTE(Tasks[[#This Row],[_Resources]],",",REPT(" ",99)),199,99)))</f>
        <v/>
      </c>
      <c r="DN82" s="43" t="str">
        <f aca="false">IF(Tasks[[#This Row],[_Res3Text]]="","",TRIM(MID(SUBSTITUTE(Tasks[[#This Row],[_Resources]],",",REPT(" ",99)),298,99)))</f>
        <v/>
      </c>
      <c r="DO82" s="43" t="n">
        <f aca="false">IF(Tasks[[#This Row],[_Res1Text]]="",0,IFERROR(MATCH(TRIM(LEFT(Tasks[[#This Row],[_Res1Text]],FIND("[",Tasks[[#This Row],[_Res1Text]]&amp;"[")-1)),res_Name,0),IFERROR(MATCH(TRIM(LEFT(Tasks[[#This Row],[_Res1Text]],FIND("[",Tasks[[#This Row],[_Res1Text]]&amp;"[")-1)),res_Initials,0),0)))</f>
        <v>0</v>
      </c>
      <c r="DP82" s="43" t="n">
        <f aca="false">IF(Tasks[[#This Row],[_Res2Text]]="",0,IFERROR(MATCH(TRIM(LEFT(Tasks[[#This Row],[_Res2Text]],FIND("[",Tasks[[#This Row],[_Res2Text]]&amp;"[")-1)),res_Name,0),IFERROR(MATCH(TRIM(LEFT(Tasks[[#This Row],[_Res2Text]],FIND("[",Tasks[[#This Row],[_Res2Text]]&amp;"[")-1)),res_Initials,0),0)))</f>
        <v>0</v>
      </c>
      <c r="DQ82" s="43" t="n">
        <f aca="false">IF(Tasks[[#This Row],[_Res3Text]]="",0,IFERROR(MATCH(TRIM(LEFT(Tasks[[#This Row],[_Res3Text]],FIND("[",Tasks[[#This Row],[_Res3Text]]&amp;"[")-1)),res_Name,0),IFERROR(MATCH(TRIM(LEFT(Tasks[[#This Row],[_Res3Text]],FIND("[",Tasks[[#This Row],[_Res3Text]]&amp;"[")-1)),res_Initials,0),0)))</f>
        <v>0</v>
      </c>
      <c r="DR82" s="43" t="n">
        <f aca="false">IF(Tasks[[#This Row],[_Res4Text]]="",0,IFERROR(MATCH(TRIM(LEFT(Tasks[[#This Row],[_Res4Text]],FIND("[",Tasks[[#This Row],[_Res4Text]]&amp;"[")-1)),res_Name,0),IFERROR(MATCH(TRIM(LEFT(Tasks[[#This Row],[_Res4Text]],FIND("[",Tasks[[#This Row],[_Res4Text]]&amp;"[")-1)),res_Initials,0),0)))</f>
        <v>0</v>
      </c>
      <c r="DS82" s="43" t="str">
        <f aca="false">IF(Tasks[[#This Row],[_Res1Text]]="","",IF(Tasks[[#This Row],[_Res1Row]]&gt;0,INDEX(res_Name,Tasks[[#This Row],[_Res1Row]]),TRIM(LEFT(Tasks[[#This Row],[_Res1Text]],FIND("[",Tasks[[#This Row],[_Res1Text]]&amp;"[")-1))))</f>
        <v/>
      </c>
      <c r="DT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3" t="n">
        <f aca="false">IF(NOT(Tasks[[#This Row],[_IsLeaf]]=1),0,(Tasks[[#This Row],[_Resource1]]&lt;&gt;"")+(Tasks[[#This Row],[_Res2]]&lt;&gt;"")+(Tasks[[#This Row],[_Res3]]&lt;&gt;"")+(Tasks[[#This Row],[_Res4]]&lt;&gt;""))</f>
        <v>0</v>
      </c>
      <c r="DV82" s="43" t="str">
        <f aca="false">IF(Tasks[[#This Row],[_Res2Text]]="","",IF(Tasks[[#This Row],[_Res2Row]]&gt;0,INDEX(res_Name,Tasks[[#This Row],[_Res2Row]]),TRIM(LEFT(Tasks[[#This Row],[_Res2Text]],FIND("[",Tasks[[#This Row],[_Res2Text]]&amp;"[")-1))))</f>
        <v/>
      </c>
      <c r="DW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3" t="n">
        <f aca="false">IF(OR(NOT(Tasks[[#This Row],[_IsLeaf]]=1),Tasks[[#This Row],[_Res2Row]]=0),0,N(Tasks[[#This Row],[_Days]])*HoursPerDay*IF(Tasks[[#This Row],[_Res2Units]]="",DefaultUnits,Tasks[[#This Row],[_Res2Units]]))</f>
        <v>0</v>
      </c>
      <c r="DY82" s="43" t="n">
        <f aca="false">IF(AND(AND(Tasks[[#This Row],[_IsLeaf]]=1,Tasks[[#This Row],[_LeafTotalWork]]&gt;0),Tasks[[#This Row],[_Res2Work]]&gt;0),Tasks[[#This Row],[_Res2Work]]/(Tasks[[#This Row],[_FinishWorkday]]-Tasks[[#This Row],[_StartWorkday]]+1),0)</f>
        <v>0</v>
      </c>
      <c r="DZ82" s="43" t="n">
        <f aca="false">Tasks[[#This Row],[_Res2WorkPerWD]]*MAX(0,Tasks[[#This Row],[_StartWorkday]]-1)</f>
        <v>0</v>
      </c>
      <c r="EA82" s="43" t="n">
        <f aca="false">Tasks[[#This Row],[_Res2Work]]*Tasks[[#This Row],[_LeafProgress]]</f>
        <v>0</v>
      </c>
      <c r="EB82" s="43" t="str">
        <f aca="false">IF(Tasks[[#This Row],[_Res3Text]]="","",IF(Tasks[[#This Row],[_Res3Row]]&gt;0,INDEX(res_Name,Tasks[[#This Row],[_Res3Row]]),TRIM(LEFT(Tasks[[#This Row],[_Res3Text]],FIND("[",Tasks[[#This Row],[_Res3Text]]&amp;"[")-1))))</f>
        <v/>
      </c>
      <c r="EC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3" t="n">
        <f aca="false">IF(OR(NOT(Tasks[[#This Row],[_IsLeaf]]=1),Tasks[[#This Row],[_Res3Row]]=0),0,N(Tasks[[#This Row],[_Days]])*HoursPerDay*IF(Tasks[[#This Row],[_Res3Units]]="",DefaultUnits,Tasks[[#This Row],[_Res3Units]]))</f>
        <v>0</v>
      </c>
      <c r="EE82" s="43" t="n">
        <f aca="false">IF(AND(AND(Tasks[[#This Row],[_IsLeaf]]=1,Tasks[[#This Row],[_LeafTotalWork]]&gt;0),Tasks[[#This Row],[_Res3Work]]&gt;0),Tasks[[#This Row],[_Res3Work]]/(Tasks[[#This Row],[_FinishWorkday]]-Tasks[[#This Row],[_StartWorkday]]+1),0)</f>
        <v>0</v>
      </c>
      <c r="EF82" s="43" t="n">
        <f aca="false">Tasks[[#This Row],[_Res3WorkPerWD]]*MAX(0,Tasks[[#This Row],[_StartWorkday]]-1)</f>
        <v>0</v>
      </c>
      <c r="EG82" s="43" t="n">
        <f aca="false">Tasks[[#This Row],[_Res3Work]]*Tasks[[#This Row],[_LeafProgress]]</f>
        <v>0</v>
      </c>
      <c r="EH82" s="43" t="str">
        <f aca="false">IF(Tasks[[#This Row],[_Res4Text]]="","",IF(Tasks[[#This Row],[_Res4Row]]&gt;0,INDEX(res_Name,Tasks[[#This Row],[_Res4Row]]),TRIM(LEFT(Tasks[[#This Row],[_Res4Text]],FIND("[",Tasks[[#This Row],[_Res4Text]]&amp;"[")-1))))</f>
        <v/>
      </c>
      <c r="EI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3" t="n">
        <f aca="false">IF(OR(NOT(Tasks[[#This Row],[_IsLeaf]]=1),Tasks[[#This Row],[_Res4Row]]=0),0,N(Tasks[[#This Row],[_Days]])*HoursPerDay*IF(Tasks[[#This Row],[_Res4Units]]="",DefaultUnits,Tasks[[#This Row],[_Res4Units]]))</f>
        <v>0</v>
      </c>
      <c r="EK82" s="43" t="n">
        <f aca="false">IF(AND(AND(Tasks[[#This Row],[_IsLeaf]]=1,Tasks[[#This Row],[_LeafTotalWork]]&gt;0),Tasks[[#This Row],[_Res4Work]]&gt;0),Tasks[[#This Row],[_Res4Work]]/(Tasks[[#This Row],[_FinishWorkday]]-Tasks[[#This Row],[_StartWorkday]]+1),0)</f>
        <v>0</v>
      </c>
      <c r="EL82" s="43" t="n">
        <f aca="false">Tasks[[#This Row],[_Res4WorkPerWD]]*MAX(0,Tasks[[#This Row],[_StartWorkday]]-1)</f>
        <v>0</v>
      </c>
      <c r="EM82" s="43" t="n">
        <f aca="false">Tasks[[#This Row],[_Res4Work]]*Tasks[[#This Row],[_LeafProgress]]</f>
        <v>0</v>
      </c>
      <c r="EN82" s="43" t="n">
        <f aca="false">IF(ISNUMBER(Tasks[[#This Row],[% Complete]]),Tasks[[#This Row],[% Complete]],IF(Tasks[[#This Row],[Stage]]="",0,IFERROR(INDEX(stg_Pct,MATCH(Tasks[[#This Row],[Stage]],stg_Name,0)),0)))</f>
        <v>0</v>
      </c>
      <c r="EO82" s="43" t="n">
        <f aca="false">IF(NOT(Tasks[[#This Row],[_IsLeaf]]=1),0,IF(N(Tasks[[#This Row],[Actual Finish]])&gt;0,1,MIN(1,Tasks[[#This Row],[_Pct]])))</f>
        <v>0</v>
      </c>
      <c r="EP82" s="43" t="n">
        <f aca="false">IF(OR(NOT(Tasks[[#This Row],[_IsLeaf]]=1),Tasks[[#This Row],[_Res1Row]]=0),0,N(Tasks[[#This Row],[_Days]])*HoursPerDay*IF(Tasks[[#This Row],[_Units1]]="",DefaultUnits,Tasks[[#This Row],[_Units1]]))</f>
        <v>0</v>
      </c>
      <c r="EQ82" s="43" t="n">
        <f aca="false">Tasks[[#This Row],[_LeafWork]]+Tasks[[#This Row],[_Res2Work]]+Tasks[[#This Row],[_Res3Work]]+Tasks[[#This Row],[_Res4Work]]</f>
        <v>0</v>
      </c>
      <c r="ER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3" t="n">
        <f aca="false">IF(NOT(Tasks[[#This Row],[_IsLeaf]]=1),0,MAX(_xlfn.MAXIFS(Tasks[_Row],Tasks[_Pred1UID],Tasks[[#This Row],[UID]]),_xlfn.MAXIFS(Tasks[_Row],Tasks[_Pred2UID],Tasks[[#This Row],[UID]]),_xlfn.MAXIFS(Tasks[_Row],Tasks[_Pred3UID],Tasks[[#This Row],[UID]]),_xlfn.MAXIFS(Tasks[_Row],Tasks[_Pred4UID],Tasks[[#This Row],[UID]])))</f>
        <v>0</v>
      </c>
      <c r="FA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91" t="str">
        <f aca="false">IF(NOT(Tasks[[#This Row],[_IsLeaf]]=1),"",IF(N(Tasks[[#This Row],[_Days]])&lt;=0,Tasks[[#This Row],[_LeafLateFinish]],WORKDAY.INTL(Tasks[[#This Row],[_LeafLateFinish]],-(Tasks[[#This Row],[_Days]]-1),WorkWeek,Holidays)))</f>
        <v/>
      </c>
      <c r="FD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2" s="90" t="b">
        <f aca="false">AND(Tasks[[#This Row],[_IsLeaf]]=1,Tasks[[#This Row],[_LeafProgress]]&lt;1,N(Tasks[[#This Row],[_LeafTotalSlack]])&lt;=CriticalSlackDays)</f>
        <v>0</v>
      </c>
      <c r="FF82" s="43" t="n">
        <f aca="false">IF(AND(Tasks[[#This Row],[_IsLeaf]]=1,Tasks[[#This Row],[_ConstraintCode]]=1,Tasks[[#This Row],[Mode]]&lt;&gt;"Manual",N(Tasks[[#This Row],[Actual Start]])=0),MAX(0,N(Tasks[[#This Row],[Free Slack]])),0)</f>
        <v>0</v>
      </c>
      <c r="FG82" s="91" t="str">
        <f aca="false">IF(NOT(Tasks[[#This Row],[_IsLeaf]]=1),"",IF(Tasks[[#This Row],[_AlapShift]]=0,Tasks[[#This Row],[_LeafCalcStart]],WORKDAY.INTL(Tasks[[#This Row],[_LeafCalcStart]],Tasks[[#This Row],[_AlapShift]],WorkWeek,Holidays)))</f>
        <v/>
      </c>
      <c r="FH82" s="91" t="str">
        <f aca="false">IF(NOT(Tasks[[#This Row],[_IsLeaf]]=1),"",IF(Tasks[[#This Row],[_AlapShift]]=0,Tasks[[#This Row],[_LeafCalcFinish]],WORKDAY.INTL(Tasks[[#This Row],[_LeafCalcFinish]],Tasks[[#This Row],[_AlapShift]],WorkWeek,Holidays)))</f>
        <v/>
      </c>
      <c r="FI82" s="91" t="str">
        <f aca="false">IF(NOT(Tasks[[#This Row],[_IsLeaf]]=1),"",IF(Tasks[[#This Row],[_AlapShift]]=0,Tasks[[#This Row],[_LeafFcstStart]],WORKDAY.INTL(Tasks[[#This Row],[_LeafFcstStart]],Tasks[[#This Row],[_AlapShift]],WorkWeek,Holidays)))</f>
        <v/>
      </c>
      <c r="FJ82" s="91" t="str">
        <f aca="false">IF(NOT(Tasks[[#This Row],[_IsLeaf]]=1),"",IF(Tasks[[#This Row],[_AlapShift]]=0,Tasks[[#This Row],[_LeafFcstFinish]],WORKDAY.INTL(Tasks[[#This Row],[_LeafFcstFinish]],Tasks[[#This Row],[_AlapShift]],WorkWeek,Holidays)))</f>
        <v/>
      </c>
      <c r="FK82" s="91" t="str">
        <f aca="false">IF(Tasks[[#This Row],[Task Name]]="","",IF(Tasks[[#This Row],[_IsSummary]],MIN(INDEX(Tasks[_ShownCalcStart],Tasks[[#This Row],[_Row]]+1):INDEX(Tasks[_ShownCalcStart],Tasks[[#This Row],[_Row]]+Tasks[[#This Row],[_Descendants]])),Tasks[[#This Row],[_ShownCalcStart]]))</f>
        <v/>
      </c>
      <c r="FL82" s="91" t="str">
        <f aca="false">IF(Tasks[[#This Row],[Task Name]]="","",IF(Tasks[[#This Row],[_IsSummary]],MAX(INDEX(Tasks[_ShownCalcFinish],Tasks[[#This Row],[_Row]]+1):INDEX(Tasks[_ShownCalcFinish],Tasks[[#This Row],[_Row]]+Tasks[[#This Row],[_Descendants]])),Tasks[[#This Row],[_ShownCalcFinish]]))</f>
        <v/>
      </c>
      <c r="FM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2" s="43" t="n">
        <f aca="false">IF(AND(Tasks[[#This Row],[_IsLeaf]]=1,Tasks[[#This Row],[_LeafTotalWork]]&gt;0),NETWORKDAYS.INTL(ProjectStart,Tasks[[#This Row],[_ShownFcstStart]],WorkWeek,Holidays),0)</f>
        <v>0</v>
      </c>
      <c r="FZ82" s="43" t="n">
        <f aca="false">IF(AND(Tasks[[#This Row],[_IsLeaf]]=1,Tasks[[#This Row],[_LeafTotalWork]]&gt;0),MAX(Tasks[[#This Row],[_StartWorkday]],NETWORKDAYS.INTL(ProjectStart,Tasks[[#This Row],[_ShownFcstFinish]],WorkWeek,Holidays)),0)</f>
        <v>0</v>
      </c>
      <c r="GA82" s="43" t="n">
        <f aca="false">IF(AND(Tasks[[#This Row],[_IsLeaf]]=1,Tasks[[#This Row],[_LeafTotalWork]]&gt;0),Tasks[[#This Row],[_LeafWork]]/(Tasks[[#This Row],[_FinishWorkday]]-Tasks[[#This Row],[_StartWorkday]]+1),0)</f>
        <v>0</v>
      </c>
      <c r="GB82" s="43" t="n">
        <f aca="false">Tasks[[#This Row],[_WorkPerWorkday]]*(Tasks[[#This Row],[_StartWorkday]]-1)</f>
        <v>-0</v>
      </c>
      <c r="GC82" s="43" t="n">
        <f aca="false">IF(Tasks[[#This Row],[_IsLeaf]]=1,MAX(N(Tasks[[#This Row],[_Days]]),0.1),0)</f>
        <v>0</v>
      </c>
      <c r="GD82" s="43" t="n">
        <f aca="false">Tasks[[#This Row],[_WeightDur]]*Tasks[[#This Row],[_LeafProgress]]</f>
        <v>0</v>
      </c>
      <c r="GE82" s="43" t="n">
        <f aca="false">Tasks[[#This Row],[_WeightDur]]*Tasks[[#This Row],[_PlannedPct]]</f>
        <v>0</v>
      </c>
      <c r="GF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3" t="str">
        <f aca="false">IF(AND(Tasks[[#This Row],[_IsLeaf]]=1,N(Tasks[[#This Row],[_Days]])=0,Tasks[[#This Row],[_LeafProgress]]&lt;1),Tasks[[#This Row],[_ShownFcstFinish]]+Tasks[[#This Row],[_Row]]/100000,"")</f>
        <v/>
      </c>
      <c r="GH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2" s="43" t="str">
        <f aca="false">IF(Tasks[[#This Row],[Task Name]]="","",LEFT(Tasks[[#This Row],[WBS]],FIND(".",Tasks[[#This Row],[WBS]]&amp;".")-1))</f>
        <v/>
      </c>
      <c r="GJ82" s="43" t="str">
        <f aca="false">IF(AND(Tasks[[#This Row],[Task Name]]&lt;&gt;"",Tasks[[#This Row],[_Level]]=1),Tasks[[#This Row],[_Row]],"")</f>
        <v/>
      </c>
      <c r="GK82" s="43" t="str">
        <f aca="false">IF(AND(Tasks[[#This Row],[_IsLeaf]]=1,N(Tasks[[#This Row],[_Days]])=0),Tasks[[#This Row],[Planned Finish]]+Tasks[[#This Row],[_Row]]/100000,"")</f>
        <v/>
      </c>
      <c r="GL82" s="43" t="str">
        <f aca="false">IF(AND(Tasks[[#This Row],[_IsLeaf]]=1,Tasks[[#This Row],[_LeafProgress]]&lt;1,OR(N(Tasks[[#This Row],[Finish Var]])&gt;0,Tasks[[#This Row],[Status]]="Late Start")),MAX(0,Tasks[[#This Row],[Finish Var]])+1-Tasks[[#This Row],[_Row]]/1000000,"")</f>
        <v/>
      </c>
      <c r="GM82" s="43" t="str">
        <f aca="false">IF(AND(Tasks[[#This Row],[_IsLeaf]]=1,N(Tasks[[#This Row],[Actual Start]])=0,Tasks[[#This Row],[_ShownFcstStart]]&gt;=StatusDate,Tasks[[#This Row],[_ShownFcstStart]]&lt;=LookaheadEnd),Tasks[[#This Row],[_ShownFcstStart]]+Tasks[[#This Row],[_Row]]/100000,"")</f>
        <v/>
      </c>
      <c r="GN82" s="43" t="str">
        <f aca="false">IF(AND(Tasks[[#This Row],[_IsLeaf]]=1,Tasks[[#This Row],[_LeafProgress]]&lt;1,Tasks[[#This Row],[_ShownFcstFinish]]&gt;=StatusDate,Tasks[[#This Row],[_ShownFcstFinish]]&lt;=LookaheadEnd),Tasks[[#This Row],[_ShownFcstFinish]]+Tasks[[#This Row],[_Row]]/100000,"")</f>
        <v/>
      </c>
      <c r="GO82" s="43" t="str">
        <f aca="false">IF(Tasks[[#This Row],[_LeafCritical]],Tasks[[#This Row],[_ShownFcstStart]]+Tasks[[#This Row],[_Row]]/100000,"")</f>
        <v/>
      </c>
      <c r="GP82" s="43" t="n">
        <f aca="false">Tasks[[#This Row],[_LeafWork]]*Tasks[[#This Row],[_LeafProgress]]</f>
        <v>0</v>
      </c>
      <c r="GQ82" s="91" t="str">
        <f aca="false">IF(AND(Tasks[[#This Row],[_IsLeaf]]=1,Tasks[[#This Row],[_LeafProgress]]&gt;=1),IF(N(Tasks[[#This Row],[Actual Finish]])&gt;0,Tasks[[#This Row],[Actual Finish]],Tasks[[#This Row],[_ShownFcstFinish]]),"")</f>
        <v/>
      </c>
      <c r="GR82" s="43" t="n">
        <f aca="false">IF(Tasks[[#This Row],[_IsLeaf]]=1,N(Tasks[[#This Row],[Story Points]]),0)</f>
        <v>0</v>
      </c>
      <c r="GS82" s="43" t="str">
        <f aca="false">""</f>
        <v/>
      </c>
      <c r="GT82" s="90" t="b">
        <f aca="false">IF(Tasks[[#This Row],[Task Name]]="",FALSE(),AND(Tasks[[#This Row],[_IsLeaf]]=1,N(Tasks[[#This Row],[_Days]])=0))</f>
        <v>0</v>
      </c>
      <c r="GU82" s="91" t="n">
        <f aca="false">IF(Tasks[[#This Row],[Task Name]]="",0,IF(AND(Tasks[[#This Row],[_IsLeaf]]=1,NOT(Tasks[[#This Row],[_IsMilestone]]),N(Tasks[[#This Row],[Progress]])&gt;0),Tasks[[#This Row],[Start]],0))</f>
        <v>0</v>
      </c>
      <c r="GV82" s="91" t="n">
        <f aca="false">IF(Tasks[[#This Row],[_DoneFrom]]=0,0,IF(Tasks[[#This Row],[Progress]]&gt;=1,Tasks[[#This Row],[Finish]],MAX(Tasks[[#This Row],[_DoneFrom]],Tasks[[#This Row],[Start]]+ROUND((Tasks[[#This Row],[Finish]]-Tasks[[#This Row],[Start]]+1)*Tasks[[#This Row],[Progress]],0)-1)))</f>
        <v>0</v>
      </c>
      <c r="GW82" s="91" t="n">
        <f aca="false">IF(Tasks[[#This Row],[Task Name]]="",0,IF(OR(NOT(Tasks[[#This Row],[_IsLeaf]]=1),Tasks[[#This Row],[_IsMilestone]],N(Tasks[[#This Row],[Progress]])&gt;=1),0,IF(Tasks[[#This Row],[_DoneTo]]&gt;0,Tasks[[#This Row],[_DoneTo]]+1,Tasks[[#This Row],[Start]])))</f>
        <v>0</v>
      </c>
      <c r="GX82" s="91" t="n">
        <f aca="false">IF(Tasks[[#This Row],[_RemFrom]]=0,0,Tasks[[#This Row],[Finish]])</f>
        <v>0</v>
      </c>
      <c r="GY82" s="90" t="b">
        <f aca="false">IF(Tasks[[#This Row],[Task Name]]="",FALSE(),OR(NOT(BaselineSet),N(Tasks[[#This Row],[Baseline Start]])&gt;0))</f>
        <v>0</v>
      </c>
      <c r="GZ8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92" t="str">
        <f aca="false">IF(Tasks[[#This Row],[_IsLeaf]]=1,Tasks[[#This Row],[_Row]],"")</f>
        <v/>
      </c>
      <c r="HD82" s="92" t="str">
        <f aca="false">IFERROR(INDEX(Tasks[UID],SMALL(Tasks[_PickKey],Tasks[[#This Row],[_Row]]))&amp;" "&amp;INDEX(Tasks[Task Name],SMALL(Tasks[_PickKey],Tasks[[#This Row],[_Row]])),"")</f>
        <v/>
      </c>
      <c r="HE82" s="43" t="str">
        <f aca="false">IF(Tasks[[#This Row],[Task Name]]="","",IF(Tasks[[#This Row],[_IsSummary]],NETWORKDAYS.INTL(Tasks[[#This Row],[Start]],Tasks[[#This Row],[Finish]],WorkWeek,Holidays),N(Tasks[[#This Row],[_Days]])))</f>
        <v/>
      </c>
      <c r="HF82" s="43" t="n">
        <f aca="false">IF(Tasks[[#This Row],[Expected]]="",0,((Tasks[[#This Row],[Pessimistic]]-Tasks[[#This Row],[Optimistic]])/6)^2)</f>
        <v>0</v>
      </c>
      <c r="HG82" s="43" t="n">
        <f aca="false">IF(Tasks[[#This Row],[Expected]]="",0,Tasks[[#This Row],[Expected]]-N(Tasks[[#This Row],[_Days]]))</f>
        <v>0</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4"/>
      <c r="U83" s="23"/>
      <c r="V83" s="84"/>
      <c r="W83" s="23"/>
      <c r="X83" s="84"/>
      <c r="Y83" s="23"/>
      <c r="Z83" s="84"/>
      <c r="AA83" s="23"/>
      <c r="AB83" s="23"/>
      <c r="AC83" s="7"/>
      <c r="AD83" s="7"/>
      <c r="AE83" s="63" t="str">
        <f aca="false">IF(Tasks[[#This Row],[Task Name]]="","",IF(Tasks[[#This Row],[_IsSummary]],MIN(INDEX(Tasks[_ShownFcstStart],Tasks[[#This Row],[_Row]]+1):INDEX(Tasks[_ShownFcstStart],Tasks[[#This Row],[_Row]]+Tasks[[#This Row],[_Descendants]])),Tasks[[#This Row],[_ShownFcstStart]]))</f>
        <v/>
      </c>
      <c r="AF83" s="63"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3" s="7"/>
      <c r="AK83" s="22"/>
      <c r="AL83" s="23"/>
      <c r="AM83" s="7"/>
      <c r="AN83" s="47"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3" t="str">
        <f aca="false">IF(Tasks[[#This Row],[Task Name]]="","",IF(N(Tasks[[#This Row],[Baseline Start]])&gt;0,Tasks[[#This Row],[Baseline Start]],Tasks[[#This Row],[_CalcStart]]))</f>
        <v/>
      </c>
      <c r="AR83" s="63" t="str">
        <f aca="false">IF(Tasks[[#This Row],[Task Name]]="","",IF(N(Tasks[[#This Row],[Baseline Finish]])&gt;0,Tasks[[#This Row],[Baseline Finish]],Tasks[[#This Row],[_CalcFinish]]))</f>
        <v/>
      </c>
      <c r="AS83" s="47" t="str">
        <f aca="false">IF(Tasks[[#This Row],[Task Name]]="","",IF(Tasks[[#This Row],[Start]]&gt;=Tasks[[#This Row],[Planned Start]],NETWORKDAYS.INTL(Tasks[[#This Row],[Planned Start]],Tasks[[#This Row],[Start]],WorkWeek,Holidays)-1,1-NETWORKDAYS.INTL(Tasks[[#This Row],[Start]],Tasks[[#This Row],[Planned Start]],WorkWeek,Holidays)))</f>
        <v/>
      </c>
      <c r="AT83" s="63" t="str">
        <f aca="false">IF(Tasks[[#This Row],[Task Name]]="","",IF(Tasks[[#This Row],[_IsSummary]],MIN(INDEX(Tasks[_LeafLateStart],Tasks[[#This Row],[_Row]]+1):INDEX(Tasks[_LeafLateStart],Tasks[[#This Row],[_Row]]+Tasks[[#This Row],[_Descendants]])),Tasks[[#This Row],[_LeafLateStart]]))</f>
        <v/>
      </c>
      <c r="AU83" s="63" t="str">
        <f aca="false">IF(Tasks[[#This Row],[Task Name]]="","",IF(Tasks[[#This Row],[_IsSummary]],MAX(INDEX(Tasks[_LeafLateFinish],Tasks[[#This Row],[_Row]]+1):INDEX(Tasks[_LeafLateFinish],Tasks[[#This Row],[_Row]]+Tasks[[#This Row],[_Descendants]])),Tasks[[#This Row],[_LeafLateFinish]]))</f>
        <v/>
      </c>
      <c r="AV83" s="47"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5"/>
      <c r="BA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6"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7"/>
      <c r="BJ83" s="22"/>
      <c r="BK83" s="47" t="str">
        <f aca="false">IF(OR(Tasks[[#This Row],[Task Name]]="",Tasks[[#This Row],[Baseline Duration]]=""),"",Tasks[[#This Row],[_SpanDays]]-N(Tasks[[#This Row],[Baseline Duration]]))</f>
        <v/>
      </c>
      <c r="BL83" s="86" t="str">
        <f aca="false">IF(OR(Tasks[[#This Row],[Task Name]]="",Tasks[[#This Row],[Baseline Work]]=""),"",Tasks[[#This Row],[Work]]-N(Tasks[[#This Row],[Baseline Work]]))</f>
        <v/>
      </c>
      <c r="BM83" s="63" t="str">
        <f aca="false">IF(Tasks[[#This Row],[Task Name]]="","",IF(OR(TakeBaseline="Yes",N(Tasks[[#This Row],[Baseline Start]])=0),Tasks[[#This Row],[Start]],Tasks[[#This Row],[Baseline Start]]))</f>
        <v/>
      </c>
      <c r="BN83" s="63" t="str">
        <f aca="false">IF(Tasks[[#This Row],[Task Name]]="","",IF(OR(TakeBaseline="Yes",N(Tasks[[#This Row],[Baseline Finish]])=0),Tasks[[#This Row],[Finish]],Tasks[[#This Row],[Baseline Finish]]))</f>
        <v/>
      </c>
      <c r="BO83" s="21" t="str">
        <f aca="false">IF(Tasks[[#This Row],[Task Name]]="","",IF(OR(TakeBaseline="Yes",N(Tasks[[#This Row],[Baseline Duration]])=0),Tasks[[#This Row],[_SpanDays]],Tasks[[#This Row],[Baseline Duration]]))</f>
        <v/>
      </c>
      <c r="BP83" s="86" t="str">
        <f aca="false">IF(Tasks[[#This Row],[Task Name]]="","",IF(OR(TakeBaseline="Yes",N(Tasks[[#This Row],[Baseline Work]])=0),Tasks[[#This Row],[Work]],Tasks[[#This Row],[Baseline Work]]))</f>
        <v/>
      </c>
      <c r="BQ83" s="7"/>
      <c r="BR83" s="7"/>
      <c r="BS83" s="22"/>
      <c r="BT83" s="88"/>
      <c r="BU83" s="23"/>
      <c r="BV83" s="23"/>
      <c r="BW83" s="23"/>
      <c r="BX83" s="89" t="str">
        <f aca="false">IF(AND(Tasks[[#This Row],[_IsLeaf]]=1,ISNUMBER(Tasks[[#This Row],[Optimistic]]),ISNUMBER(Tasks[[#This Row],[Pessimistic]])),ROUND((Tasks[[#This Row],[Optimistic]]+4*N(Tasks[[#This Row],[_Days]])+Tasks[[#This Row],[Pessimistic]])/6,1),"")</f>
        <v/>
      </c>
      <c r="BY83" s="87"/>
      <c r="BZ83" s="87"/>
      <c r="CA83" s="22"/>
      <c r="CB83" s="43" t="str">
        <f aca="false">IF(Tasks[[#This Row],[Task Name]]="","",MAX(1,N(Tasks[[#This Row],[Level]])))</f>
        <v/>
      </c>
      <c r="CC83" s="43" t="n">
        <f aca="false">ROW()-ROW(Tasks[[#Headers],[ID]])</f>
        <v>78</v>
      </c>
      <c r="CD83" s="43" t="n">
        <f aca="false">IF(OR(Tasks[[#This Row],[Task Name]]="",Tasks[[#This Row],[_Level]]&lt;=1),0,IFERROR(LOOKUP(2,1/(Tasks[[#Headers],[_Level]]:Tasks[[#This Row],[_Level]]=Tasks[[#This Row],[_Level]]-1),ROW(Tasks[[#Headers],[_Level]]:Tasks[[#This Row],[_Level]])),0))</f>
        <v>0</v>
      </c>
      <c r="CE83" s="43" t="n">
        <f aca="false">IFERROR(N(INDEX(Tasks[_Level],Tasks[[#This Row],[_Row]]+1)),0)</f>
        <v>0</v>
      </c>
      <c r="CF83" s="90" t="b">
        <f aca="false">AND(Tasks[[#This Row],[Task Name]]&lt;&gt;"",Tasks[[#This Row],[_NextLevel]]&gt;Tasks[[#This Row],[_Level]])</f>
        <v>0</v>
      </c>
      <c r="CG83" s="43" t="n">
        <f aca="false">IF(Tasks[[#This Row],[_IsSummary]],COUNTIF(Tasks[WBS],Tasks[[#This Row],[WBS]]&amp;".*"),0)</f>
        <v>0</v>
      </c>
      <c r="CH83" s="43" t="n">
        <f aca="false">IF(AND(Tasks[[#This Row],[Task Name]]&lt;&gt;"",NOT(Tasks[[#This Row],[_IsSummary]])),1,0)</f>
        <v>0</v>
      </c>
      <c r="CI83" s="43" t="n">
        <f aca="false">IF(N(Tasks[[#This Row],[_Pred1UID]])=0,0,IFERROR(MATCH(Tasks[[#This Row],[_Pred1UID]],Tasks[UID],0),-1))</f>
        <v>0</v>
      </c>
      <c r="CJ83" s="43" t="n">
        <f aca="false">IF(N(Tasks[[#This Row],[_Pred2UID]])=0,0,IFERROR(MATCH(Tasks[[#This Row],[_Pred2UID]],Tasks[UID],0),-1))</f>
        <v>0</v>
      </c>
      <c r="CK83" s="43" t="n">
        <f aca="false">IF(N(Tasks[[#This Row],[_Pred3UID]])=0,0,IFERROR(MATCH(Tasks[[#This Row],[_Pred3UID]],Tasks[UID],0),-1))</f>
        <v>0</v>
      </c>
      <c r="CL83" s="43" t="n">
        <f aca="false">IF(N(Tasks[[#This Row],[_Pred4UID]])=0,0,IFERROR(MATCH(Tasks[[#This Row],[_Pred4UID]],Tasks[UID],0),-1))</f>
        <v>0</v>
      </c>
      <c r="CM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3" s="91" t="n">
        <f aca="false">IF(OR(Tasks[[#This Row],[_ConstraintCode]]=2,Tasks[[#This Row],[_ConstraintCode]]=3,Tasks[[#This Row],[_ConstraintCode]]=4,Tasks[[#This Row],[_ConstraintCode]]=6),Tasks[[#This Row],[_ConstraintStart]],0)</f>
        <v>0</v>
      </c>
      <c r="CP83" s="91" t="n">
        <f aca="false">IF(OR(Tasks[[#This Row],[_ConstraintCode]]=2,Tasks[[#This Row],[_ConstraintCode]]=3,Tasks[[#This Row],[_ConstraintCode]]=5,Tasks[[#This Row],[_ConstraintCode]]=7),Tasks[[#This Row],[_ConstraintStart]],2958465)</f>
        <v>2958465</v>
      </c>
      <c r="CQ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91" t="str">
        <f aca="false">IF(NOT(Tasks[[#This Row],[_IsLeaf]]=1),"",IF(N(Tasks[[#This Row],[_Days]])&lt;=0,Tasks[[#This Row],[_LeafCalcStart]],WORKDAY.INTL(Tasks[[#This Row],[_LeafCalcStart]],Tasks[[#This Row],[_Days]]-1,WorkWeek,Holidays)))</f>
        <v/>
      </c>
      <c r="CS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3" t="str">
        <f aca="false">IF(Tasks[[#This Row],[_Predecessors]]="","",TRIM(MID(SUBSTITUTE(SUBSTITUTE(SUBSTITUTE(UPPER(Tasks[[#This Row],[_Predecessors]]),";",",")," ",""),",",REPT(" ",99)),1,99)))</f>
        <v/>
      </c>
      <c r="CV83" s="43" t="str">
        <f aca="false">IF(Tasks[[#This Row],[_Pred1Text]]="","",IFERROR(VALUE(LEFT(Tasks[[#This Row],[_Pred1Text]],MIN(FIND("F",Tasks[[#This Row],[_Pred1Text]]&amp;"F"),FIND("S",Tasks[[#This Row],[_Pred1Text]]&amp;"S"),FIND("+",Tasks[[#This Row],[_Pred1Text]]&amp;"+"),FIND("-",Tasks[[#This Row],[_Pred1Text]]&amp;"-"))-1)),""))</f>
        <v/>
      </c>
      <c r="CW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3" t="str">
        <f aca="false">IF(Tasks[[#This Row],[_Pred1Text]]="","",TRIM(MID(SUBSTITUTE(SUBSTITUTE(SUBSTITUTE(UPPER(Tasks[[#This Row],[_Predecessors]]),";",",")," ",""),",",REPT(" ",99)),100,99)))</f>
        <v/>
      </c>
      <c r="CZ83" s="43" t="str">
        <f aca="false">IF(Tasks[[#This Row],[_Pred2Text]]="","",IFERROR(VALUE(LEFT(Tasks[[#This Row],[_Pred2Text]],MIN(FIND("F",Tasks[[#This Row],[_Pred2Text]]&amp;"F"),FIND("S",Tasks[[#This Row],[_Pred2Text]]&amp;"S"),FIND("+",Tasks[[#This Row],[_Pred2Text]]&amp;"+"),FIND("-",Tasks[[#This Row],[_Pred2Text]]&amp;"-"))-1)),""))</f>
        <v/>
      </c>
      <c r="DA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3" t="str">
        <f aca="false">IF(Tasks[[#This Row],[_Pred2Text]]="","",TRIM(MID(SUBSTITUTE(SUBSTITUTE(SUBSTITUTE(UPPER(Tasks[[#This Row],[_Predecessors]]),";",",")," ",""),",",REPT(" ",99)),199,99)))</f>
        <v/>
      </c>
      <c r="DD83" s="43" t="str">
        <f aca="false">IF(Tasks[[#This Row],[_Pred3Text]]="","",IFERROR(VALUE(LEFT(Tasks[[#This Row],[_Pred3Text]],MIN(FIND("F",Tasks[[#This Row],[_Pred3Text]]&amp;"F"),FIND("S",Tasks[[#This Row],[_Pred3Text]]&amp;"S"),FIND("+",Tasks[[#This Row],[_Pred3Text]]&amp;"+"),FIND("-",Tasks[[#This Row],[_Pred3Text]]&amp;"-"))-1)),""))</f>
        <v/>
      </c>
      <c r="DE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3" t="str">
        <f aca="false">IF(Tasks[[#This Row],[_Pred3Text]]="","",TRIM(MID(SUBSTITUTE(SUBSTITUTE(SUBSTITUTE(UPPER(Tasks[[#This Row],[_Predecessors]]),";",",")," ",""),",",REPT(" ",99)),298,99)))</f>
        <v/>
      </c>
      <c r="DH83" s="43" t="str">
        <f aca="false">IF(Tasks[[#This Row],[_Pred4Text]]="","",IFERROR(VALUE(LEFT(Tasks[[#This Row],[_Pred4Text]],MIN(FIND("F",Tasks[[#This Row],[_Pred4Text]]&amp;"F"),FIND("S",Tasks[[#This Row],[_Pred4Text]]&amp;"S"),FIND("+",Tasks[[#This Row],[_Pred4Text]]&amp;"+"),FIND("-",Tasks[[#This Row],[_Pred4Text]]&amp;"-"))-1)),""))</f>
        <v/>
      </c>
      <c r="DI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3" t="str">
        <f aca="false">IF(OR(Tasks[[#This Row],[Task Name]]="",Tasks[[#This Row],[_Resources]]=""),"",TRIM(MID(SUBSTITUTE(Tasks[[#This Row],[_Resources]],",",REPT(" ",99)),1,99)))</f>
        <v/>
      </c>
      <c r="DL83" s="43" t="str">
        <f aca="false">IF(Tasks[[#This Row],[_Res1Text]]="","",TRIM(MID(SUBSTITUTE(Tasks[[#This Row],[_Resources]],",",REPT(" ",99)),100,99)))</f>
        <v/>
      </c>
      <c r="DM83" s="43" t="str">
        <f aca="false">IF(Tasks[[#This Row],[_Res2Text]]="","",TRIM(MID(SUBSTITUTE(Tasks[[#This Row],[_Resources]],",",REPT(" ",99)),199,99)))</f>
        <v/>
      </c>
      <c r="DN83" s="43" t="str">
        <f aca="false">IF(Tasks[[#This Row],[_Res3Text]]="","",TRIM(MID(SUBSTITUTE(Tasks[[#This Row],[_Resources]],",",REPT(" ",99)),298,99)))</f>
        <v/>
      </c>
      <c r="DO83" s="43" t="n">
        <f aca="false">IF(Tasks[[#This Row],[_Res1Text]]="",0,IFERROR(MATCH(TRIM(LEFT(Tasks[[#This Row],[_Res1Text]],FIND("[",Tasks[[#This Row],[_Res1Text]]&amp;"[")-1)),res_Name,0),IFERROR(MATCH(TRIM(LEFT(Tasks[[#This Row],[_Res1Text]],FIND("[",Tasks[[#This Row],[_Res1Text]]&amp;"[")-1)),res_Initials,0),0)))</f>
        <v>0</v>
      </c>
      <c r="DP83" s="43" t="n">
        <f aca="false">IF(Tasks[[#This Row],[_Res2Text]]="",0,IFERROR(MATCH(TRIM(LEFT(Tasks[[#This Row],[_Res2Text]],FIND("[",Tasks[[#This Row],[_Res2Text]]&amp;"[")-1)),res_Name,0),IFERROR(MATCH(TRIM(LEFT(Tasks[[#This Row],[_Res2Text]],FIND("[",Tasks[[#This Row],[_Res2Text]]&amp;"[")-1)),res_Initials,0),0)))</f>
        <v>0</v>
      </c>
      <c r="DQ83" s="43" t="n">
        <f aca="false">IF(Tasks[[#This Row],[_Res3Text]]="",0,IFERROR(MATCH(TRIM(LEFT(Tasks[[#This Row],[_Res3Text]],FIND("[",Tasks[[#This Row],[_Res3Text]]&amp;"[")-1)),res_Name,0),IFERROR(MATCH(TRIM(LEFT(Tasks[[#This Row],[_Res3Text]],FIND("[",Tasks[[#This Row],[_Res3Text]]&amp;"[")-1)),res_Initials,0),0)))</f>
        <v>0</v>
      </c>
      <c r="DR83" s="43" t="n">
        <f aca="false">IF(Tasks[[#This Row],[_Res4Text]]="",0,IFERROR(MATCH(TRIM(LEFT(Tasks[[#This Row],[_Res4Text]],FIND("[",Tasks[[#This Row],[_Res4Text]]&amp;"[")-1)),res_Name,0),IFERROR(MATCH(TRIM(LEFT(Tasks[[#This Row],[_Res4Text]],FIND("[",Tasks[[#This Row],[_Res4Text]]&amp;"[")-1)),res_Initials,0),0)))</f>
        <v>0</v>
      </c>
      <c r="DS83" s="43" t="str">
        <f aca="false">IF(Tasks[[#This Row],[_Res1Text]]="","",IF(Tasks[[#This Row],[_Res1Row]]&gt;0,INDEX(res_Name,Tasks[[#This Row],[_Res1Row]]),TRIM(LEFT(Tasks[[#This Row],[_Res1Text]],FIND("[",Tasks[[#This Row],[_Res1Text]]&amp;"[")-1))))</f>
        <v/>
      </c>
      <c r="DT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3" t="n">
        <f aca="false">IF(NOT(Tasks[[#This Row],[_IsLeaf]]=1),0,(Tasks[[#This Row],[_Resource1]]&lt;&gt;"")+(Tasks[[#This Row],[_Res2]]&lt;&gt;"")+(Tasks[[#This Row],[_Res3]]&lt;&gt;"")+(Tasks[[#This Row],[_Res4]]&lt;&gt;""))</f>
        <v>0</v>
      </c>
      <c r="DV83" s="43" t="str">
        <f aca="false">IF(Tasks[[#This Row],[_Res2Text]]="","",IF(Tasks[[#This Row],[_Res2Row]]&gt;0,INDEX(res_Name,Tasks[[#This Row],[_Res2Row]]),TRIM(LEFT(Tasks[[#This Row],[_Res2Text]],FIND("[",Tasks[[#This Row],[_Res2Text]]&amp;"[")-1))))</f>
        <v/>
      </c>
      <c r="DW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3" t="n">
        <f aca="false">IF(OR(NOT(Tasks[[#This Row],[_IsLeaf]]=1),Tasks[[#This Row],[_Res2Row]]=0),0,N(Tasks[[#This Row],[_Days]])*HoursPerDay*IF(Tasks[[#This Row],[_Res2Units]]="",DefaultUnits,Tasks[[#This Row],[_Res2Units]]))</f>
        <v>0</v>
      </c>
      <c r="DY83" s="43" t="n">
        <f aca="false">IF(AND(AND(Tasks[[#This Row],[_IsLeaf]]=1,Tasks[[#This Row],[_LeafTotalWork]]&gt;0),Tasks[[#This Row],[_Res2Work]]&gt;0),Tasks[[#This Row],[_Res2Work]]/(Tasks[[#This Row],[_FinishWorkday]]-Tasks[[#This Row],[_StartWorkday]]+1),0)</f>
        <v>0</v>
      </c>
      <c r="DZ83" s="43" t="n">
        <f aca="false">Tasks[[#This Row],[_Res2WorkPerWD]]*MAX(0,Tasks[[#This Row],[_StartWorkday]]-1)</f>
        <v>0</v>
      </c>
      <c r="EA83" s="43" t="n">
        <f aca="false">Tasks[[#This Row],[_Res2Work]]*Tasks[[#This Row],[_LeafProgress]]</f>
        <v>0</v>
      </c>
      <c r="EB83" s="43" t="str">
        <f aca="false">IF(Tasks[[#This Row],[_Res3Text]]="","",IF(Tasks[[#This Row],[_Res3Row]]&gt;0,INDEX(res_Name,Tasks[[#This Row],[_Res3Row]]),TRIM(LEFT(Tasks[[#This Row],[_Res3Text]],FIND("[",Tasks[[#This Row],[_Res3Text]]&amp;"[")-1))))</f>
        <v/>
      </c>
      <c r="EC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3" t="n">
        <f aca="false">IF(OR(NOT(Tasks[[#This Row],[_IsLeaf]]=1),Tasks[[#This Row],[_Res3Row]]=0),0,N(Tasks[[#This Row],[_Days]])*HoursPerDay*IF(Tasks[[#This Row],[_Res3Units]]="",DefaultUnits,Tasks[[#This Row],[_Res3Units]]))</f>
        <v>0</v>
      </c>
      <c r="EE83" s="43" t="n">
        <f aca="false">IF(AND(AND(Tasks[[#This Row],[_IsLeaf]]=1,Tasks[[#This Row],[_LeafTotalWork]]&gt;0),Tasks[[#This Row],[_Res3Work]]&gt;0),Tasks[[#This Row],[_Res3Work]]/(Tasks[[#This Row],[_FinishWorkday]]-Tasks[[#This Row],[_StartWorkday]]+1),0)</f>
        <v>0</v>
      </c>
      <c r="EF83" s="43" t="n">
        <f aca="false">Tasks[[#This Row],[_Res3WorkPerWD]]*MAX(0,Tasks[[#This Row],[_StartWorkday]]-1)</f>
        <v>0</v>
      </c>
      <c r="EG83" s="43" t="n">
        <f aca="false">Tasks[[#This Row],[_Res3Work]]*Tasks[[#This Row],[_LeafProgress]]</f>
        <v>0</v>
      </c>
      <c r="EH83" s="43" t="str">
        <f aca="false">IF(Tasks[[#This Row],[_Res4Text]]="","",IF(Tasks[[#This Row],[_Res4Row]]&gt;0,INDEX(res_Name,Tasks[[#This Row],[_Res4Row]]),TRIM(LEFT(Tasks[[#This Row],[_Res4Text]],FIND("[",Tasks[[#This Row],[_Res4Text]]&amp;"[")-1))))</f>
        <v/>
      </c>
      <c r="EI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3" t="n">
        <f aca="false">IF(OR(NOT(Tasks[[#This Row],[_IsLeaf]]=1),Tasks[[#This Row],[_Res4Row]]=0),0,N(Tasks[[#This Row],[_Days]])*HoursPerDay*IF(Tasks[[#This Row],[_Res4Units]]="",DefaultUnits,Tasks[[#This Row],[_Res4Units]]))</f>
        <v>0</v>
      </c>
      <c r="EK83" s="43" t="n">
        <f aca="false">IF(AND(AND(Tasks[[#This Row],[_IsLeaf]]=1,Tasks[[#This Row],[_LeafTotalWork]]&gt;0),Tasks[[#This Row],[_Res4Work]]&gt;0),Tasks[[#This Row],[_Res4Work]]/(Tasks[[#This Row],[_FinishWorkday]]-Tasks[[#This Row],[_StartWorkday]]+1),0)</f>
        <v>0</v>
      </c>
      <c r="EL83" s="43" t="n">
        <f aca="false">Tasks[[#This Row],[_Res4WorkPerWD]]*MAX(0,Tasks[[#This Row],[_StartWorkday]]-1)</f>
        <v>0</v>
      </c>
      <c r="EM83" s="43" t="n">
        <f aca="false">Tasks[[#This Row],[_Res4Work]]*Tasks[[#This Row],[_LeafProgress]]</f>
        <v>0</v>
      </c>
      <c r="EN83" s="43" t="n">
        <f aca="false">IF(ISNUMBER(Tasks[[#This Row],[% Complete]]),Tasks[[#This Row],[% Complete]],IF(Tasks[[#This Row],[Stage]]="",0,IFERROR(INDEX(stg_Pct,MATCH(Tasks[[#This Row],[Stage]],stg_Name,0)),0)))</f>
        <v>0</v>
      </c>
      <c r="EO83" s="43" t="n">
        <f aca="false">IF(NOT(Tasks[[#This Row],[_IsLeaf]]=1),0,IF(N(Tasks[[#This Row],[Actual Finish]])&gt;0,1,MIN(1,Tasks[[#This Row],[_Pct]])))</f>
        <v>0</v>
      </c>
      <c r="EP83" s="43" t="n">
        <f aca="false">IF(OR(NOT(Tasks[[#This Row],[_IsLeaf]]=1),Tasks[[#This Row],[_Res1Row]]=0),0,N(Tasks[[#This Row],[_Days]])*HoursPerDay*IF(Tasks[[#This Row],[_Units1]]="",DefaultUnits,Tasks[[#This Row],[_Units1]]))</f>
        <v>0</v>
      </c>
      <c r="EQ83" s="43" t="n">
        <f aca="false">Tasks[[#This Row],[_LeafWork]]+Tasks[[#This Row],[_Res2Work]]+Tasks[[#This Row],[_Res3Work]]+Tasks[[#This Row],[_Res4Work]]</f>
        <v>0</v>
      </c>
      <c r="ER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3" t="n">
        <f aca="false">IF(NOT(Tasks[[#This Row],[_IsLeaf]]=1),0,MAX(_xlfn.MAXIFS(Tasks[_Row],Tasks[_Pred1UID],Tasks[[#This Row],[UID]]),_xlfn.MAXIFS(Tasks[_Row],Tasks[_Pred2UID],Tasks[[#This Row],[UID]]),_xlfn.MAXIFS(Tasks[_Row],Tasks[_Pred3UID],Tasks[[#This Row],[UID]]),_xlfn.MAXIFS(Tasks[_Row],Tasks[_Pred4UID],Tasks[[#This Row],[UID]])))</f>
        <v>0</v>
      </c>
      <c r="FA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91" t="str">
        <f aca="false">IF(NOT(Tasks[[#This Row],[_IsLeaf]]=1),"",IF(N(Tasks[[#This Row],[_Days]])&lt;=0,Tasks[[#This Row],[_LeafLateFinish]],WORKDAY.INTL(Tasks[[#This Row],[_LeafLateFinish]],-(Tasks[[#This Row],[_Days]]-1),WorkWeek,Holidays)))</f>
        <v/>
      </c>
      <c r="FD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3" s="90" t="b">
        <f aca="false">AND(Tasks[[#This Row],[_IsLeaf]]=1,Tasks[[#This Row],[_LeafProgress]]&lt;1,N(Tasks[[#This Row],[_LeafTotalSlack]])&lt;=CriticalSlackDays)</f>
        <v>0</v>
      </c>
      <c r="FF83" s="43" t="n">
        <f aca="false">IF(AND(Tasks[[#This Row],[_IsLeaf]]=1,Tasks[[#This Row],[_ConstraintCode]]=1,Tasks[[#This Row],[Mode]]&lt;&gt;"Manual",N(Tasks[[#This Row],[Actual Start]])=0),MAX(0,N(Tasks[[#This Row],[Free Slack]])),0)</f>
        <v>0</v>
      </c>
      <c r="FG83" s="91" t="str">
        <f aca="false">IF(NOT(Tasks[[#This Row],[_IsLeaf]]=1),"",IF(Tasks[[#This Row],[_AlapShift]]=0,Tasks[[#This Row],[_LeafCalcStart]],WORKDAY.INTL(Tasks[[#This Row],[_LeafCalcStart]],Tasks[[#This Row],[_AlapShift]],WorkWeek,Holidays)))</f>
        <v/>
      </c>
      <c r="FH83" s="91" t="str">
        <f aca="false">IF(NOT(Tasks[[#This Row],[_IsLeaf]]=1),"",IF(Tasks[[#This Row],[_AlapShift]]=0,Tasks[[#This Row],[_LeafCalcFinish]],WORKDAY.INTL(Tasks[[#This Row],[_LeafCalcFinish]],Tasks[[#This Row],[_AlapShift]],WorkWeek,Holidays)))</f>
        <v/>
      </c>
      <c r="FI83" s="91" t="str">
        <f aca="false">IF(NOT(Tasks[[#This Row],[_IsLeaf]]=1),"",IF(Tasks[[#This Row],[_AlapShift]]=0,Tasks[[#This Row],[_LeafFcstStart]],WORKDAY.INTL(Tasks[[#This Row],[_LeafFcstStart]],Tasks[[#This Row],[_AlapShift]],WorkWeek,Holidays)))</f>
        <v/>
      </c>
      <c r="FJ83" s="91" t="str">
        <f aca="false">IF(NOT(Tasks[[#This Row],[_IsLeaf]]=1),"",IF(Tasks[[#This Row],[_AlapShift]]=0,Tasks[[#This Row],[_LeafFcstFinish]],WORKDAY.INTL(Tasks[[#This Row],[_LeafFcstFinish]],Tasks[[#This Row],[_AlapShift]],WorkWeek,Holidays)))</f>
        <v/>
      </c>
      <c r="FK83" s="91" t="str">
        <f aca="false">IF(Tasks[[#This Row],[Task Name]]="","",IF(Tasks[[#This Row],[_IsSummary]],MIN(INDEX(Tasks[_ShownCalcStart],Tasks[[#This Row],[_Row]]+1):INDEX(Tasks[_ShownCalcStart],Tasks[[#This Row],[_Row]]+Tasks[[#This Row],[_Descendants]])),Tasks[[#This Row],[_ShownCalcStart]]))</f>
        <v/>
      </c>
      <c r="FL83" s="91" t="str">
        <f aca="false">IF(Tasks[[#This Row],[Task Name]]="","",IF(Tasks[[#This Row],[_IsSummary]],MAX(INDEX(Tasks[_ShownCalcFinish],Tasks[[#This Row],[_Row]]+1):INDEX(Tasks[_ShownCalcFinish],Tasks[[#This Row],[_Row]]+Tasks[[#This Row],[_Descendants]])),Tasks[[#This Row],[_ShownCalcFinish]]))</f>
        <v/>
      </c>
      <c r="FM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3" s="43" t="n">
        <f aca="false">IF(AND(Tasks[[#This Row],[_IsLeaf]]=1,Tasks[[#This Row],[_LeafTotalWork]]&gt;0),NETWORKDAYS.INTL(ProjectStart,Tasks[[#This Row],[_ShownFcstStart]],WorkWeek,Holidays),0)</f>
        <v>0</v>
      </c>
      <c r="FZ83" s="43" t="n">
        <f aca="false">IF(AND(Tasks[[#This Row],[_IsLeaf]]=1,Tasks[[#This Row],[_LeafTotalWork]]&gt;0),MAX(Tasks[[#This Row],[_StartWorkday]],NETWORKDAYS.INTL(ProjectStart,Tasks[[#This Row],[_ShownFcstFinish]],WorkWeek,Holidays)),0)</f>
        <v>0</v>
      </c>
      <c r="GA83" s="43" t="n">
        <f aca="false">IF(AND(Tasks[[#This Row],[_IsLeaf]]=1,Tasks[[#This Row],[_LeafTotalWork]]&gt;0),Tasks[[#This Row],[_LeafWork]]/(Tasks[[#This Row],[_FinishWorkday]]-Tasks[[#This Row],[_StartWorkday]]+1),0)</f>
        <v>0</v>
      </c>
      <c r="GB83" s="43" t="n">
        <f aca="false">Tasks[[#This Row],[_WorkPerWorkday]]*(Tasks[[#This Row],[_StartWorkday]]-1)</f>
        <v>-0</v>
      </c>
      <c r="GC83" s="43" t="n">
        <f aca="false">IF(Tasks[[#This Row],[_IsLeaf]]=1,MAX(N(Tasks[[#This Row],[_Days]]),0.1),0)</f>
        <v>0</v>
      </c>
      <c r="GD83" s="43" t="n">
        <f aca="false">Tasks[[#This Row],[_WeightDur]]*Tasks[[#This Row],[_LeafProgress]]</f>
        <v>0</v>
      </c>
      <c r="GE83" s="43" t="n">
        <f aca="false">Tasks[[#This Row],[_WeightDur]]*Tasks[[#This Row],[_PlannedPct]]</f>
        <v>0</v>
      </c>
      <c r="GF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3" t="str">
        <f aca="false">IF(AND(Tasks[[#This Row],[_IsLeaf]]=1,N(Tasks[[#This Row],[_Days]])=0,Tasks[[#This Row],[_LeafProgress]]&lt;1),Tasks[[#This Row],[_ShownFcstFinish]]+Tasks[[#This Row],[_Row]]/100000,"")</f>
        <v/>
      </c>
      <c r="GH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3" s="43" t="str">
        <f aca="false">IF(Tasks[[#This Row],[Task Name]]="","",LEFT(Tasks[[#This Row],[WBS]],FIND(".",Tasks[[#This Row],[WBS]]&amp;".")-1))</f>
        <v/>
      </c>
      <c r="GJ83" s="43" t="str">
        <f aca="false">IF(AND(Tasks[[#This Row],[Task Name]]&lt;&gt;"",Tasks[[#This Row],[_Level]]=1),Tasks[[#This Row],[_Row]],"")</f>
        <v/>
      </c>
      <c r="GK83" s="43" t="str">
        <f aca="false">IF(AND(Tasks[[#This Row],[_IsLeaf]]=1,N(Tasks[[#This Row],[_Days]])=0),Tasks[[#This Row],[Planned Finish]]+Tasks[[#This Row],[_Row]]/100000,"")</f>
        <v/>
      </c>
      <c r="GL83" s="43" t="str">
        <f aca="false">IF(AND(Tasks[[#This Row],[_IsLeaf]]=1,Tasks[[#This Row],[_LeafProgress]]&lt;1,OR(N(Tasks[[#This Row],[Finish Var]])&gt;0,Tasks[[#This Row],[Status]]="Late Start")),MAX(0,Tasks[[#This Row],[Finish Var]])+1-Tasks[[#This Row],[_Row]]/1000000,"")</f>
        <v/>
      </c>
      <c r="GM83" s="43" t="str">
        <f aca="false">IF(AND(Tasks[[#This Row],[_IsLeaf]]=1,N(Tasks[[#This Row],[Actual Start]])=0,Tasks[[#This Row],[_ShownFcstStart]]&gt;=StatusDate,Tasks[[#This Row],[_ShownFcstStart]]&lt;=LookaheadEnd),Tasks[[#This Row],[_ShownFcstStart]]+Tasks[[#This Row],[_Row]]/100000,"")</f>
        <v/>
      </c>
      <c r="GN83" s="43" t="str">
        <f aca="false">IF(AND(Tasks[[#This Row],[_IsLeaf]]=1,Tasks[[#This Row],[_LeafProgress]]&lt;1,Tasks[[#This Row],[_ShownFcstFinish]]&gt;=StatusDate,Tasks[[#This Row],[_ShownFcstFinish]]&lt;=LookaheadEnd),Tasks[[#This Row],[_ShownFcstFinish]]+Tasks[[#This Row],[_Row]]/100000,"")</f>
        <v/>
      </c>
      <c r="GO83" s="43" t="str">
        <f aca="false">IF(Tasks[[#This Row],[_LeafCritical]],Tasks[[#This Row],[_ShownFcstStart]]+Tasks[[#This Row],[_Row]]/100000,"")</f>
        <v/>
      </c>
      <c r="GP83" s="43" t="n">
        <f aca="false">Tasks[[#This Row],[_LeafWork]]*Tasks[[#This Row],[_LeafProgress]]</f>
        <v>0</v>
      </c>
      <c r="GQ83" s="91" t="str">
        <f aca="false">IF(AND(Tasks[[#This Row],[_IsLeaf]]=1,Tasks[[#This Row],[_LeafProgress]]&gt;=1),IF(N(Tasks[[#This Row],[Actual Finish]])&gt;0,Tasks[[#This Row],[Actual Finish]],Tasks[[#This Row],[_ShownFcstFinish]]),"")</f>
        <v/>
      </c>
      <c r="GR83" s="43" t="n">
        <f aca="false">IF(Tasks[[#This Row],[_IsLeaf]]=1,N(Tasks[[#This Row],[Story Points]]),0)</f>
        <v>0</v>
      </c>
      <c r="GS83" s="43" t="str">
        <f aca="false">""</f>
        <v/>
      </c>
      <c r="GT83" s="90" t="b">
        <f aca="false">IF(Tasks[[#This Row],[Task Name]]="",FALSE(),AND(Tasks[[#This Row],[_IsLeaf]]=1,N(Tasks[[#This Row],[_Days]])=0))</f>
        <v>0</v>
      </c>
      <c r="GU83" s="91" t="n">
        <f aca="false">IF(Tasks[[#This Row],[Task Name]]="",0,IF(AND(Tasks[[#This Row],[_IsLeaf]]=1,NOT(Tasks[[#This Row],[_IsMilestone]]),N(Tasks[[#This Row],[Progress]])&gt;0),Tasks[[#This Row],[Start]],0))</f>
        <v>0</v>
      </c>
      <c r="GV83" s="91" t="n">
        <f aca="false">IF(Tasks[[#This Row],[_DoneFrom]]=0,0,IF(Tasks[[#This Row],[Progress]]&gt;=1,Tasks[[#This Row],[Finish]],MAX(Tasks[[#This Row],[_DoneFrom]],Tasks[[#This Row],[Start]]+ROUND((Tasks[[#This Row],[Finish]]-Tasks[[#This Row],[Start]]+1)*Tasks[[#This Row],[Progress]],0)-1)))</f>
        <v>0</v>
      </c>
      <c r="GW83" s="91" t="n">
        <f aca="false">IF(Tasks[[#This Row],[Task Name]]="",0,IF(OR(NOT(Tasks[[#This Row],[_IsLeaf]]=1),Tasks[[#This Row],[_IsMilestone]],N(Tasks[[#This Row],[Progress]])&gt;=1),0,IF(Tasks[[#This Row],[_DoneTo]]&gt;0,Tasks[[#This Row],[_DoneTo]]+1,Tasks[[#This Row],[Start]])))</f>
        <v>0</v>
      </c>
      <c r="GX83" s="91" t="n">
        <f aca="false">IF(Tasks[[#This Row],[_RemFrom]]=0,0,Tasks[[#This Row],[Finish]])</f>
        <v>0</v>
      </c>
      <c r="GY83" s="90" t="b">
        <f aca="false">IF(Tasks[[#This Row],[Task Name]]="",FALSE(),OR(NOT(BaselineSet),N(Tasks[[#This Row],[Baseline Start]])&gt;0))</f>
        <v>0</v>
      </c>
      <c r="GZ8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92" t="str">
        <f aca="false">IF(Tasks[[#This Row],[_IsLeaf]]=1,Tasks[[#This Row],[_Row]],"")</f>
        <v/>
      </c>
      <c r="HD83" s="92" t="str">
        <f aca="false">IFERROR(INDEX(Tasks[UID],SMALL(Tasks[_PickKey],Tasks[[#This Row],[_Row]]))&amp;" "&amp;INDEX(Tasks[Task Name],SMALL(Tasks[_PickKey],Tasks[[#This Row],[_Row]])),"")</f>
        <v/>
      </c>
      <c r="HE83" s="43" t="str">
        <f aca="false">IF(Tasks[[#This Row],[Task Name]]="","",IF(Tasks[[#This Row],[_IsSummary]],NETWORKDAYS.INTL(Tasks[[#This Row],[Start]],Tasks[[#This Row],[Finish]],WorkWeek,Holidays),N(Tasks[[#This Row],[_Days]])))</f>
        <v/>
      </c>
      <c r="HF83" s="43" t="n">
        <f aca="false">IF(Tasks[[#This Row],[Expected]]="",0,((Tasks[[#This Row],[Pessimistic]]-Tasks[[#This Row],[Optimistic]])/6)^2)</f>
        <v>0</v>
      </c>
      <c r="HG83" s="43" t="n">
        <f aca="false">IF(Tasks[[#This Row],[Expected]]="",0,Tasks[[#This Row],[Expected]]-N(Tasks[[#This Row],[_Days]]))</f>
        <v>0</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4"/>
      <c r="U84" s="23"/>
      <c r="V84" s="84"/>
      <c r="W84" s="23"/>
      <c r="X84" s="84"/>
      <c r="Y84" s="23"/>
      <c r="Z84" s="84"/>
      <c r="AA84" s="23"/>
      <c r="AB84" s="23"/>
      <c r="AC84" s="7"/>
      <c r="AD84" s="7"/>
      <c r="AE84" s="63" t="str">
        <f aca="false">IF(Tasks[[#This Row],[Task Name]]="","",IF(Tasks[[#This Row],[_IsSummary]],MIN(INDEX(Tasks[_ShownFcstStart],Tasks[[#This Row],[_Row]]+1):INDEX(Tasks[_ShownFcstStart],Tasks[[#This Row],[_Row]]+Tasks[[#This Row],[_Descendants]])),Tasks[[#This Row],[_ShownFcstStart]]))</f>
        <v/>
      </c>
      <c r="AF84" s="63"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4" s="7"/>
      <c r="AK84" s="22"/>
      <c r="AL84" s="23"/>
      <c r="AM84" s="7"/>
      <c r="AN84" s="47"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3" t="str">
        <f aca="false">IF(Tasks[[#This Row],[Task Name]]="","",IF(N(Tasks[[#This Row],[Baseline Start]])&gt;0,Tasks[[#This Row],[Baseline Start]],Tasks[[#This Row],[_CalcStart]]))</f>
        <v/>
      </c>
      <c r="AR84" s="63" t="str">
        <f aca="false">IF(Tasks[[#This Row],[Task Name]]="","",IF(N(Tasks[[#This Row],[Baseline Finish]])&gt;0,Tasks[[#This Row],[Baseline Finish]],Tasks[[#This Row],[_CalcFinish]]))</f>
        <v/>
      </c>
      <c r="AS84" s="47" t="str">
        <f aca="false">IF(Tasks[[#This Row],[Task Name]]="","",IF(Tasks[[#This Row],[Start]]&gt;=Tasks[[#This Row],[Planned Start]],NETWORKDAYS.INTL(Tasks[[#This Row],[Planned Start]],Tasks[[#This Row],[Start]],WorkWeek,Holidays)-1,1-NETWORKDAYS.INTL(Tasks[[#This Row],[Start]],Tasks[[#This Row],[Planned Start]],WorkWeek,Holidays)))</f>
        <v/>
      </c>
      <c r="AT84" s="63" t="str">
        <f aca="false">IF(Tasks[[#This Row],[Task Name]]="","",IF(Tasks[[#This Row],[_IsSummary]],MIN(INDEX(Tasks[_LeafLateStart],Tasks[[#This Row],[_Row]]+1):INDEX(Tasks[_LeafLateStart],Tasks[[#This Row],[_Row]]+Tasks[[#This Row],[_Descendants]])),Tasks[[#This Row],[_LeafLateStart]]))</f>
        <v/>
      </c>
      <c r="AU84" s="63" t="str">
        <f aca="false">IF(Tasks[[#This Row],[Task Name]]="","",IF(Tasks[[#This Row],[_IsSummary]],MAX(INDEX(Tasks[_LeafLateFinish],Tasks[[#This Row],[_Row]]+1):INDEX(Tasks[_LeafLateFinish],Tasks[[#This Row],[_Row]]+Tasks[[#This Row],[_Descendants]])),Tasks[[#This Row],[_LeafLateFinish]]))</f>
        <v/>
      </c>
      <c r="AV84" s="47"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5"/>
      <c r="BA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6"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7"/>
      <c r="BJ84" s="22"/>
      <c r="BK84" s="47" t="str">
        <f aca="false">IF(OR(Tasks[[#This Row],[Task Name]]="",Tasks[[#This Row],[Baseline Duration]]=""),"",Tasks[[#This Row],[_SpanDays]]-N(Tasks[[#This Row],[Baseline Duration]]))</f>
        <v/>
      </c>
      <c r="BL84" s="86" t="str">
        <f aca="false">IF(OR(Tasks[[#This Row],[Task Name]]="",Tasks[[#This Row],[Baseline Work]]=""),"",Tasks[[#This Row],[Work]]-N(Tasks[[#This Row],[Baseline Work]]))</f>
        <v/>
      </c>
      <c r="BM84" s="63" t="str">
        <f aca="false">IF(Tasks[[#This Row],[Task Name]]="","",IF(OR(TakeBaseline="Yes",N(Tasks[[#This Row],[Baseline Start]])=0),Tasks[[#This Row],[Start]],Tasks[[#This Row],[Baseline Start]]))</f>
        <v/>
      </c>
      <c r="BN84" s="63" t="str">
        <f aca="false">IF(Tasks[[#This Row],[Task Name]]="","",IF(OR(TakeBaseline="Yes",N(Tasks[[#This Row],[Baseline Finish]])=0),Tasks[[#This Row],[Finish]],Tasks[[#This Row],[Baseline Finish]]))</f>
        <v/>
      </c>
      <c r="BO84" s="21" t="str">
        <f aca="false">IF(Tasks[[#This Row],[Task Name]]="","",IF(OR(TakeBaseline="Yes",N(Tasks[[#This Row],[Baseline Duration]])=0),Tasks[[#This Row],[_SpanDays]],Tasks[[#This Row],[Baseline Duration]]))</f>
        <v/>
      </c>
      <c r="BP84" s="86" t="str">
        <f aca="false">IF(Tasks[[#This Row],[Task Name]]="","",IF(OR(TakeBaseline="Yes",N(Tasks[[#This Row],[Baseline Work]])=0),Tasks[[#This Row],[Work]],Tasks[[#This Row],[Baseline Work]]))</f>
        <v/>
      </c>
      <c r="BQ84" s="7"/>
      <c r="BR84" s="7"/>
      <c r="BS84" s="22"/>
      <c r="BT84" s="88"/>
      <c r="BU84" s="23"/>
      <c r="BV84" s="23"/>
      <c r="BW84" s="23"/>
      <c r="BX84" s="89" t="str">
        <f aca="false">IF(AND(Tasks[[#This Row],[_IsLeaf]]=1,ISNUMBER(Tasks[[#This Row],[Optimistic]]),ISNUMBER(Tasks[[#This Row],[Pessimistic]])),ROUND((Tasks[[#This Row],[Optimistic]]+4*N(Tasks[[#This Row],[_Days]])+Tasks[[#This Row],[Pessimistic]])/6,1),"")</f>
        <v/>
      </c>
      <c r="BY84" s="87"/>
      <c r="BZ84" s="87"/>
      <c r="CA84" s="22"/>
      <c r="CB84" s="43" t="str">
        <f aca="false">IF(Tasks[[#This Row],[Task Name]]="","",MAX(1,N(Tasks[[#This Row],[Level]])))</f>
        <v/>
      </c>
      <c r="CC84" s="43" t="n">
        <f aca="false">ROW()-ROW(Tasks[[#Headers],[ID]])</f>
        <v>79</v>
      </c>
      <c r="CD84" s="43" t="n">
        <f aca="false">IF(OR(Tasks[[#This Row],[Task Name]]="",Tasks[[#This Row],[_Level]]&lt;=1),0,IFERROR(LOOKUP(2,1/(Tasks[[#Headers],[_Level]]:Tasks[[#This Row],[_Level]]=Tasks[[#This Row],[_Level]]-1),ROW(Tasks[[#Headers],[_Level]]:Tasks[[#This Row],[_Level]])),0))</f>
        <v>0</v>
      </c>
      <c r="CE84" s="43" t="n">
        <f aca="false">IFERROR(N(INDEX(Tasks[_Level],Tasks[[#This Row],[_Row]]+1)),0)</f>
        <v>0</v>
      </c>
      <c r="CF84" s="90" t="b">
        <f aca="false">AND(Tasks[[#This Row],[Task Name]]&lt;&gt;"",Tasks[[#This Row],[_NextLevel]]&gt;Tasks[[#This Row],[_Level]])</f>
        <v>0</v>
      </c>
      <c r="CG84" s="43" t="n">
        <f aca="false">IF(Tasks[[#This Row],[_IsSummary]],COUNTIF(Tasks[WBS],Tasks[[#This Row],[WBS]]&amp;".*"),0)</f>
        <v>0</v>
      </c>
      <c r="CH84" s="43" t="n">
        <f aca="false">IF(AND(Tasks[[#This Row],[Task Name]]&lt;&gt;"",NOT(Tasks[[#This Row],[_IsSummary]])),1,0)</f>
        <v>0</v>
      </c>
      <c r="CI84" s="43" t="n">
        <f aca="false">IF(N(Tasks[[#This Row],[_Pred1UID]])=0,0,IFERROR(MATCH(Tasks[[#This Row],[_Pred1UID]],Tasks[UID],0),-1))</f>
        <v>0</v>
      </c>
      <c r="CJ84" s="43" t="n">
        <f aca="false">IF(N(Tasks[[#This Row],[_Pred2UID]])=0,0,IFERROR(MATCH(Tasks[[#This Row],[_Pred2UID]],Tasks[UID],0),-1))</f>
        <v>0</v>
      </c>
      <c r="CK84" s="43" t="n">
        <f aca="false">IF(N(Tasks[[#This Row],[_Pred3UID]])=0,0,IFERROR(MATCH(Tasks[[#This Row],[_Pred3UID]],Tasks[UID],0),-1))</f>
        <v>0</v>
      </c>
      <c r="CL84" s="43" t="n">
        <f aca="false">IF(N(Tasks[[#This Row],[_Pred4UID]])=0,0,IFERROR(MATCH(Tasks[[#This Row],[_Pred4UID]],Tasks[UID],0),-1))</f>
        <v>0</v>
      </c>
      <c r="CM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4" s="91" t="n">
        <f aca="false">IF(OR(Tasks[[#This Row],[_ConstraintCode]]=2,Tasks[[#This Row],[_ConstraintCode]]=3,Tasks[[#This Row],[_ConstraintCode]]=4,Tasks[[#This Row],[_ConstraintCode]]=6),Tasks[[#This Row],[_ConstraintStart]],0)</f>
        <v>0</v>
      </c>
      <c r="CP84" s="91" t="n">
        <f aca="false">IF(OR(Tasks[[#This Row],[_ConstraintCode]]=2,Tasks[[#This Row],[_ConstraintCode]]=3,Tasks[[#This Row],[_ConstraintCode]]=5,Tasks[[#This Row],[_ConstraintCode]]=7),Tasks[[#This Row],[_ConstraintStart]],2958465)</f>
        <v>2958465</v>
      </c>
      <c r="CQ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91" t="str">
        <f aca="false">IF(NOT(Tasks[[#This Row],[_IsLeaf]]=1),"",IF(N(Tasks[[#This Row],[_Days]])&lt;=0,Tasks[[#This Row],[_LeafCalcStart]],WORKDAY.INTL(Tasks[[#This Row],[_LeafCalcStart]],Tasks[[#This Row],[_Days]]-1,WorkWeek,Holidays)))</f>
        <v/>
      </c>
      <c r="CS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3" t="str">
        <f aca="false">IF(Tasks[[#This Row],[_Predecessors]]="","",TRIM(MID(SUBSTITUTE(SUBSTITUTE(SUBSTITUTE(UPPER(Tasks[[#This Row],[_Predecessors]]),";",",")," ",""),",",REPT(" ",99)),1,99)))</f>
        <v/>
      </c>
      <c r="CV84" s="43" t="str">
        <f aca="false">IF(Tasks[[#This Row],[_Pred1Text]]="","",IFERROR(VALUE(LEFT(Tasks[[#This Row],[_Pred1Text]],MIN(FIND("F",Tasks[[#This Row],[_Pred1Text]]&amp;"F"),FIND("S",Tasks[[#This Row],[_Pred1Text]]&amp;"S"),FIND("+",Tasks[[#This Row],[_Pred1Text]]&amp;"+"),FIND("-",Tasks[[#This Row],[_Pred1Text]]&amp;"-"))-1)),""))</f>
        <v/>
      </c>
      <c r="CW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3" t="str">
        <f aca="false">IF(Tasks[[#This Row],[_Pred1Text]]="","",TRIM(MID(SUBSTITUTE(SUBSTITUTE(SUBSTITUTE(UPPER(Tasks[[#This Row],[_Predecessors]]),";",",")," ",""),",",REPT(" ",99)),100,99)))</f>
        <v/>
      </c>
      <c r="CZ84" s="43" t="str">
        <f aca="false">IF(Tasks[[#This Row],[_Pred2Text]]="","",IFERROR(VALUE(LEFT(Tasks[[#This Row],[_Pred2Text]],MIN(FIND("F",Tasks[[#This Row],[_Pred2Text]]&amp;"F"),FIND("S",Tasks[[#This Row],[_Pred2Text]]&amp;"S"),FIND("+",Tasks[[#This Row],[_Pred2Text]]&amp;"+"),FIND("-",Tasks[[#This Row],[_Pred2Text]]&amp;"-"))-1)),""))</f>
        <v/>
      </c>
      <c r="DA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3" t="str">
        <f aca="false">IF(Tasks[[#This Row],[_Pred2Text]]="","",TRIM(MID(SUBSTITUTE(SUBSTITUTE(SUBSTITUTE(UPPER(Tasks[[#This Row],[_Predecessors]]),";",",")," ",""),",",REPT(" ",99)),199,99)))</f>
        <v/>
      </c>
      <c r="DD84" s="43" t="str">
        <f aca="false">IF(Tasks[[#This Row],[_Pred3Text]]="","",IFERROR(VALUE(LEFT(Tasks[[#This Row],[_Pred3Text]],MIN(FIND("F",Tasks[[#This Row],[_Pred3Text]]&amp;"F"),FIND("S",Tasks[[#This Row],[_Pred3Text]]&amp;"S"),FIND("+",Tasks[[#This Row],[_Pred3Text]]&amp;"+"),FIND("-",Tasks[[#This Row],[_Pred3Text]]&amp;"-"))-1)),""))</f>
        <v/>
      </c>
      <c r="DE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3" t="str">
        <f aca="false">IF(Tasks[[#This Row],[_Pred3Text]]="","",TRIM(MID(SUBSTITUTE(SUBSTITUTE(SUBSTITUTE(UPPER(Tasks[[#This Row],[_Predecessors]]),";",",")," ",""),",",REPT(" ",99)),298,99)))</f>
        <v/>
      </c>
      <c r="DH84" s="43" t="str">
        <f aca="false">IF(Tasks[[#This Row],[_Pred4Text]]="","",IFERROR(VALUE(LEFT(Tasks[[#This Row],[_Pred4Text]],MIN(FIND("F",Tasks[[#This Row],[_Pred4Text]]&amp;"F"),FIND("S",Tasks[[#This Row],[_Pred4Text]]&amp;"S"),FIND("+",Tasks[[#This Row],[_Pred4Text]]&amp;"+"),FIND("-",Tasks[[#This Row],[_Pred4Text]]&amp;"-"))-1)),""))</f>
        <v/>
      </c>
      <c r="DI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3" t="str">
        <f aca="false">IF(OR(Tasks[[#This Row],[Task Name]]="",Tasks[[#This Row],[_Resources]]=""),"",TRIM(MID(SUBSTITUTE(Tasks[[#This Row],[_Resources]],",",REPT(" ",99)),1,99)))</f>
        <v/>
      </c>
      <c r="DL84" s="43" t="str">
        <f aca="false">IF(Tasks[[#This Row],[_Res1Text]]="","",TRIM(MID(SUBSTITUTE(Tasks[[#This Row],[_Resources]],",",REPT(" ",99)),100,99)))</f>
        <v/>
      </c>
      <c r="DM84" s="43" t="str">
        <f aca="false">IF(Tasks[[#This Row],[_Res2Text]]="","",TRIM(MID(SUBSTITUTE(Tasks[[#This Row],[_Resources]],",",REPT(" ",99)),199,99)))</f>
        <v/>
      </c>
      <c r="DN84" s="43" t="str">
        <f aca="false">IF(Tasks[[#This Row],[_Res3Text]]="","",TRIM(MID(SUBSTITUTE(Tasks[[#This Row],[_Resources]],",",REPT(" ",99)),298,99)))</f>
        <v/>
      </c>
      <c r="DO84" s="43" t="n">
        <f aca="false">IF(Tasks[[#This Row],[_Res1Text]]="",0,IFERROR(MATCH(TRIM(LEFT(Tasks[[#This Row],[_Res1Text]],FIND("[",Tasks[[#This Row],[_Res1Text]]&amp;"[")-1)),res_Name,0),IFERROR(MATCH(TRIM(LEFT(Tasks[[#This Row],[_Res1Text]],FIND("[",Tasks[[#This Row],[_Res1Text]]&amp;"[")-1)),res_Initials,0),0)))</f>
        <v>0</v>
      </c>
      <c r="DP84" s="43" t="n">
        <f aca="false">IF(Tasks[[#This Row],[_Res2Text]]="",0,IFERROR(MATCH(TRIM(LEFT(Tasks[[#This Row],[_Res2Text]],FIND("[",Tasks[[#This Row],[_Res2Text]]&amp;"[")-1)),res_Name,0),IFERROR(MATCH(TRIM(LEFT(Tasks[[#This Row],[_Res2Text]],FIND("[",Tasks[[#This Row],[_Res2Text]]&amp;"[")-1)),res_Initials,0),0)))</f>
        <v>0</v>
      </c>
      <c r="DQ84" s="43" t="n">
        <f aca="false">IF(Tasks[[#This Row],[_Res3Text]]="",0,IFERROR(MATCH(TRIM(LEFT(Tasks[[#This Row],[_Res3Text]],FIND("[",Tasks[[#This Row],[_Res3Text]]&amp;"[")-1)),res_Name,0),IFERROR(MATCH(TRIM(LEFT(Tasks[[#This Row],[_Res3Text]],FIND("[",Tasks[[#This Row],[_Res3Text]]&amp;"[")-1)),res_Initials,0),0)))</f>
        <v>0</v>
      </c>
      <c r="DR84" s="43" t="n">
        <f aca="false">IF(Tasks[[#This Row],[_Res4Text]]="",0,IFERROR(MATCH(TRIM(LEFT(Tasks[[#This Row],[_Res4Text]],FIND("[",Tasks[[#This Row],[_Res4Text]]&amp;"[")-1)),res_Name,0),IFERROR(MATCH(TRIM(LEFT(Tasks[[#This Row],[_Res4Text]],FIND("[",Tasks[[#This Row],[_Res4Text]]&amp;"[")-1)),res_Initials,0),0)))</f>
        <v>0</v>
      </c>
      <c r="DS84" s="43" t="str">
        <f aca="false">IF(Tasks[[#This Row],[_Res1Text]]="","",IF(Tasks[[#This Row],[_Res1Row]]&gt;0,INDEX(res_Name,Tasks[[#This Row],[_Res1Row]]),TRIM(LEFT(Tasks[[#This Row],[_Res1Text]],FIND("[",Tasks[[#This Row],[_Res1Text]]&amp;"[")-1))))</f>
        <v/>
      </c>
      <c r="DT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3" t="n">
        <f aca="false">IF(NOT(Tasks[[#This Row],[_IsLeaf]]=1),0,(Tasks[[#This Row],[_Resource1]]&lt;&gt;"")+(Tasks[[#This Row],[_Res2]]&lt;&gt;"")+(Tasks[[#This Row],[_Res3]]&lt;&gt;"")+(Tasks[[#This Row],[_Res4]]&lt;&gt;""))</f>
        <v>0</v>
      </c>
      <c r="DV84" s="43" t="str">
        <f aca="false">IF(Tasks[[#This Row],[_Res2Text]]="","",IF(Tasks[[#This Row],[_Res2Row]]&gt;0,INDEX(res_Name,Tasks[[#This Row],[_Res2Row]]),TRIM(LEFT(Tasks[[#This Row],[_Res2Text]],FIND("[",Tasks[[#This Row],[_Res2Text]]&amp;"[")-1))))</f>
        <v/>
      </c>
      <c r="DW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3" t="n">
        <f aca="false">IF(OR(NOT(Tasks[[#This Row],[_IsLeaf]]=1),Tasks[[#This Row],[_Res2Row]]=0),0,N(Tasks[[#This Row],[_Days]])*HoursPerDay*IF(Tasks[[#This Row],[_Res2Units]]="",DefaultUnits,Tasks[[#This Row],[_Res2Units]]))</f>
        <v>0</v>
      </c>
      <c r="DY84" s="43" t="n">
        <f aca="false">IF(AND(AND(Tasks[[#This Row],[_IsLeaf]]=1,Tasks[[#This Row],[_LeafTotalWork]]&gt;0),Tasks[[#This Row],[_Res2Work]]&gt;0),Tasks[[#This Row],[_Res2Work]]/(Tasks[[#This Row],[_FinishWorkday]]-Tasks[[#This Row],[_StartWorkday]]+1),0)</f>
        <v>0</v>
      </c>
      <c r="DZ84" s="43" t="n">
        <f aca="false">Tasks[[#This Row],[_Res2WorkPerWD]]*MAX(0,Tasks[[#This Row],[_StartWorkday]]-1)</f>
        <v>0</v>
      </c>
      <c r="EA84" s="43" t="n">
        <f aca="false">Tasks[[#This Row],[_Res2Work]]*Tasks[[#This Row],[_LeafProgress]]</f>
        <v>0</v>
      </c>
      <c r="EB84" s="43" t="str">
        <f aca="false">IF(Tasks[[#This Row],[_Res3Text]]="","",IF(Tasks[[#This Row],[_Res3Row]]&gt;0,INDEX(res_Name,Tasks[[#This Row],[_Res3Row]]),TRIM(LEFT(Tasks[[#This Row],[_Res3Text]],FIND("[",Tasks[[#This Row],[_Res3Text]]&amp;"[")-1))))</f>
        <v/>
      </c>
      <c r="EC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3" t="n">
        <f aca="false">IF(OR(NOT(Tasks[[#This Row],[_IsLeaf]]=1),Tasks[[#This Row],[_Res3Row]]=0),0,N(Tasks[[#This Row],[_Days]])*HoursPerDay*IF(Tasks[[#This Row],[_Res3Units]]="",DefaultUnits,Tasks[[#This Row],[_Res3Units]]))</f>
        <v>0</v>
      </c>
      <c r="EE84" s="43" t="n">
        <f aca="false">IF(AND(AND(Tasks[[#This Row],[_IsLeaf]]=1,Tasks[[#This Row],[_LeafTotalWork]]&gt;0),Tasks[[#This Row],[_Res3Work]]&gt;0),Tasks[[#This Row],[_Res3Work]]/(Tasks[[#This Row],[_FinishWorkday]]-Tasks[[#This Row],[_StartWorkday]]+1),0)</f>
        <v>0</v>
      </c>
      <c r="EF84" s="43" t="n">
        <f aca="false">Tasks[[#This Row],[_Res3WorkPerWD]]*MAX(0,Tasks[[#This Row],[_StartWorkday]]-1)</f>
        <v>0</v>
      </c>
      <c r="EG84" s="43" t="n">
        <f aca="false">Tasks[[#This Row],[_Res3Work]]*Tasks[[#This Row],[_LeafProgress]]</f>
        <v>0</v>
      </c>
      <c r="EH84" s="43" t="str">
        <f aca="false">IF(Tasks[[#This Row],[_Res4Text]]="","",IF(Tasks[[#This Row],[_Res4Row]]&gt;0,INDEX(res_Name,Tasks[[#This Row],[_Res4Row]]),TRIM(LEFT(Tasks[[#This Row],[_Res4Text]],FIND("[",Tasks[[#This Row],[_Res4Text]]&amp;"[")-1))))</f>
        <v/>
      </c>
      <c r="EI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3" t="n">
        <f aca="false">IF(OR(NOT(Tasks[[#This Row],[_IsLeaf]]=1),Tasks[[#This Row],[_Res4Row]]=0),0,N(Tasks[[#This Row],[_Days]])*HoursPerDay*IF(Tasks[[#This Row],[_Res4Units]]="",DefaultUnits,Tasks[[#This Row],[_Res4Units]]))</f>
        <v>0</v>
      </c>
      <c r="EK84" s="43" t="n">
        <f aca="false">IF(AND(AND(Tasks[[#This Row],[_IsLeaf]]=1,Tasks[[#This Row],[_LeafTotalWork]]&gt;0),Tasks[[#This Row],[_Res4Work]]&gt;0),Tasks[[#This Row],[_Res4Work]]/(Tasks[[#This Row],[_FinishWorkday]]-Tasks[[#This Row],[_StartWorkday]]+1),0)</f>
        <v>0</v>
      </c>
      <c r="EL84" s="43" t="n">
        <f aca="false">Tasks[[#This Row],[_Res4WorkPerWD]]*MAX(0,Tasks[[#This Row],[_StartWorkday]]-1)</f>
        <v>0</v>
      </c>
      <c r="EM84" s="43" t="n">
        <f aca="false">Tasks[[#This Row],[_Res4Work]]*Tasks[[#This Row],[_LeafProgress]]</f>
        <v>0</v>
      </c>
      <c r="EN84" s="43" t="n">
        <f aca="false">IF(ISNUMBER(Tasks[[#This Row],[% Complete]]),Tasks[[#This Row],[% Complete]],IF(Tasks[[#This Row],[Stage]]="",0,IFERROR(INDEX(stg_Pct,MATCH(Tasks[[#This Row],[Stage]],stg_Name,0)),0)))</f>
        <v>0</v>
      </c>
      <c r="EO84" s="43" t="n">
        <f aca="false">IF(NOT(Tasks[[#This Row],[_IsLeaf]]=1),0,IF(N(Tasks[[#This Row],[Actual Finish]])&gt;0,1,MIN(1,Tasks[[#This Row],[_Pct]])))</f>
        <v>0</v>
      </c>
      <c r="EP84" s="43" t="n">
        <f aca="false">IF(OR(NOT(Tasks[[#This Row],[_IsLeaf]]=1),Tasks[[#This Row],[_Res1Row]]=0),0,N(Tasks[[#This Row],[_Days]])*HoursPerDay*IF(Tasks[[#This Row],[_Units1]]="",DefaultUnits,Tasks[[#This Row],[_Units1]]))</f>
        <v>0</v>
      </c>
      <c r="EQ84" s="43" t="n">
        <f aca="false">Tasks[[#This Row],[_LeafWork]]+Tasks[[#This Row],[_Res2Work]]+Tasks[[#This Row],[_Res3Work]]+Tasks[[#This Row],[_Res4Work]]</f>
        <v>0</v>
      </c>
      <c r="ER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3" t="n">
        <f aca="false">IF(NOT(Tasks[[#This Row],[_IsLeaf]]=1),0,MAX(_xlfn.MAXIFS(Tasks[_Row],Tasks[_Pred1UID],Tasks[[#This Row],[UID]]),_xlfn.MAXIFS(Tasks[_Row],Tasks[_Pred2UID],Tasks[[#This Row],[UID]]),_xlfn.MAXIFS(Tasks[_Row],Tasks[_Pred3UID],Tasks[[#This Row],[UID]]),_xlfn.MAXIFS(Tasks[_Row],Tasks[_Pred4UID],Tasks[[#This Row],[UID]])))</f>
        <v>0</v>
      </c>
      <c r="FA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91" t="str">
        <f aca="false">IF(NOT(Tasks[[#This Row],[_IsLeaf]]=1),"",IF(N(Tasks[[#This Row],[_Days]])&lt;=0,Tasks[[#This Row],[_LeafLateFinish]],WORKDAY.INTL(Tasks[[#This Row],[_LeafLateFinish]],-(Tasks[[#This Row],[_Days]]-1),WorkWeek,Holidays)))</f>
        <v/>
      </c>
      <c r="FD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4" s="90" t="b">
        <f aca="false">AND(Tasks[[#This Row],[_IsLeaf]]=1,Tasks[[#This Row],[_LeafProgress]]&lt;1,N(Tasks[[#This Row],[_LeafTotalSlack]])&lt;=CriticalSlackDays)</f>
        <v>0</v>
      </c>
      <c r="FF84" s="43" t="n">
        <f aca="false">IF(AND(Tasks[[#This Row],[_IsLeaf]]=1,Tasks[[#This Row],[_ConstraintCode]]=1,Tasks[[#This Row],[Mode]]&lt;&gt;"Manual",N(Tasks[[#This Row],[Actual Start]])=0),MAX(0,N(Tasks[[#This Row],[Free Slack]])),0)</f>
        <v>0</v>
      </c>
      <c r="FG84" s="91" t="str">
        <f aca="false">IF(NOT(Tasks[[#This Row],[_IsLeaf]]=1),"",IF(Tasks[[#This Row],[_AlapShift]]=0,Tasks[[#This Row],[_LeafCalcStart]],WORKDAY.INTL(Tasks[[#This Row],[_LeafCalcStart]],Tasks[[#This Row],[_AlapShift]],WorkWeek,Holidays)))</f>
        <v/>
      </c>
      <c r="FH84" s="91" t="str">
        <f aca="false">IF(NOT(Tasks[[#This Row],[_IsLeaf]]=1),"",IF(Tasks[[#This Row],[_AlapShift]]=0,Tasks[[#This Row],[_LeafCalcFinish]],WORKDAY.INTL(Tasks[[#This Row],[_LeafCalcFinish]],Tasks[[#This Row],[_AlapShift]],WorkWeek,Holidays)))</f>
        <v/>
      </c>
      <c r="FI84" s="91" t="str">
        <f aca="false">IF(NOT(Tasks[[#This Row],[_IsLeaf]]=1),"",IF(Tasks[[#This Row],[_AlapShift]]=0,Tasks[[#This Row],[_LeafFcstStart]],WORKDAY.INTL(Tasks[[#This Row],[_LeafFcstStart]],Tasks[[#This Row],[_AlapShift]],WorkWeek,Holidays)))</f>
        <v/>
      </c>
      <c r="FJ84" s="91" t="str">
        <f aca="false">IF(NOT(Tasks[[#This Row],[_IsLeaf]]=1),"",IF(Tasks[[#This Row],[_AlapShift]]=0,Tasks[[#This Row],[_LeafFcstFinish]],WORKDAY.INTL(Tasks[[#This Row],[_LeafFcstFinish]],Tasks[[#This Row],[_AlapShift]],WorkWeek,Holidays)))</f>
        <v/>
      </c>
      <c r="FK84" s="91" t="str">
        <f aca="false">IF(Tasks[[#This Row],[Task Name]]="","",IF(Tasks[[#This Row],[_IsSummary]],MIN(INDEX(Tasks[_ShownCalcStart],Tasks[[#This Row],[_Row]]+1):INDEX(Tasks[_ShownCalcStart],Tasks[[#This Row],[_Row]]+Tasks[[#This Row],[_Descendants]])),Tasks[[#This Row],[_ShownCalcStart]]))</f>
        <v/>
      </c>
      <c r="FL84" s="91" t="str">
        <f aca="false">IF(Tasks[[#This Row],[Task Name]]="","",IF(Tasks[[#This Row],[_IsSummary]],MAX(INDEX(Tasks[_ShownCalcFinish],Tasks[[#This Row],[_Row]]+1):INDEX(Tasks[_ShownCalcFinish],Tasks[[#This Row],[_Row]]+Tasks[[#This Row],[_Descendants]])),Tasks[[#This Row],[_ShownCalcFinish]]))</f>
        <v/>
      </c>
      <c r="FM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4" s="43" t="n">
        <f aca="false">IF(AND(Tasks[[#This Row],[_IsLeaf]]=1,Tasks[[#This Row],[_LeafTotalWork]]&gt;0),NETWORKDAYS.INTL(ProjectStart,Tasks[[#This Row],[_ShownFcstStart]],WorkWeek,Holidays),0)</f>
        <v>0</v>
      </c>
      <c r="FZ84" s="43" t="n">
        <f aca="false">IF(AND(Tasks[[#This Row],[_IsLeaf]]=1,Tasks[[#This Row],[_LeafTotalWork]]&gt;0),MAX(Tasks[[#This Row],[_StartWorkday]],NETWORKDAYS.INTL(ProjectStart,Tasks[[#This Row],[_ShownFcstFinish]],WorkWeek,Holidays)),0)</f>
        <v>0</v>
      </c>
      <c r="GA84" s="43" t="n">
        <f aca="false">IF(AND(Tasks[[#This Row],[_IsLeaf]]=1,Tasks[[#This Row],[_LeafTotalWork]]&gt;0),Tasks[[#This Row],[_LeafWork]]/(Tasks[[#This Row],[_FinishWorkday]]-Tasks[[#This Row],[_StartWorkday]]+1),0)</f>
        <v>0</v>
      </c>
      <c r="GB84" s="43" t="n">
        <f aca="false">Tasks[[#This Row],[_WorkPerWorkday]]*(Tasks[[#This Row],[_StartWorkday]]-1)</f>
        <v>-0</v>
      </c>
      <c r="GC84" s="43" t="n">
        <f aca="false">IF(Tasks[[#This Row],[_IsLeaf]]=1,MAX(N(Tasks[[#This Row],[_Days]]),0.1),0)</f>
        <v>0</v>
      </c>
      <c r="GD84" s="43" t="n">
        <f aca="false">Tasks[[#This Row],[_WeightDur]]*Tasks[[#This Row],[_LeafProgress]]</f>
        <v>0</v>
      </c>
      <c r="GE84" s="43" t="n">
        <f aca="false">Tasks[[#This Row],[_WeightDur]]*Tasks[[#This Row],[_PlannedPct]]</f>
        <v>0</v>
      </c>
      <c r="GF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3" t="str">
        <f aca="false">IF(AND(Tasks[[#This Row],[_IsLeaf]]=1,N(Tasks[[#This Row],[_Days]])=0,Tasks[[#This Row],[_LeafProgress]]&lt;1),Tasks[[#This Row],[_ShownFcstFinish]]+Tasks[[#This Row],[_Row]]/100000,"")</f>
        <v/>
      </c>
      <c r="GH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4" s="43" t="str">
        <f aca="false">IF(Tasks[[#This Row],[Task Name]]="","",LEFT(Tasks[[#This Row],[WBS]],FIND(".",Tasks[[#This Row],[WBS]]&amp;".")-1))</f>
        <v/>
      </c>
      <c r="GJ84" s="43" t="str">
        <f aca="false">IF(AND(Tasks[[#This Row],[Task Name]]&lt;&gt;"",Tasks[[#This Row],[_Level]]=1),Tasks[[#This Row],[_Row]],"")</f>
        <v/>
      </c>
      <c r="GK84" s="43" t="str">
        <f aca="false">IF(AND(Tasks[[#This Row],[_IsLeaf]]=1,N(Tasks[[#This Row],[_Days]])=0),Tasks[[#This Row],[Planned Finish]]+Tasks[[#This Row],[_Row]]/100000,"")</f>
        <v/>
      </c>
      <c r="GL84" s="43" t="str">
        <f aca="false">IF(AND(Tasks[[#This Row],[_IsLeaf]]=1,Tasks[[#This Row],[_LeafProgress]]&lt;1,OR(N(Tasks[[#This Row],[Finish Var]])&gt;0,Tasks[[#This Row],[Status]]="Late Start")),MAX(0,Tasks[[#This Row],[Finish Var]])+1-Tasks[[#This Row],[_Row]]/1000000,"")</f>
        <v/>
      </c>
      <c r="GM84" s="43" t="str">
        <f aca="false">IF(AND(Tasks[[#This Row],[_IsLeaf]]=1,N(Tasks[[#This Row],[Actual Start]])=0,Tasks[[#This Row],[_ShownFcstStart]]&gt;=StatusDate,Tasks[[#This Row],[_ShownFcstStart]]&lt;=LookaheadEnd),Tasks[[#This Row],[_ShownFcstStart]]+Tasks[[#This Row],[_Row]]/100000,"")</f>
        <v/>
      </c>
      <c r="GN84" s="43" t="str">
        <f aca="false">IF(AND(Tasks[[#This Row],[_IsLeaf]]=1,Tasks[[#This Row],[_LeafProgress]]&lt;1,Tasks[[#This Row],[_ShownFcstFinish]]&gt;=StatusDate,Tasks[[#This Row],[_ShownFcstFinish]]&lt;=LookaheadEnd),Tasks[[#This Row],[_ShownFcstFinish]]+Tasks[[#This Row],[_Row]]/100000,"")</f>
        <v/>
      </c>
      <c r="GO84" s="43" t="str">
        <f aca="false">IF(Tasks[[#This Row],[_LeafCritical]],Tasks[[#This Row],[_ShownFcstStart]]+Tasks[[#This Row],[_Row]]/100000,"")</f>
        <v/>
      </c>
      <c r="GP84" s="43" t="n">
        <f aca="false">Tasks[[#This Row],[_LeafWork]]*Tasks[[#This Row],[_LeafProgress]]</f>
        <v>0</v>
      </c>
      <c r="GQ84" s="91" t="str">
        <f aca="false">IF(AND(Tasks[[#This Row],[_IsLeaf]]=1,Tasks[[#This Row],[_LeafProgress]]&gt;=1),IF(N(Tasks[[#This Row],[Actual Finish]])&gt;0,Tasks[[#This Row],[Actual Finish]],Tasks[[#This Row],[_ShownFcstFinish]]),"")</f>
        <v/>
      </c>
      <c r="GR84" s="43" t="n">
        <f aca="false">IF(Tasks[[#This Row],[_IsLeaf]]=1,N(Tasks[[#This Row],[Story Points]]),0)</f>
        <v>0</v>
      </c>
      <c r="GS84" s="43" t="str">
        <f aca="false">""</f>
        <v/>
      </c>
      <c r="GT84" s="90" t="b">
        <f aca="false">IF(Tasks[[#This Row],[Task Name]]="",FALSE(),AND(Tasks[[#This Row],[_IsLeaf]]=1,N(Tasks[[#This Row],[_Days]])=0))</f>
        <v>0</v>
      </c>
      <c r="GU84" s="91" t="n">
        <f aca="false">IF(Tasks[[#This Row],[Task Name]]="",0,IF(AND(Tasks[[#This Row],[_IsLeaf]]=1,NOT(Tasks[[#This Row],[_IsMilestone]]),N(Tasks[[#This Row],[Progress]])&gt;0),Tasks[[#This Row],[Start]],0))</f>
        <v>0</v>
      </c>
      <c r="GV84" s="91" t="n">
        <f aca="false">IF(Tasks[[#This Row],[_DoneFrom]]=0,0,IF(Tasks[[#This Row],[Progress]]&gt;=1,Tasks[[#This Row],[Finish]],MAX(Tasks[[#This Row],[_DoneFrom]],Tasks[[#This Row],[Start]]+ROUND((Tasks[[#This Row],[Finish]]-Tasks[[#This Row],[Start]]+1)*Tasks[[#This Row],[Progress]],0)-1)))</f>
        <v>0</v>
      </c>
      <c r="GW84" s="91" t="n">
        <f aca="false">IF(Tasks[[#This Row],[Task Name]]="",0,IF(OR(NOT(Tasks[[#This Row],[_IsLeaf]]=1),Tasks[[#This Row],[_IsMilestone]],N(Tasks[[#This Row],[Progress]])&gt;=1),0,IF(Tasks[[#This Row],[_DoneTo]]&gt;0,Tasks[[#This Row],[_DoneTo]]+1,Tasks[[#This Row],[Start]])))</f>
        <v>0</v>
      </c>
      <c r="GX84" s="91" t="n">
        <f aca="false">IF(Tasks[[#This Row],[_RemFrom]]=0,0,Tasks[[#This Row],[Finish]])</f>
        <v>0</v>
      </c>
      <c r="GY84" s="90" t="b">
        <f aca="false">IF(Tasks[[#This Row],[Task Name]]="",FALSE(),OR(NOT(BaselineSet),N(Tasks[[#This Row],[Baseline Start]])&gt;0))</f>
        <v>0</v>
      </c>
      <c r="GZ8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92" t="str">
        <f aca="false">IF(Tasks[[#This Row],[_IsLeaf]]=1,Tasks[[#This Row],[_Row]],"")</f>
        <v/>
      </c>
      <c r="HD84" s="92" t="str">
        <f aca="false">IFERROR(INDEX(Tasks[UID],SMALL(Tasks[_PickKey],Tasks[[#This Row],[_Row]]))&amp;" "&amp;INDEX(Tasks[Task Name],SMALL(Tasks[_PickKey],Tasks[[#This Row],[_Row]])),"")</f>
        <v/>
      </c>
      <c r="HE84" s="43" t="str">
        <f aca="false">IF(Tasks[[#This Row],[Task Name]]="","",IF(Tasks[[#This Row],[_IsSummary]],NETWORKDAYS.INTL(Tasks[[#This Row],[Start]],Tasks[[#This Row],[Finish]],WorkWeek,Holidays),N(Tasks[[#This Row],[_Days]])))</f>
        <v/>
      </c>
      <c r="HF84" s="43" t="n">
        <f aca="false">IF(Tasks[[#This Row],[Expected]]="",0,((Tasks[[#This Row],[Pessimistic]]-Tasks[[#This Row],[Optimistic]])/6)^2)</f>
        <v>0</v>
      </c>
      <c r="HG84" s="43" t="n">
        <f aca="false">IF(Tasks[[#This Row],[Expected]]="",0,Tasks[[#This Row],[Expected]]-N(Tasks[[#This Row],[_Days]]))</f>
        <v>0</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4"/>
      <c r="U85" s="23"/>
      <c r="V85" s="84"/>
      <c r="W85" s="23"/>
      <c r="X85" s="84"/>
      <c r="Y85" s="23"/>
      <c r="Z85" s="84"/>
      <c r="AA85" s="23"/>
      <c r="AB85" s="23"/>
      <c r="AC85" s="7"/>
      <c r="AD85" s="7"/>
      <c r="AE85" s="63" t="str">
        <f aca="false">IF(Tasks[[#This Row],[Task Name]]="","",IF(Tasks[[#This Row],[_IsSummary]],MIN(INDEX(Tasks[_ShownFcstStart],Tasks[[#This Row],[_Row]]+1):INDEX(Tasks[_ShownFcstStart],Tasks[[#This Row],[_Row]]+Tasks[[#This Row],[_Descendants]])),Tasks[[#This Row],[_ShownFcstStart]]))</f>
        <v/>
      </c>
      <c r="AF85" s="63"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5" s="7"/>
      <c r="AK85" s="22"/>
      <c r="AL85" s="23"/>
      <c r="AM85" s="7"/>
      <c r="AN85" s="47"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3" t="str">
        <f aca="false">IF(Tasks[[#This Row],[Task Name]]="","",IF(N(Tasks[[#This Row],[Baseline Start]])&gt;0,Tasks[[#This Row],[Baseline Start]],Tasks[[#This Row],[_CalcStart]]))</f>
        <v/>
      </c>
      <c r="AR85" s="63" t="str">
        <f aca="false">IF(Tasks[[#This Row],[Task Name]]="","",IF(N(Tasks[[#This Row],[Baseline Finish]])&gt;0,Tasks[[#This Row],[Baseline Finish]],Tasks[[#This Row],[_CalcFinish]]))</f>
        <v/>
      </c>
      <c r="AS85" s="47" t="str">
        <f aca="false">IF(Tasks[[#This Row],[Task Name]]="","",IF(Tasks[[#This Row],[Start]]&gt;=Tasks[[#This Row],[Planned Start]],NETWORKDAYS.INTL(Tasks[[#This Row],[Planned Start]],Tasks[[#This Row],[Start]],WorkWeek,Holidays)-1,1-NETWORKDAYS.INTL(Tasks[[#This Row],[Start]],Tasks[[#This Row],[Planned Start]],WorkWeek,Holidays)))</f>
        <v/>
      </c>
      <c r="AT85" s="63" t="str">
        <f aca="false">IF(Tasks[[#This Row],[Task Name]]="","",IF(Tasks[[#This Row],[_IsSummary]],MIN(INDEX(Tasks[_LeafLateStart],Tasks[[#This Row],[_Row]]+1):INDEX(Tasks[_LeafLateStart],Tasks[[#This Row],[_Row]]+Tasks[[#This Row],[_Descendants]])),Tasks[[#This Row],[_LeafLateStart]]))</f>
        <v/>
      </c>
      <c r="AU85" s="63" t="str">
        <f aca="false">IF(Tasks[[#This Row],[Task Name]]="","",IF(Tasks[[#This Row],[_IsSummary]],MAX(INDEX(Tasks[_LeafLateFinish],Tasks[[#This Row],[_Row]]+1):INDEX(Tasks[_LeafLateFinish],Tasks[[#This Row],[_Row]]+Tasks[[#This Row],[_Descendants]])),Tasks[[#This Row],[_LeafLateFinish]]))</f>
        <v/>
      </c>
      <c r="AV85" s="47"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5"/>
      <c r="BA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6"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7"/>
      <c r="BJ85" s="22"/>
      <c r="BK85" s="47" t="str">
        <f aca="false">IF(OR(Tasks[[#This Row],[Task Name]]="",Tasks[[#This Row],[Baseline Duration]]=""),"",Tasks[[#This Row],[_SpanDays]]-N(Tasks[[#This Row],[Baseline Duration]]))</f>
        <v/>
      </c>
      <c r="BL85" s="86" t="str">
        <f aca="false">IF(OR(Tasks[[#This Row],[Task Name]]="",Tasks[[#This Row],[Baseline Work]]=""),"",Tasks[[#This Row],[Work]]-N(Tasks[[#This Row],[Baseline Work]]))</f>
        <v/>
      </c>
      <c r="BM85" s="63" t="str">
        <f aca="false">IF(Tasks[[#This Row],[Task Name]]="","",IF(OR(TakeBaseline="Yes",N(Tasks[[#This Row],[Baseline Start]])=0),Tasks[[#This Row],[Start]],Tasks[[#This Row],[Baseline Start]]))</f>
        <v/>
      </c>
      <c r="BN85" s="63" t="str">
        <f aca="false">IF(Tasks[[#This Row],[Task Name]]="","",IF(OR(TakeBaseline="Yes",N(Tasks[[#This Row],[Baseline Finish]])=0),Tasks[[#This Row],[Finish]],Tasks[[#This Row],[Baseline Finish]]))</f>
        <v/>
      </c>
      <c r="BO85" s="21" t="str">
        <f aca="false">IF(Tasks[[#This Row],[Task Name]]="","",IF(OR(TakeBaseline="Yes",N(Tasks[[#This Row],[Baseline Duration]])=0),Tasks[[#This Row],[_SpanDays]],Tasks[[#This Row],[Baseline Duration]]))</f>
        <v/>
      </c>
      <c r="BP85" s="86" t="str">
        <f aca="false">IF(Tasks[[#This Row],[Task Name]]="","",IF(OR(TakeBaseline="Yes",N(Tasks[[#This Row],[Baseline Work]])=0),Tasks[[#This Row],[Work]],Tasks[[#This Row],[Baseline Work]]))</f>
        <v/>
      </c>
      <c r="BQ85" s="7"/>
      <c r="BR85" s="7"/>
      <c r="BS85" s="22"/>
      <c r="BT85" s="88"/>
      <c r="BU85" s="23"/>
      <c r="BV85" s="23"/>
      <c r="BW85" s="23"/>
      <c r="BX85" s="89" t="str">
        <f aca="false">IF(AND(Tasks[[#This Row],[_IsLeaf]]=1,ISNUMBER(Tasks[[#This Row],[Optimistic]]),ISNUMBER(Tasks[[#This Row],[Pessimistic]])),ROUND((Tasks[[#This Row],[Optimistic]]+4*N(Tasks[[#This Row],[_Days]])+Tasks[[#This Row],[Pessimistic]])/6,1),"")</f>
        <v/>
      </c>
      <c r="BY85" s="87"/>
      <c r="BZ85" s="87"/>
      <c r="CA85" s="22"/>
      <c r="CB85" s="43" t="str">
        <f aca="false">IF(Tasks[[#This Row],[Task Name]]="","",MAX(1,N(Tasks[[#This Row],[Level]])))</f>
        <v/>
      </c>
      <c r="CC85" s="43" t="n">
        <f aca="false">ROW()-ROW(Tasks[[#Headers],[ID]])</f>
        <v>80</v>
      </c>
      <c r="CD85" s="43" t="n">
        <f aca="false">IF(OR(Tasks[[#This Row],[Task Name]]="",Tasks[[#This Row],[_Level]]&lt;=1),0,IFERROR(LOOKUP(2,1/(Tasks[[#Headers],[_Level]]:Tasks[[#This Row],[_Level]]=Tasks[[#This Row],[_Level]]-1),ROW(Tasks[[#Headers],[_Level]]:Tasks[[#This Row],[_Level]])),0))</f>
        <v>0</v>
      </c>
      <c r="CE85" s="43" t="n">
        <f aca="false">IFERROR(N(INDEX(Tasks[_Level],Tasks[[#This Row],[_Row]]+1)),0)</f>
        <v>0</v>
      </c>
      <c r="CF85" s="90" t="b">
        <f aca="false">AND(Tasks[[#This Row],[Task Name]]&lt;&gt;"",Tasks[[#This Row],[_NextLevel]]&gt;Tasks[[#This Row],[_Level]])</f>
        <v>0</v>
      </c>
      <c r="CG85" s="43" t="n">
        <f aca="false">IF(Tasks[[#This Row],[_IsSummary]],COUNTIF(Tasks[WBS],Tasks[[#This Row],[WBS]]&amp;".*"),0)</f>
        <v>0</v>
      </c>
      <c r="CH85" s="43" t="n">
        <f aca="false">IF(AND(Tasks[[#This Row],[Task Name]]&lt;&gt;"",NOT(Tasks[[#This Row],[_IsSummary]])),1,0)</f>
        <v>0</v>
      </c>
      <c r="CI85" s="43" t="n">
        <f aca="false">IF(N(Tasks[[#This Row],[_Pred1UID]])=0,0,IFERROR(MATCH(Tasks[[#This Row],[_Pred1UID]],Tasks[UID],0),-1))</f>
        <v>0</v>
      </c>
      <c r="CJ85" s="43" t="n">
        <f aca="false">IF(N(Tasks[[#This Row],[_Pred2UID]])=0,0,IFERROR(MATCH(Tasks[[#This Row],[_Pred2UID]],Tasks[UID],0),-1))</f>
        <v>0</v>
      </c>
      <c r="CK85" s="43" t="n">
        <f aca="false">IF(N(Tasks[[#This Row],[_Pred3UID]])=0,0,IFERROR(MATCH(Tasks[[#This Row],[_Pred3UID]],Tasks[UID],0),-1))</f>
        <v>0</v>
      </c>
      <c r="CL85" s="43" t="n">
        <f aca="false">IF(N(Tasks[[#This Row],[_Pred4UID]])=0,0,IFERROR(MATCH(Tasks[[#This Row],[_Pred4UID]],Tasks[UID],0),-1))</f>
        <v>0</v>
      </c>
      <c r="CM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5" s="91" t="n">
        <f aca="false">IF(OR(Tasks[[#This Row],[_ConstraintCode]]=2,Tasks[[#This Row],[_ConstraintCode]]=3,Tasks[[#This Row],[_ConstraintCode]]=4,Tasks[[#This Row],[_ConstraintCode]]=6),Tasks[[#This Row],[_ConstraintStart]],0)</f>
        <v>0</v>
      </c>
      <c r="CP85" s="91" t="n">
        <f aca="false">IF(OR(Tasks[[#This Row],[_ConstraintCode]]=2,Tasks[[#This Row],[_ConstraintCode]]=3,Tasks[[#This Row],[_ConstraintCode]]=5,Tasks[[#This Row],[_ConstraintCode]]=7),Tasks[[#This Row],[_ConstraintStart]],2958465)</f>
        <v>2958465</v>
      </c>
      <c r="CQ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91" t="str">
        <f aca="false">IF(NOT(Tasks[[#This Row],[_IsLeaf]]=1),"",IF(N(Tasks[[#This Row],[_Days]])&lt;=0,Tasks[[#This Row],[_LeafCalcStart]],WORKDAY.INTL(Tasks[[#This Row],[_LeafCalcStart]],Tasks[[#This Row],[_Days]]-1,WorkWeek,Holidays)))</f>
        <v/>
      </c>
      <c r="CS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3" t="str">
        <f aca="false">IF(Tasks[[#This Row],[_Predecessors]]="","",TRIM(MID(SUBSTITUTE(SUBSTITUTE(SUBSTITUTE(UPPER(Tasks[[#This Row],[_Predecessors]]),";",",")," ",""),",",REPT(" ",99)),1,99)))</f>
        <v/>
      </c>
      <c r="CV85" s="43" t="str">
        <f aca="false">IF(Tasks[[#This Row],[_Pred1Text]]="","",IFERROR(VALUE(LEFT(Tasks[[#This Row],[_Pred1Text]],MIN(FIND("F",Tasks[[#This Row],[_Pred1Text]]&amp;"F"),FIND("S",Tasks[[#This Row],[_Pred1Text]]&amp;"S"),FIND("+",Tasks[[#This Row],[_Pred1Text]]&amp;"+"),FIND("-",Tasks[[#This Row],[_Pred1Text]]&amp;"-"))-1)),""))</f>
        <v/>
      </c>
      <c r="CW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3" t="str">
        <f aca="false">IF(Tasks[[#This Row],[_Pred1Text]]="","",TRIM(MID(SUBSTITUTE(SUBSTITUTE(SUBSTITUTE(UPPER(Tasks[[#This Row],[_Predecessors]]),";",",")," ",""),",",REPT(" ",99)),100,99)))</f>
        <v/>
      </c>
      <c r="CZ85" s="43" t="str">
        <f aca="false">IF(Tasks[[#This Row],[_Pred2Text]]="","",IFERROR(VALUE(LEFT(Tasks[[#This Row],[_Pred2Text]],MIN(FIND("F",Tasks[[#This Row],[_Pred2Text]]&amp;"F"),FIND("S",Tasks[[#This Row],[_Pred2Text]]&amp;"S"),FIND("+",Tasks[[#This Row],[_Pred2Text]]&amp;"+"),FIND("-",Tasks[[#This Row],[_Pred2Text]]&amp;"-"))-1)),""))</f>
        <v/>
      </c>
      <c r="DA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3" t="str">
        <f aca="false">IF(Tasks[[#This Row],[_Pred2Text]]="","",TRIM(MID(SUBSTITUTE(SUBSTITUTE(SUBSTITUTE(UPPER(Tasks[[#This Row],[_Predecessors]]),";",",")," ",""),",",REPT(" ",99)),199,99)))</f>
        <v/>
      </c>
      <c r="DD85" s="43" t="str">
        <f aca="false">IF(Tasks[[#This Row],[_Pred3Text]]="","",IFERROR(VALUE(LEFT(Tasks[[#This Row],[_Pred3Text]],MIN(FIND("F",Tasks[[#This Row],[_Pred3Text]]&amp;"F"),FIND("S",Tasks[[#This Row],[_Pred3Text]]&amp;"S"),FIND("+",Tasks[[#This Row],[_Pred3Text]]&amp;"+"),FIND("-",Tasks[[#This Row],[_Pred3Text]]&amp;"-"))-1)),""))</f>
        <v/>
      </c>
      <c r="DE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3" t="str">
        <f aca="false">IF(Tasks[[#This Row],[_Pred3Text]]="","",TRIM(MID(SUBSTITUTE(SUBSTITUTE(SUBSTITUTE(UPPER(Tasks[[#This Row],[_Predecessors]]),";",",")," ",""),",",REPT(" ",99)),298,99)))</f>
        <v/>
      </c>
      <c r="DH85" s="43" t="str">
        <f aca="false">IF(Tasks[[#This Row],[_Pred4Text]]="","",IFERROR(VALUE(LEFT(Tasks[[#This Row],[_Pred4Text]],MIN(FIND("F",Tasks[[#This Row],[_Pred4Text]]&amp;"F"),FIND("S",Tasks[[#This Row],[_Pred4Text]]&amp;"S"),FIND("+",Tasks[[#This Row],[_Pred4Text]]&amp;"+"),FIND("-",Tasks[[#This Row],[_Pred4Text]]&amp;"-"))-1)),""))</f>
        <v/>
      </c>
      <c r="DI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3" t="str">
        <f aca="false">IF(OR(Tasks[[#This Row],[Task Name]]="",Tasks[[#This Row],[_Resources]]=""),"",TRIM(MID(SUBSTITUTE(Tasks[[#This Row],[_Resources]],",",REPT(" ",99)),1,99)))</f>
        <v/>
      </c>
      <c r="DL85" s="43" t="str">
        <f aca="false">IF(Tasks[[#This Row],[_Res1Text]]="","",TRIM(MID(SUBSTITUTE(Tasks[[#This Row],[_Resources]],",",REPT(" ",99)),100,99)))</f>
        <v/>
      </c>
      <c r="DM85" s="43" t="str">
        <f aca="false">IF(Tasks[[#This Row],[_Res2Text]]="","",TRIM(MID(SUBSTITUTE(Tasks[[#This Row],[_Resources]],",",REPT(" ",99)),199,99)))</f>
        <v/>
      </c>
      <c r="DN85" s="43" t="str">
        <f aca="false">IF(Tasks[[#This Row],[_Res3Text]]="","",TRIM(MID(SUBSTITUTE(Tasks[[#This Row],[_Resources]],",",REPT(" ",99)),298,99)))</f>
        <v/>
      </c>
      <c r="DO85" s="43" t="n">
        <f aca="false">IF(Tasks[[#This Row],[_Res1Text]]="",0,IFERROR(MATCH(TRIM(LEFT(Tasks[[#This Row],[_Res1Text]],FIND("[",Tasks[[#This Row],[_Res1Text]]&amp;"[")-1)),res_Name,0),IFERROR(MATCH(TRIM(LEFT(Tasks[[#This Row],[_Res1Text]],FIND("[",Tasks[[#This Row],[_Res1Text]]&amp;"[")-1)),res_Initials,0),0)))</f>
        <v>0</v>
      </c>
      <c r="DP85" s="43" t="n">
        <f aca="false">IF(Tasks[[#This Row],[_Res2Text]]="",0,IFERROR(MATCH(TRIM(LEFT(Tasks[[#This Row],[_Res2Text]],FIND("[",Tasks[[#This Row],[_Res2Text]]&amp;"[")-1)),res_Name,0),IFERROR(MATCH(TRIM(LEFT(Tasks[[#This Row],[_Res2Text]],FIND("[",Tasks[[#This Row],[_Res2Text]]&amp;"[")-1)),res_Initials,0),0)))</f>
        <v>0</v>
      </c>
      <c r="DQ85" s="43" t="n">
        <f aca="false">IF(Tasks[[#This Row],[_Res3Text]]="",0,IFERROR(MATCH(TRIM(LEFT(Tasks[[#This Row],[_Res3Text]],FIND("[",Tasks[[#This Row],[_Res3Text]]&amp;"[")-1)),res_Name,0),IFERROR(MATCH(TRIM(LEFT(Tasks[[#This Row],[_Res3Text]],FIND("[",Tasks[[#This Row],[_Res3Text]]&amp;"[")-1)),res_Initials,0),0)))</f>
        <v>0</v>
      </c>
      <c r="DR85" s="43" t="n">
        <f aca="false">IF(Tasks[[#This Row],[_Res4Text]]="",0,IFERROR(MATCH(TRIM(LEFT(Tasks[[#This Row],[_Res4Text]],FIND("[",Tasks[[#This Row],[_Res4Text]]&amp;"[")-1)),res_Name,0),IFERROR(MATCH(TRIM(LEFT(Tasks[[#This Row],[_Res4Text]],FIND("[",Tasks[[#This Row],[_Res4Text]]&amp;"[")-1)),res_Initials,0),0)))</f>
        <v>0</v>
      </c>
      <c r="DS85" s="43" t="str">
        <f aca="false">IF(Tasks[[#This Row],[_Res1Text]]="","",IF(Tasks[[#This Row],[_Res1Row]]&gt;0,INDEX(res_Name,Tasks[[#This Row],[_Res1Row]]),TRIM(LEFT(Tasks[[#This Row],[_Res1Text]],FIND("[",Tasks[[#This Row],[_Res1Text]]&amp;"[")-1))))</f>
        <v/>
      </c>
      <c r="DT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3" t="n">
        <f aca="false">IF(NOT(Tasks[[#This Row],[_IsLeaf]]=1),0,(Tasks[[#This Row],[_Resource1]]&lt;&gt;"")+(Tasks[[#This Row],[_Res2]]&lt;&gt;"")+(Tasks[[#This Row],[_Res3]]&lt;&gt;"")+(Tasks[[#This Row],[_Res4]]&lt;&gt;""))</f>
        <v>0</v>
      </c>
      <c r="DV85" s="43" t="str">
        <f aca="false">IF(Tasks[[#This Row],[_Res2Text]]="","",IF(Tasks[[#This Row],[_Res2Row]]&gt;0,INDEX(res_Name,Tasks[[#This Row],[_Res2Row]]),TRIM(LEFT(Tasks[[#This Row],[_Res2Text]],FIND("[",Tasks[[#This Row],[_Res2Text]]&amp;"[")-1))))</f>
        <v/>
      </c>
      <c r="DW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3" t="n">
        <f aca="false">IF(OR(NOT(Tasks[[#This Row],[_IsLeaf]]=1),Tasks[[#This Row],[_Res2Row]]=0),0,N(Tasks[[#This Row],[_Days]])*HoursPerDay*IF(Tasks[[#This Row],[_Res2Units]]="",DefaultUnits,Tasks[[#This Row],[_Res2Units]]))</f>
        <v>0</v>
      </c>
      <c r="DY85" s="43" t="n">
        <f aca="false">IF(AND(AND(Tasks[[#This Row],[_IsLeaf]]=1,Tasks[[#This Row],[_LeafTotalWork]]&gt;0),Tasks[[#This Row],[_Res2Work]]&gt;0),Tasks[[#This Row],[_Res2Work]]/(Tasks[[#This Row],[_FinishWorkday]]-Tasks[[#This Row],[_StartWorkday]]+1),0)</f>
        <v>0</v>
      </c>
      <c r="DZ85" s="43" t="n">
        <f aca="false">Tasks[[#This Row],[_Res2WorkPerWD]]*MAX(0,Tasks[[#This Row],[_StartWorkday]]-1)</f>
        <v>0</v>
      </c>
      <c r="EA85" s="43" t="n">
        <f aca="false">Tasks[[#This Row],[_Res2Work]]*Tasks[[#This Row],[_LeafProgress]]</f>
        <v>0</v>
      </c>
      <c r="EB85" s="43" t="str">
        <f aca="false">IF(Tasks[[#This Row],[_Res3Text]]="","",IF(Tasks[[#This Row],[_Res3Row]]&gt;0,INDEX(res_Name,Tasks[[#This Row],[_Res3Row]]),TRIM(LEFT(Tasks[[#This Row],[_Res3Text]],FIND("[",Tasks[[#This Row],[_Res3Text]]&amp;"[")-1))))</f>
        <v/>
      </c>
      <c r="EC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3" t="n">
        <f aca="false">IF(OR(NOT(Tasks[[#This Row],[_IsLeaf]]=1),Tasks[[#This Row],[_Res3Row]]=0),0,N(Tasks[[#This Row],[_Days]])*HoursPerDay*IF(Tasks[[#This Row],[_Res3Units]]="",DefaultUnits,Tasks[[#This Row],[_Res3Units]]))</f>
        <v>0</v>
      </c>
      <c r="EE85" s="43" t="n">
        <f aca="false">IF(AND(AND(Tasks[[#This Row],[_IsLeaf]]=1,Tasks[[#This Row],[_LeafTotalWork]]&gt;0),Tasks[[#This Row],[_Res3Work]]&gt;0),Tasks[[#This Row],[_Res3Work]]/(Tasks[[#This Row],[_FinishWorkday]]-Tasks[[#This Row],[_StartWorkday]]+1),0)</f>
        <v>0</v>
      </c>
      <c r="EF85" s="43" t="n">
        <f aca="false">Tasks[[#This Row],[_Res3WorkPerWD]]*MAX(0,Tasks[[#This Row],[_StartWorkday]]-1)</f>
        <v>0</v>
      </c>
      <c r="EG85" s="43" t="n">
        <f aca="false">Tasks[[#This Row],[_Res3Work]]*Tasks[[#This Row],[_LeafProgress]]</f>
        <v>0</v>
      </c>
      <c r="EH85" s="43" t="str">
        <f aca="false">IF(Tasks[[#This Row],[_Res4Text]]="","",IF(Tasks[[#This Row],[_Res4Row]]&gt;0,INDEX(res_Name,Tasks[[#This Row],[_Res4Row]]),TRIM(LEFT(Tasks[[#This Row],[_Res4Text]],FIND("[",Tasks[[#This Row],[_Res4Text]]&amp;"[")-1))))</f>
        <v/>
      </c>
      <c r="EI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3" t="n">
        <f aca="false">IF(OR(NOT(Tasks[[#This Row],[_IsLeaf]]=1),Tasks[[#This Row],[_Res4Row]]=0),0,N(Tasks[[#This Row],[_Days]])*HoursPerDay*IF(Tasks[[#This Row],[_Res4Units]]="",DefaultUnits,Tasks[[#This Row],[_Res4Units]]))</f>
        <v>0</v>
      </c>
      <c r="EK85" s="43" t="n">
        <f aca="false">IF(AND(AND(Tasks[[#This Row],[_IsLeaf]]=1,Tasks[[#This Row],[_LeafTotalWork]]&gt;0),Tasks[[#This Row],[_Res4Work]]&gt;0),Tasks[[#This Row],[_Res4Work]]/(Tasks[[#This Row],[_FinishWorkday]]-Tasks[[#This Row],[_StartWorkday]]+1),0)</f>
        <v>0</v>
      </c>
      <c r="EL85" s="43" t="n">
        <f aca="false">Tasks[[#This Row],[_Res4WorkPerWD]]*MAX(0,Tasks[[#This Row],[_StartWorkday]]-1)</f>
        <v>0</v>
      </c>
      <c r="EM85" s="43" t="n">
        <f aca="false">Tasks[[#This Row],[_Res4Work]]*Tasks[[#This Row],[_LeafProgress]]</f>
        <v>0</v>
      </c>
      <c r="EN85" s="43" t="n">
        <f aca="false">IF(ISNUMBER(Tasks[[#This Row],[% Complete]]),Tasks[[#This Row],[% Complete]],IF(Tasks[[#This Row],[Stage]]="",0,IFERROR(INDEX(stg_Pct,MATCH(Tasks[[#This Row],[Stage]],stg_Name,0)),0)))</f>
        <v>0</v>
      </c>
      <c r="EO85" s="43" t="n">
        <f aca="false">IF(NOT(Tasks[[#This Row],[_IsLeaf]]=1),0,IF(N(Tasks[[#This Row],[Actual Finish]])&gt;0,1,MIN(1,Tasks[[#This Row],[_Pct]])))</f>
        <v>0</v>
      </c>
      <c r="EP85" s="43" t="n">
        <f aca="false">IF(OR(NOT(Tasks[[#This Row],[_IsLeaf]]=1),Tasks[[#This Row],[_Res1Row]]=0),0,N(Tasks[[#This Row],[_Days]])*HoursPerDay*IF(Tasks[[#This Row],[_Units1]]="",DefaultUnits,Tasks[[#This Row],[_Units1]]))</f>
        <v>0</v>
      </c>
      <c r="EQ85" s="43" t="n">
        <f aca="false">Tasks[[#This Row],[_LeafWork]]+Tasks[[#This Row],[_Res2Work]]+Tasks[[#This Row],[_Res3Work]]+Tasks[[#This Row],[_Res4Work]]</f>
        <v>0</v>
      </c>
      <c r="ER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3" t="n">
        <f aca="false">IF(NOT(Tasks[[#This Row],[_IsLeaf]]=1),0,MAX(_xlfn.MAXIFS(Tasks[_Row],Tasks[_Pred1UID],Tasks[[#This Row],[UID]]),_xlfn.MAXIFS(Tasks[_Row],Tasks[_Pred2UID],Tasks[[#This Row],[UID]]),_xlfn.MAXIFS(Tasks[_Row],Tasks[_Pred3UID],Tasks[[#This Row],[UID]]),_xlfn.MAXIFS(Tasks[_Row],Tasks[_Pred4UID],Tasks[[#This Row],[UID]])))</f>
        <v>0</v>
      </c>
      <c r="FA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91" t="str">
        <f aca="false">IF(NOT(Tasks[[#This Row],[_IsLeaf]]=1),"",IF(N(Tasks[[#This Row],[_Days]])&lt;=0,Tasks[[#This Row],[_LeafLateFinish]],WORKDAY.INTL(Tasks[[#This Row],[_LeafLateFinish]],-(Tasks[[#This Row],[_Days]]-1),WorkWeek,Holidays)))</f>
        <v/>
      </c>
      <c r="FD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5" s="90" t="b">
        <f aca="false">AND(Tasks[[#This Row],[_IsLeaf]]=1,Tasks[[#This Row],[_LeafProgress]]&lt;1,N(Tasks[[#This Row],[_LeafTotalSlack]])&lt;=CriticalSlackDays)</f>
        <v>0</v>
      </c>
      <c r="FF85" s="43" t="n">
        <f aca="false">IF(AND(Tasks[[#This Row],[_IsLeaf]]=1,Tasks[[#This Row],[_ConstraintCode]]=1,Tasks[[#This Row],[Mode]]&lt;&gt;"Manual",N(Tasks[[#This Row],[Actual Start]])=0),MAX(0,N(Tasks[[#This Row],[Free Slack]])),0)</f>
        <v>0</v>
      </c>
      <c r="FG85" s="91" t="str">
        <f aca="false">IF(NOT(Tasks[[#This Row],[_IsLeaf]]=1),"",IF(Tasks[[#This Row],[_AlapShift]]=0,Tasks[[#This Row],[_LeafCalcStart]],WORKDAY.INTL(Tasks[[#This Row],[_LeafCalcStart]],Tasks[[#This Row],[_AlapShift]],WorkWeek,Holidays)))</f>
        <v/>
      </c>
      <c r="FH85" s="91" t="str">
        <f aca="false">IF(NOT(Tasks[[#This Row],[_IsLeaf]]=1),"",IF(Tasks[[#This Row],[_AlapShift]]=0,Tasks[[#This Row],[_LeafCalcFinish]],WORKDAY.INTL(Tasks[[#This Row],[_LeafCalcFinish]],Tasks[[#This Row],[_AlapShift]],WorkWeek,Holidays)))</f>
        <v/>
      </c>
      <c r="FI85" s="91" t="str">
        <f aca="false">IF(NOT(Tasks[[#This Row],[_IsLeaf]]=1),"",IF(Tasks[[#This Row],[_AlapShift]]=0,Tasks[[#This Row],[_LeafFcstStart]],WORKDAY.INTL(Tasks[[#This Row],[_LeafFcstStart]],Tasks[[#This Row],[_AlapShift]],WorkWeek,Holidays)))</f>
        <v/>
      </c>
      <c r="FJ85" s="91" t="str">
        <f aca="false">IF(NOT(Tasks[[#This Row],[_IsLeaf]]=1),"",IF(Tasks[[#This Row],[_AlapShift]]=0,Tasks[[#This Row],[_LeafFcstFinish]],WORKDAY.INTL(Tasks[[#This Row],[_LeafFcstFinish]],Tasks[[#This Row],[_AlapShift]],WorkWeek,Holidays)))</f>
        <v/>
      </c>
      <c r="FK85" s="91" t="str">
        <f aca="false">IF(Tasks[[#This Row],[Task Name]]="","",IF(Tasks[[#This Row],[_IsSummary]],MIN(INDEX(Tasks[_ShownCalcStart],Tasks[[#This Row],[_Row]]+1):INDEX(Tasks[_ShownCalcStart],Tasks[[#This Row],[_Row]]+Tasks[[#This Row],[_Descendants]])),Tasks[[#This Row],[_ShownCalcStart]]))</f>
        <v/>
      </c>
      <c r="FL85" s="91" t="str">
        <f aca="false">IF(Tasks[[#This Row],[Task Name]]="","",IF(Tasks[[#This Row],[_IsSummary]],MAX(INDEX(Tasks[_ShownCalcFinish],Tasks[[#This Row],[_Row]]+1):INDEX(Tasks[_ShownCalcFinish],Tasks[[#This Row],[_Row]]+Tasks[[#This Row],[_Descendants]])),Tasks[[#This Row],[_ShownCalcFinish]]))</f>
        <v/>
      </c>
      <c r="FM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5" s="43" t="n">
        <f aca="false">IF(AND(Tasks[[#This Row],[_IsLeaf]]=1,Tasks[[#This Row],[_LeafTotalWork]]&gt;0),NETWORKDAYS.INTL(ProjectStart,Tasks[[#This Row],[_ShownFcstStart]],WorkWeek,Holidays),0)</f>
        <v>0</v>
      </c>
      <c r="FZ85" s="43" t="n">
        <f aca="false">IF(AND(Tasks[[#This Row],[_IsLeaf]]=1,Tasks[[#This Row],[_LeafTotalWork]]&gt;0),MAX(Tasks[[#This Row],[_StartWorkday]],NETWORKDAYS.INTL(ProjectStart,Tasks[[#This Row],[_ShownFcstFinish]],WorkWeek,Holidays)),0)</f>
        <v>0</v>
      </c>
      <c r="GA85" s="43" t="n">
        <f aca="false">IF(AND(Tasks[[#This Row],[_IsLeaf]]=1,Tasks[[#This Row],[_LeafTotalWork]]&gt;0),Tasks[[#This Row],[_LeafWork]]/(Tasks[[#This Row],[_FinishWorkday]]-Tasks[[#This Row],[_StartWorkday]]+1),0)</f>
        <v>0</v>
      </c>
      <c r="GB85" s="43" t="n">
        <f aca="false">Tasks[[#This Row],[_WorkPerWorkday]]*(Tasks[[#This Row],[_StartWorkday]]-1)</f>
        <v>-0</v>
      </c>
      <c r="GC85" s="43" t="n">
        <f aca="false">IF(Tasks[[#This Row],[_IsLeaf]]=1,MAX(N(Tasks[[#This Row],[_Days]]),0.1),0)</f>
        <v>0</v>
      </c>
      <c r="GD85" s="43" t="n">
        <f aca="false">Tasks[[#This Row],[_WeightDur]]*Tasks[[#This Row],[_LeafProgress]]</f>
        <v>0</v>
      </c>
      <c r="GE85" s="43" t="n">
        <f aca="false">Tasks[[#This Row],[_WeightDur]]*Tasks[[#This Row],[_PlannedPct]]</f>
        <v>0</v>
      </c>
      <c r="GF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3" t="str">
        <f aca="false">IF(AND(Tasks[[#This Row],[_IsLeaf]]=1,N(Tasks[[#This Row],[_Days]])=0,Tasks[[#This Row],[_LeafProgress]]&lt;1),Tasks[[#This Row],[_ShownFcstFinish]]+Tasks[[#This Row],[_Row]]/100000,"")</f>
        <v/>
      </c>
      <c r="GH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5" s="43" t="str">
        <f aca="false">IF(Tasks[[#This Row],[Task Name]]="","",LEFT(Tasks[[#This Row],[WBS]],FIND(".",Tasks[[#This Row],[WBS]]&amp;".")-1))</f>
        <v/>
      </c>
      <c r="GJ85" s="43" t="str">
        <f aca="false">IF(AND(Tasks[[#This Row],[Task Name]]&lt;&gt;"",Tasks[[#This Row],[_Level]]=1),Tasks[[#This Row],[_Row]],"")</f>
        <v/>
      </c>
      <c r="GK85" s="43" t="str">
        <f aca="false">IF(AND(Tasks[[#This Row],[_IsLeaf]]=1,N(Tasks[[#This Row],[_Days]])=0),Tasks[[#This Row],[Planned Finish]]+Tasks[[#This Row],[_Row]]/100000,"")</f>
        <v/>
      </c>
      <c r="GL85" s="43" t="str">
        <f aca="false">IF(AND(Tasks[[#This Row],[_IsLeaf]]=1,Tasks[[#This Row],[_LeafProgress]]&lt;1,OR(N(Tasks[[#This Row],[Finish Var]])&gt;0,Tasks[[#This Row],[Status]]="Late Start")),MAX(0,Tasks[[#This Row],[Finish Var]])+1-Tasks[[#This Row],[_Row]]/1000000,"")</f>
        <v/>
      </c>
      <c r="GM85" s="43" t="str">
        <f aca="false">IF(AND(Tasks[[#This Row],[_IsLeaf]]=1,N(Tasks[[#This Row],[Actual Start]])=0,Tasks[[#This Row],[_ShownFcstStart]]&gt;=StatusDate,Tasks[[#This Row],[_ShownFcstStart]]&lt;=LookaheadEnd),Tasks[[#This Row],[_ShownFcstStart]]+Tasks[[#This Row],[_Row]]/100000,"")</f>
        <v/>
      </c>
      <c r="GN85" s="43" t="str">
        <f aca="false">IF(AND(Tasks[[#This Row],[_IsLeaf]]=1,Tasks[[#This Row],[_LeafProgress]]&lt;1,Tasks[[#This Row],[_ShownFcstFinish]]&gt;=StatusDate,Tasks[[#This Row],[_ShownFcstFinish]]&lt;=LookaheadEnd),Tasks[[#This Row],[_ShownFcstFinish]]+Tasks[[#This Row],[_Row]]/100000,"")</f>
        <v/>
      </c>
      <c r="GO85" s="43" t="str">
        <f aca="false">IF(Tasks[[#This Row],[_LeafCritical]],Tasks[[#This Row],[_ShownFcstStart]]+Tasks[[#This Row],[_Row]]/100000,"")</f>
        <v/>
      </c>
      <c r="GP85" s="43" t="n">
        <f aca="false">Tasks[[#This Row],[_LeafWork]]*Tasks[[#This Row],[_LeafProgress]]</f>
        <v>0</v>
      </c>
      <c r="GQ85" s="91" t="str">
        <f aca="false">IF(AND(Tasks[[#This Row],[_IsLeaf]]=1,Tasks[[#This Row],[_LeafProgress]]&gt;=1),IF(N(Tasks[[#This Row],[Actual Finish]])&gt;0,Tasks[[#This Row],[Actual Finish]],Tasks[[#This Row],[_ShownFcstFinish]]),"")</f>
        <v/>
      </c>
      <c r="GR85" s="43" t="n">
        <f aca="false">IF(Tasks[[#This Row],[_IsLeaf]]=1,N(Tasks[[#This Row],[Story Points]]),0)</f>
        <v>0</v>
      </c>
      <c r="GS85" s="43" t="str">
        <f aca="false">""</f>
        <v/>
      </c>
      <c r="GT85" s="90" t="b">
        <f aca="false">IF(Tasks[[#This Row],[Task Name]]="",FALSE(),AND(Tasks[[#This Row],[_IsLeaf]]=1,N(Tasks[[#This Row],[_Days]])=0))</f>
        <v>0</v>
      </c>
      <c r="GU85" s="91" t="n">
        <f aca="false">IF(Tasks[[#This Row],[Task Name]]="",0,IF(AND(Tasks[[#This Row],[_IsLeaf]]=1,NOT(Tasks[[#This Row],[_IsMilestone]]),N(Tasks[[#This Row],[Progress]])&gt;0),Tasks[[#This Row],[Start]],0))</f>
        <v>0</v>
      </c>
      <c r="GV85" s="91" t="n">
        <f aca="false">IF(Tasks[[#This Row],[_DoneFrom]]=0,0,IF(Tasks[[#This Row],[Progress]]&gt;=1,Tasks[[#This Row],[Finish]],MAX(Tasks[[#This Row],[_DoneFrom]],Tasks[[#This Row],[Start]]+ROUND((Tasks[[#This Row],[Finish]]-Tasks[[#This Row],[Start]]+1)*Tasks[[#This Row],[Progress]],0)-1)))</f>
        <v>0</v>
      </c>
      <c r="GW85" s="91" t="n">
        <f aca="false">IF(Tasks[[#This Row],[Task Name]]="",0,IF(OR(NOT(Tasks[[#This Row],[_IsLeaf]]=1),Tasks[[#This Row],[_IsMilestone]],N(Tasks[[#This Row],[Progress]])&gt;=1),0,IF(Tasks[[#This Row],[_DoneTo]]&gt;0,Tasks[[#This Row],[_DoneTo]]+1,Tasks[[#This Row],[Start]])))</f>
        <v>0</v>
      </c>
      <c r="GX85" s="91" t="n">
        <f aca="false">IF(Tasks[[#This Row],[_RemFrom]]=0,0,Tasks[[#This Row],[Finish]])</f>
        <v>0</v>
      </c>
      <c r="GY85" s="90" t="b">
        <f aca="false">IF(Tasks[[#This Row],[Task Name]]="",FALSE(),OR(NOT(BaselineSet),N(Tasks[[#This Row],[Baseline Start]])&gt;0))</f>
        <v>0</v>
      </c>
      <c r="GZ8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92" t="str">
        <f aca="false">IF(Tasks[[#This Row],[_IsLeaf]]=1,Tasks[[#This Row],[_Row]],"")</f>
        <v/>
      </c>
      <c r="HD85" s="92" t="str">
        <f aca="false">IFERROR(INDEX(Tasks[UID],SMALL(Tasks[_PickKey],Tasks[[#This Row],[_Row]]))&amp;" "&amp;INDEX(Tasks[Task Name],SMALL(Tasks[_PickKey],Tasks[[#This Row],[_Row]])),"")</f>
        <v/>
      </c>
      <c r="HE85" s="43" t="str">
        <f aca="false">IF(Tasks[[#This Row],[Task Name]]="","",IF(Tasks[[#This Row],[_IsSummary]],NETWORKDAYS.INTL(Tasks[[#This Row],[Start]],Tasks[[#This Row],[Finish]],WorkWeek,Holidays),N(Tasks[[#This Row],[_Days]])))</f>
        <v/>
      </c>
      <c r="HF85" s="43" t="n">
        <f aca="false">IF(Tasks[[#This Row],[Expected]]="",0,((Tasks[[#This Row],[Pessimistic]]-Tasks[[#This Row],[Optimistic]])/6)^2)</f>
        <v>0</v>
      </c>
      <c r="HG85" s="43" t="n">
        <f aca="false">IF(Tasks[[#This Row],[Expected]]="",0,Tasks[[#This Row],[Expected]]-N(Tasks[[#This Row],[_Days]]))</f>
        <v>0</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4"/>
      <c r="U86" s="23"/>
      <c r="V86" s="84"/>
      <c r="W86" s="23"/>
      <c r="X86" s="84"/>
      <c r="Y86" s="23"/>
      <c r="Z86" s="84"/>
      <c r="AA86" s="23"/>
      <c r="AB86" s="23"/>
      <c r="AC86" s="7"/>
      <c r="AD86" s="7"/>
      <c r="AE86" s="63" t="str">
        <f aca="false">IF(Tasks[[#This Row],[Task Name]]="","",IF(Tasks[[#This Row],[_IsSummary]],MIN(INDEX(Tasks[_ShownFcstStart],Tasks[[#This Row],[_Row]]+1):INDEX(Tasks[_ShownFcstStart],Tasks[[#This Row],[_Row]]+Tasks[[#This Row],[_Descendants]])),Tasks[[#This Row],[_ShownFcstStart]]))</f>
        <v/>
      </c>
      <c r="AF86" s="63"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6" s="7"/>
      <c r="AK86" s="22"/>
      <c r="AL86" s="23"/>
      <c r="AM86" s="7"/>
      <c r="AN86" s="47"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3" t="str">
        <f aca="false">IF(Tasks[[#This Row],[Task Name]]="","",IF(N(Tasks[[#This Row],[Baseline Start]])&gt;0,Tasks[[#This Row],[Baseline Start]],Tasks[[#This Row],[_CalcStart]]))</f>
        <v/>
      </c>
      <c r="AR86" s="63" t="str">
        <f aca="false">IF(Tasks[[#This Row],[Task Name]]="","",IF(N(Tasks[[#This Row],[Baseline Finish]])&gt;0,Tasks[[#This Row],[Baseline Finish]],Tasks[[#This Row],[_CalcFinish]]))</f>
        <v/>
      </c>
      <c r="AS86" s="47" t="str">
        <f aca="false">IF(Tasks[[#This Row],[Task Name]]="","",IF(Tasks[[#This Row],[Start]]&gt;=Tasks[[#This Row],[Planned Start]],NETWORKDAYS.INTL(Tasks[[#This Row],[Planned Start]],Tasks[[#This Row],[Start]],WorkWeek,Holidays)-1,1-NETWORKDAYS.INTL(Tasks[[#This Row],[Start]],Tasks[[#This Row],[Planned Start]],WorkWeek,Holidays)))</f>
        <v/>
      </c>
      <c r="AT86" s="63" t="str">
        <f aca="false">IF(Tasks[[#This Row],[Task Name]]="","",IF(Tasks[[#This Row],[_IsSummary]],MIN(INDEX(Tasks[_LeafLateStart],Tasks[[#This Row],[_Row]]+1):INDEX(Tasks[_LeafLateStart],Tasks[[#This Row],[_Row]]+Tasks[[#This Row],[_Descendants]])),Tasks[[#This Row],[_LeafLateStart]]))</f>
        <v/>
      </c>
      <c r="AU86" s="63" t="str">
        <f aca="false">IF(Tasks[[#This Row],[Task Name]]="","",IF(Tasks[[#This Row],[_IsSummary]],MAX(INDEX(Tasks[_LeafLateFinish],Tasks[[#This Row],[_Row]]+1):INDEX(Tasks[_LeafLateFinish],Tasks[[#This Row],[_Row]]+Tasks[[#This Row],[_Descendants]])),Tasks[[#This Row],[_LeafLateFinish]]))</f>
        <v/>
      </c>
      <c r="AV86" s="47"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5"/>
      <c r="BA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6"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7"/>
      <c r="BJ86" s="22"/>
      <c r="BK86" s="47" t="str">
        <f aca="false">IF(OR(Tasks[[#This Row],[Task Name]]="",Tasks[[#This Row],[Baseline Duration]]=""),"",Tasks[[#This Row],[_SpanDays]]-N(Tasks[[#This Row],[Baseline Duration]]))</f>
        <v/>
      </c>
      <c r="BL86" s="86" t="str">
        <f aca="false">IF(OR(Tasks[[#This Row],[Task Name]]="",Tasks[[#This Row],[Baseline Work]]=""),"",Tasks[[#This Row],[Work]]-N(Tasks[[#This Row],[Baseline Work]]))</f>
        <v/>
      </c>
      <c r="BM86" s="63" t="str">
        <f aca="false">IF(Tasks[[#This Row],[Task Name]]="","",IF(OR(TakeBaseline="Yes",N(Tasks[[#This Row],[Baseline Start]])=0),Tasks[[#This Row],[Start]],Tasks[[#This Row],[Baseline Start]]))</f>
        <v/>
      </c>
      <c r="BN86" s="63" t="str">
        <f aca="false">IF(Tasks[[#This Row],[Task Name]]="","",IF(OR(TakeBaseline="Yes",N(Tasks[[#This Row],[Baseline Finish]])=0),Tasks[[#This Row],[Finish]],Tasks[[#This Row],[Baseline Finish]]))</f>
        <v/>
      </c>
      <c r="BO86" s="21" t="str">
        <f aca="false">IF(Tasks[[#This Row],[Task Name]]="","",IF(OR(TakeBaseline="Yes",N(Tasks[[#This Row],[Baseline Duration]])=0),Tasks[[#This Row],[_SpanDays]],Tasks[[#This Row],[Baseline Duration]]))</f>
        <v/>
      </c>
      <c r="BP86" s="86" t="str">
        <f aca="false">IF(Tasks[[#This Row],[Task Name]]="","",IF(OR(TakeBaseline="Yes",N(Tasks[[#This Row],[Baseline Work]])=0),Tasks[[#This Row],[Work]],Tasks[[#This Row],[Baseline Work]]))</f>
        <v/>
      </c>
      <c r="BQ86" s="7"/>
      <c r="BR86" s="7"/>
      <c r="BS86" s="22"/>
      <c r="BT86" s="88"/>
      <c r="BU86" s="23"/>
      <c r="BV86" s="23"/>
      <c r="BW86" s="23"/>
      <c r="BX86" s="89" t="str">
        <f aca="false">IF(AND(Tasks[[#This Row],[_IsLeaf]]=1,ISNUMBER(Tasks[[#This Row],[Optimistic]]),ISNUMBER(Tasks[[#This Row],[Pessimistic]])),ROUND((Tasks[[#This Row],[Optimistic]]+4*N(Tasks[[#This Row],[_Days]])+Tasks[[#This Row],[Pessimistic]])/6,1),"")</f>
        <v/>
      </c>
      <c r="BY86" s="87"/>
      <c r="BZ86" s="87"/>
      <c r="CA86" s="22"/>
      <c r="CB86" s="43" t="str">
        <f aca="false">IF(Tasks[[#This Row],[Task Name]]="","",MAX(1,N(Tasks[[#This Row],[Level]])))</f>
        <v/>
      </c>
      <c r="CC86" s="43" t="n">
        <f aca="false">ROW()-ROW(Tasks[[#Headers],[ID]])</f>
        <v>81</v>
      </c>
      <c r="CD86" s="43" t="n">
        <f aca="false">IF(OR(Tasks[[#This Row],[Task Name]]="",Tasks[[#This Row],[_Level]]&lt;=1),0,IFERROR(LOOKUP(2,1/(Tasks[[#Headers],[_Level]]:Tasks[[#This Row],[_Level]]=Tasks[[#This Row],[_Level]]-1),ROW(Tasks[[#Headers],[_Level]]:Tasks[[#This Row],[_Level]])),0))</f>
        <v>0</v>
      </c>
      <c r="CE86" s="43" t="n">
        <f aca="false">IFERROR(N(INDEX(Tasks[_Level],Tasks[[#This Row],[_Row]]+1)),0)</f>
        <v>0</v>
      </c>
      <c r="CF86" s="90" t="b">
        <f aca="false">AND(Tasks[[#This Row],[Task Name]]&lt;&gt;"",Tasks[[#This Row],[_NextLevel]]&gt;Tasks[[#This Row],[_Level]])</f>
        <v>0</v>
      </c>
      <c r="CG86" s="43" t="n">
        <f aca="false">IF(Tasks[[#This Row],[_IsSummary]],COUNTIF(Tasks[WBS],Tasks[[#This Row],[WBS]]&amp;".*"),0)</f>
        <v>0</v>
      </c>
      <c r="CH86" s="43" t="n">
        <f aca="false">IF(AND(Tasks[[#This Row],[Task Name]]&lt;&gt;"",NOT(Tasks[[#This Row],[_IsSummary]])),1,0)</f>
        <v>0</v>
      </c>
      <c r="CI86" s="43" t="n">
        <f aca="false">IF(N(Tasks[[#This Row],[_Pred1UID]])=0,0,IFERROR(MATCH(Tasks[[#This Row],[_Pred1UID]],Tasks[UID],0),-1))</f>
        <v>0</v>
      </c>
      <c r="CJ86" s="43" t="n">
        <f aca="false">IF(N(Tasks[[#This Row],[_Pred2UID]])=0,0,IFERROR(MATCH(Tasks[[#This Row],[_Pred2UID]],Tasks[UID],0),-1))</f>
        <v>0</v>
      </c>
      <c r="CK86" s="43" t="n">
        <f aca="false">IF(N(Tasks[[#This Row],[_Pred3UID]])=0,0,IFERROR(MATCH(Tasks[[#This Row],[_Pred3UID]],Tasks[UID],0),-1))</f>
        <v>0</v>
      </c>
      <c r="CL86" s="43" t="n">
        <f aca="false">IF(N(Tasks[[#This Row],[_Pred4UID]])=0,0,IFERROR(MATCH(Tasks[[#This Row],[_Pred4UID]],Tasks[UID],0),-1))</f>
        <v>0</v>
      </c>
      <c r="CM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6" s="91" t="n">
        <f aca="false">IF(OR(Tasks[[#This Row],[_ConstraintCode]]=2,Tasks[[#This Row],[_ConstraintCode]]=3,Tasks[[#This Row],[_ConstraintCode]]=4,Tasks[[#This Row],[_ConstraintCode]]=6),Tasks[[#This Row],[_ConstraintStart]],0)</f>
        <v>0</v>
      </c>
      <c r="CP86" s="91" t="n">
        <f aca="false">IF(OR(Tasks[[#This Row],[_ConstraintCode]]=2,Tasks[[#This Row],[_ConstraintCode]]=3,Tasks[[#This Row],[_ConstraintCode]]=5,Tasks[[#This Row],[_ConstraintCode]]=7),Tasks[[#This Row],[_ConstraintStart]],2958465)</f>
        <v>2958465</v>
      </c>
      <c r="CQ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91" t="str">
        <f aca="false">IF(NOT(Tasks[[#This Row],[_IsLeaf]]=1),"",IF(N(Tasks[[#This Row],[_Days]])&lt;=0,Tasks[[#This Row],[_LeafCalcStart]],WORKDAY.INTL(Tasks[[#This Row],[_LeafCalcStart]],Tasks[[#This Row],[_Days]]-1,WorkWeek,Holidays)))</f>
        <v/>
      </c>
      <c r="CS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3" t="str">
        <f aca="false">IF(Tasks[[#This Row],[_Predecessors]]="","",TRIM(MID(SUBSTITUTE(SUBSTITUTE(SUBSTITUTE(UPPER(Tasks[[#This Row],[_Predecessors]]),";",",")," ",""),",",REPT(" ",99)),1,99)))</f>
        <v/>
      </c>
      <c r="CV86" s="43" t="str">
        <f aca="false">IF(Tasks[[#This Row],[_Pred1Text]]="","",IFERROR(VALUE(LEFT(Tasks[[#This Row],[_Pred1Text]],MIN(FIND("F",Tasks[[#This Row],[_Pred1Text]]&amp;"F"),FIND("S",Tasks[[#This Row],[_Pred1Text]]&amp;"S"),FIND("+",Tasks[[#This Row],[_Pred1Text]]&amp;"+"),FIND("-",Tasks[[#This Row],[_Pred1Text]]&amp;"-"))-1)),""))</f>
        <v/>
      </c>
      <c r="CW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3" t="str">
        <f aca="false">IF(Tasks[[#This Row],[_Pred1Text]]="","",TRIM(MID(SUBSTITUTE(SUBSTITUTE(SUBSTITUTE(UPPER(Tasks[[#This Row],[_Predecessors]]),";",",")," ",""),",",REPT(" ",99)),100,99)))</f>
        <v/>
      </c>
      <c r="CZ86" s="43" t="str">
        <f aca="false">IF(Tasks[[#This Row],[_Pred2Text]]="","",IFERROR(VALUE(LEFT(Tasks[[#This Row],[_Pred2Text]],MIN(FIND("F",Tasks[[#This Row],[_Pred2Text]]&amp;"F"),FIND("S",Tasks[[#This Row],[_Pred2Text]]&amp;"S"),FIND("+",Tasks[[#This Row],[_Pred2Text]]&amp;"+"),FIND("-",Tasks[[#This Row],[_Pred2Text]]&amp;"-"))-1)),""))</f>
        <v/>
      </c>
      <c r="DA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3" t="str">
        <f aca="false">IF(Tasks[[#This Row],[_Pred2Text]]="","",TRIM(MID(SUBSTITUTE(SUBSTITUTE(SUBSTITUTE(UPPER(Tasks[[#This Row],[_Predecessors]]),";",",")," ",""),",",REPT(" ",99)),199,99)))</f>
        <v/>
      </c>
      <c r="DD86" s="43" t="str">
        <f aca="false">IF(Tasks[[#This Row],[_Pred3Text]]="","",IFERROR(VALUE(LEFT(Tasks[[#This Row],[_Pred3Text]],MIN(FIND("F",Tasks[[#This Row],[_Pred3Text]]&amp;"F"),FIND("S",Tasks[[#This Row],[_Pred3Text]]&amp;"S"),FIND("+",Tasks[[#This Row],[_Pred3Text]]&amp;"+"),FIND("-",Tasks[[#This Row],[_Pred3Text]]&amp;"-"))-1)),""))</f>
        <v/>
      </c>
      <c r="DE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3" t="str">
        <f aca="false">IF(Tasks[[#This Row],[_Pred3Text]]="","",TRIM(MID(SUBSTITUTE(SUBSTITUTE(SUBSTITUTE(UPPER(Tasks[[#This Row],[_Predecessors]]),";",",")," ",""),",",REPT(" ",99)),298,99)))</f>
        <v/>
      </c>
      <c r="DH86" s="43" t="str">
        <f aca="false">IF(Tasks[[#This Row],[_Pred4Text]]="","",IFERROR(VALUE(LEFT(Tasks[[#This Row],[_Pred4Text]],MIN(FIND("F",Tasks[[#This Row],[_Pred4Text]]&amp;"F"),FIND("S",Tasks[[#This Row],[_Pred4Text]]&amp;"S"),FIND("+",Tasks[[#This Row],[_Pred4Text]]&amp;"+"),FIND("-",Tasks[[#This Row],[_Pred4Text]]&amp;"-"))-1)),""))</f>
        <v/>
      </c>
      <c r="DI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3" t="str">
        <f aca="false">IF(OR(Tasks[[#This Row],[Task Name]]="",Tasks[[#This Row],[_Resources]]=""),"",TRIM(MID(SUBSTITUTE(Tasks[[#This Row],[_Resources]],",",REPT(" ",99)),1,99)))</f>
        <v/>
      </c>
      <c r="DL86" s="43" t="str">
        <f aca="false">IF(Tasks[[#This Row],[_Res1Text]]="","",TRIM(MID(SUBSTITUTE(Tasks[[#This Row],[_Resources]],",",REPT(" ",99)),100,99)))</f>
        <v/>
      </c>
      <c r="DM86" s="43" t="str">
        <f aca="false">IF(Tasks[[#This Row],[_Res2Text]]="","",TRIM(MID(SUBSTITUTE(Tasks[[#This Row],[_Resources]],",",REPT(" ",99)),199,99)))</f>
        <v/>
      </c>
      <c r="DN86" s="43" t="str">
        <f aca="false">IF(Tasks[[#This Row],[_Res3Text]]="","",TRIM(MID(SUBSTITUTE(Tasks[[#This Row],[_Resources]],",",REPT(" ",99)),298,99)))</f>
        <v/>
      </c>
      <c r="DO86" s="43" t="n">
        <f aca="false">IF(Tasks[[#This Row],[_Res1Text]]="",0,IFERROR(MATCH(TRIM(LEFT(Tasks[[#This Row],[_Res1Text]],FIND("[",Tasks[[#This Row],[_Res1Text]]&amp;"[")-1)),res_Name,0),IFERROR(MATCH(TRIM(LEFT(Tasks[[#This Row],[_Res1Text]],FIND("[",Tasks[[#This Row],[_Res1Text]]&amp;"[")-1)),res_Initials,0),0)))</f>
        <v>0</v>
      </c>
      <c r="DP86" s="43" t="n">
        <f aca="false">IF(Tasks[[#This Row],[_Res2Text]]="",0,IFERROR(MATCH(TRIM(LEFT(Tasks[[#This Row],[_Res2Text]],FIND("[",Tasks[[#This Row],[_Res2Text]]&amp;"[")-1)),res_Name,0),IFERROR(MATCH(TRIM(LEFT(Tasks[[#This Row],[_Res2Text]],FIND("[",Tasks[[#This Row],[_Res2Text]]&amp;"[")-1)),res_Initials,0),0)))</f>
        <v>0</v>
      </c>
      <c r="DQ86" s="43" t="n">
        <f aca="false">IF(Tasks[[#This Row],[_Res3Text]]="",0,IFERROR(MATCH(TRIM(LEFT(Tasks[[#This Row],[_Res3Text]],FIND("[",Tasks[[#This Row],[_Res3Text]]&amp;"[")-1)),res_Name,0),IFERROR(MATCH(TRIM(LEFT(Tasks[[#This Row],[_Res3Text]],FIND("[",Tasks[[#This Row],[_Res3Text]]&amp;"[")-1)),res_Initials,0),0)))</f>
        <v>0</v>
      </c>
      <c r="DR86" s="43" t="n">
        <f aca="false">IF(Tasks[[#This Row],[_Res4Text]]="",0,IFERROR(MATCH(TRIM(LEFT(Tasks[[#This Row],[_Res4Text]],FIND("[",Tasks[[#This Row],[_Res4Text]]&amp;"[")-1)),res_Name,0),IFERROR(MATCH(TRIM(LEFT(Tasks[[#This Row],[_Res4Text]],FIND("[",Tasks[[#This Row],[_Res4Text]]&amp;"[")-1)),res_Initials,0),0)))</f>
        <v>0</v>
      </c>
      <c r="DS86" s="43" t="str">
        <f aca="false">IF(Tasks[[#This Row],[_Res1Text]]="","",IF(Tasks[[#This Row],[_Res1Row]]&gt;0,INDEX(res_Name,Tasks[[#This Row],[_Res1Row]]),TRIM(LEFT(Tasks[[#This Row],[_Res1Text]],FIND("[",Tasks[[#This Row],[_Res1Text]]&amp;"[")-1))))</f>
        <v/>
      </c>
      <c r="DT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3" t="n">
        <f aca="false">IF(NOT(Tasks[[#This Row],[_IsLeaf]]=1),0,(Tasks[[#This Row],[_Resource1]]&lt;&gt;"")+(Tasks[[#This Row],[_Res2]]&lt;&gt;"")+(Tasks[[#This Row],[_Res3]]&lt;&gt;"")+(Tasks[[#This Row],[_Res4]]&lt;&gt;""))</f>
        <v>0</v>
      </c>
      <c r="DV86" s="43" t="str">
        <f aca="false">IF(Tasks[[#This Row],[_Res2Text]]="","",IF(Tasks[[#This Row],[_Res2Row]]&gt;0,INDEX(res_Name,Tasks[[#This Row],[_Res2Row]]),TRIM(LEFT(Tasks[[#This Row],[_Res2Text]],FIND("[",Tasks[[#This Row],[_Res2Text]]&amp;"[")-1))))</f>
        <v/>
      </c>
      <c r="DW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3" t="n">
        <f aca="false">IF(OR(NOT(Tasks[[#This Row],[_IsLeaf]]=1),Tasks[[#This Row],[_Res2Row]]=0),0,N(Tasks[[#This Row],[_Days]])*HoursPerDay*IF(Tasks[[#This Row],[_Res2Units]]="",DefaultUnits,Tasks[[#This Row],[_Res2Units]]))</f>
        <v>0</v>
      </c>
      <c r="DY86" s="43" t="n">
        <f aca="false">IF(AND(AND(Tasks[[#This Row],[_IsLeaf]]=1,Tasks[[#This Row],[_LeafTotalWork]]&gt;0),Tasks[[#This Row],[_Res2Work]]&gt;0),Tasks[[#This Row],[_Res2Work]]/(Tasks[[#This Row],[_FinishWorkday]]-Tasks[[#This Row],[_StartWorkday]]+1),0)</f>
        <v>0</v>
      </c>
      <c r="DZ86" s="43" t="n">
        <f aca="false">Tasks[[#This Row],[_Res2WorkPerWD]]*MAX(0,Tasks[[#This Row],[_StartWorkday]]-1)</f>
        <v>0</v>
      </c>
      <c r="EA86" s="43" t="n">
        <f aca="false">Tasks[[#This Row],[_Res2Work]]*Tasks[[#This Row],[_LeafProgress]]</f>
        <v>0</v>
      </c>
      <c r="EB86" s="43" t="str">
        <f aca="false">IF(Tasks[[#This Row],[_Res3Text]]="","",IF(Tasks[[#This Row],[_Res3Row]]&gt;0,INDEX(res_Name,Tasks[[#This Row],[_Res3Row]]),TRIM(LEFT(Tasks[[#This Row],[_Res3Text]],FIND("[",Tasks[[#This Row],[_Res3Text]]&amp;"[")-1))))</f>
        <v/>
      </c>
      <c r="EC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3" t="n">
        <f aca="false">IF(OR(NOT(Tasks[[#This Row],[_IsLeaf]]=1),Tasks[[#This Row],[_Res3Row]]=0),0,N(Tasks[[#This Row],[_Days]])*HoursPerDay*IF(Tasks[[#This Row],[_Res3Units]]="",DefaultUnits,Tasks[[#This Row],[_Res3Units]]))</f>
        <v>0</v>
      </c>
      <c r="EE86" s="43" t="n">
        <f aca="false">IF(AND(AND(Tasks[[#This Row],[_IsLeaf]]=1,Tasks[[#This Row],[_LeafTotalWork]]&gt;0),Tasks[[#This Row],[_Res3Work]]&gt;0),Tasks[[#This Row],[_Res3Work]]/(Tasks[[#This Row],[_FinishWorkday]]-Tasks[[#This Row],[_StartWorkday]]+1),0)</f>
        <v>0</v>
      </c>
      <c r="EF86" s="43" t="n">
        <f aca="false">Tasks[[#This Row],[_Res3WorkPerWD]]*MAX(0,Tasks[[#This Row],[_StartWorkday]]-1)</f>
        <v>0</v>
      </c>
      <c r="EG86" s="43" t="n">
        <f aca="false">Tasks[[#This Row],[_Res3Work]]*Tasks[[#This Row],[_LeafProgress]]</f>
        <v>0</v>
      </c>
      <c r="EH86" s="43" t="str">
        <f aca="false">IF(Tasks[[#This Row],[_Res4Text]]="","",IF(Tasks[[#This Row],[_Res4Row]]&gt;0,INDEX(res_Name,Tasks[[#This Row],[_Res4Row]]),TRIM(LEFT(Tasks[[#This Row],[_Res4Text]],FIND("[",Tasks[[#This Row],[_Res4Text]]&amp;"[")-1))))</f>
        <v/>
      </c>
      <c r="EI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3" t="n">
        <f aca="false">IF(OR(NOT(Tasks[[#This Row],[_IsLeaf]]=1),Tasks[[#This Row],[_Res4Row]]=0),0,N(Tasks[[#This Row],[_Days]])*HoursPerDay*IF(Tasks[[#This Row],[_Res4Units]]="",DefaultUnits,Tasks[[#This Row],[_Res4Units]]))</f>
        <v>0</v>
      </c>
      <c r="EK86" s="43" t="n">
        <f aca="false">IF(AND(AND(Tasks[[#This Row],[_IsLeaf]]=1,Tasks[[#This Row],[_LeafTotalWork]]&gt;0),Tasks[[#This Row],[_Res4Work]]&gt;0),Tasks[[#This Row],[_Res4Work]]/(Tasks[[#This Row],[_FinishWorkday]]-Tasks[[#This Row],[_StartWorkday]]+1),0)</f>
        <v>0</v>
      </c>
      <c r="EL86" s="43" t="n">
        <f aca="false">Tasks[[#This Row],[_Res4WorkPerWD]]*MAX(0,Tasks[[#This Row],[_StartWorkday]]-1)</f>
        <v>0</v>
      </c>
      <c r="EM86" s="43" t="n">
        <f aca="false">Tasks[[#This Row],[_Res4Work]]*Tasks[[#This Row],[_LeafProgress]]</f>
        <v>0</v>
      </c>
      <c r="EN86" s="43" t="n">
        <f aca="false">IF(ISNUMBER(Tasks[[#This Row],[% Complete]]),Tasks[[#This Row],[% Complete]],IF(Tasks[[#This Row],[Stage]]="",0,IFERROR(INDEX(stg_Pct,MATCH(Tasks[[#This Row],[Stage]],stg_Name,0)),0)))</f>
        <v>0</v>
      </c>
      <c r="EO86" s="43" t="n">
        <f aca="false">IF(NOT(Tasks[[#This Row],[_IsLeaf]]=1),0,IF(N(Tasks[[#This Row],[Actual Finish]])&gt;0,1,MIN(1,Tasks[[#This Row],[_Pct]])))</f>
        <v>0</v>
      </c>
      <c r="EP86" s="43" t="n">
        <f aca="false">IF(OR(NOT(Tasks[[#This Row],[_IsLeaf]]=1),Tasks[[#This Row],[_Res1Row]]=0),0,N(Tasks[[#This Row],[_Days]])*HoursPerDay*IF(Tasks[[#This Row],[_Units1]]="",DefaultUnits,Tasks[[#This Row],[_Units1]]))</f>
        <v>0</v>
      </c>
      <c r="EQ86" s="43" t="n">
        <f aca="false">Tasks[[#This Row],[_LeafWork]]+Tasks[[#This Row],[_Res2Work]]+Tasks[[#This Row],[_Res3Work]]+Tasks[[#This Row],[_Res4Work]]</f>
        <v>0</v>
      </c>
      <c r="ER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3" t="n">
        <f aca="false">IF(NOT(Tasks[[#This Row],[_IsLeaf]]=1),0,MAX(_xlfn.MAXIFS(Tasks[_Row],Tasks[_Pred1UID],Tasks[[#This Row],[UID]]),_xlfn.MAXIFS(Tasks[_Row],Tasks[_Pred2UID],Tasks[[#This Row],[UID]]),_xlfn.MAXIFS(Tasks[_Row],Tasks[_Pred3UID],Tasks[[#This Row],[UID]]),_xlfn.MAXIFS(Tasks[_Row],Tasks[_Pred4UID],Tasks[[#This Row],[UID]])))</f>
        <v>0</v>
      </c>
      <c r="FA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91" t="str">
        <f aca="false">IF(NOT(Tasks[[#This Row],[_IsLeaf]]=1),"",IF(N(Tasks[[#This Row],[_Days]])&lt;=0,Tasks[[#This Row],[_LeafLateFinish]],WORKDAY.INTL(Tasks[[#This Row],[_LeafLateFinish]],-(Tasks[[#This Row],[_Days]]-1),WorkWeek,Holidays)))</f>
        <v/>
      </c>
      <c r="FD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6" s="90" t="b">
        <f aca="false">AND(Tasks[[#This Row],[_IsLeaf]]=1,Tasks[[#This Row],[_LeafProgress]]&lt;1,N(Tasks[[#This Row],[_LeafTotalSlack]])&lt;=CriticalSlackDays)</f>
        <v>0</v>
      </c>
      <c r="FF86" s="43" t="n">
        <f aca="false">IF(AND(Tasks[[#This Row],[_IsLeaf]]=1,Tasks[[#This Row],[_ConstraintCode]]=1,Tasks[[#This Row],[Mode]]&lt;&gt;"Manual",N(Tasks[[#This Row],[Actual Start]])=0),MAX(0,N(Tasks[[#This Row],[Free Slack]])),0)</f>
        <v>0</v>
      </c>
      <c r="FG86" s="91" t="str">
        <f aca="false">IF(NOT(Tasks[[#This Row],[_IsLeaf]]=1),"",IF(Tasks[[#This Row],[_AlapShift]]=0,Tasks[[#This Row],[_LeafCalcStart]],WORKDAY.INTL(Tasks[[#This Row],[_LeafCalcStart]],Tasks[[#This Row],[_AlapShift]],WorkWeek,Holidays)))</f>
        <v/>
      </c>
      <c r="FH86" s="91" t="str">
        <f aca="false">IF(NOT(Tasks[[#This Row],[_IsLeaf]]=1),"",IF(Tasks[[#This Row],[_AlapShift]]=0,Tasks[[#This Row],[_LeafCalcFinish]],WORKDAY.INTL(Tasks[[#This Row],[_LeafCalcFinish]],Tasks[[#This Row],[_AlapShift]],WorkWeek,Holidays)))</f>
        <v/>
      </c>
      <c r="FI86" s="91" t="str">
        <f aca="false">IF(NOT(Tasks[[#This Row],[_IsLeaf]]=1),"",IF(Tasks[[#This Row],[_AlapShift]]=0,Tasks[[#This Row],[_LeafFcstStart]],WORKDAY.INTL(Tasks[[#This Row],[_LeafFcstStart]],Tasks[[#This Row],[_AlapShift]],WorkWeek,Holidays)))</f>
        <v/>
      </c>
      <c r="FJ86" s="91" t="str">
        <f aca="false">IF(NOT(Tasks[[#This Row],[_IsLeaf]]=1),"",IF(Tasks[[#This Row],[_AlapShift]]=0,Tasks[[#This Row],[_LeafFcstFinish]],WORKDAY.INTL(Tasks[[#This Row],[_LeafFcstFinish]],Tasks[[#This Row],[_AlapShift]],WorkWeek,Holidays)))</f>
        <v/>
      </c>
      <c r="FK86" s="91" t="str">
        <f aca="false">IF(Tasks[[#This Row],[Task Name]]="","",IF(Tasks[[#This Row],[_IsSummary]],MIN(INDEX(Tasks[_ShownCalcStart],Tasks[[#This Row],[_Row]]+1):INDEX(Tasks[_ShownCalcStart],Tasks[[#This Row],[_Row]]+Tasks[[#This Row],[_Descendants]])),Tasks[[#This Row],[_ShownCalcStart]]))</f>
        <v/>
      </c>
      <c r="FL86" s="91" t="str">
        <f aca="false">IF(Tasks[[#This Row],[Task Name]]="","",IF(Tasks[[#This Row],[_IsSummary]],MAX(INDEX(Tasks[_ShownCalcFinish],Tasks[[#This Row],[_Row]]+1):INDEX(Tasks[_ShownCalcFinish],Tasks[[#This Row],[_Row]]+Tasks[[#This Row],[_Descendants]])),Tasks[[#This Row],[_ShownCalcFinish]]))</f>
        <v/>
      </c>
      <c r="FM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6" s="43" t="n">
        <f aca="false">IF(AND(Tasks[[#This Row],[_IsLeaf]]=1,Tasks[[#This Row],[_LeafTotalWork]]&gt;0),NETWORKDAYS.INTL(ProjectStart,Tasks[[#This Row],[_ShownFcstStart]],WorkWeek,Holidays),0)</f>
        <v>0</v>
      </c>
      <c r="FZ86" s="43" t="n">
        <f aca="false">IF(AND(Tasks[[#This Row],[_IsLeaf]]=1,Tasks[[#This Row],[_LeafTotalWork]]&gt;0),MAX(Tasks[[#This Row],[_StartWorkday]],NETWORKDAYS.INTL(ProjectStart,Tasks[[#This Row],[_ShownFcstFinish]],WorkWeek,Holidays)),0)</f>
        <v>0</v>
      </c>
      <c r="GA86" s="43" t="n">
        <f aca="false">IF(AND(Tasks[[#This Row],[_IsLeaf]]=1,Tasks[[#This Row],[_LeafTotalWork]]&gt;0),Tasks[[#This Row],[_LeafWork]]/(Tasks[[#This Row],[_FinishWorkday]]-Tasks[[#This Row],[_StartWorkday]]+1),0)</f>
        <v>0</v>
      </c>
      <c r="GB86" s="43" t="n">
        <f aca="false">Tasks[[#This Row],[_WorkPerWorkday]]*(Tasks[[#This Row],[_StartWorkday]]-1)</f>
        <v>-0</v>
      </c>
      <c r="GC86" s="43" t="n">
        <f aca="false">IF(Tasks[[#This Row],[_IsLeaf]]=1,MAX(N(Tasks[[#This Row],[_Days]]),0.1),0)</f>
        <v>0</v>
      </c>
      <c r="GD86" s="43" t="n">
        <f aca="false">Tasks[[#This Row],[_WeightDur]]*Tasks[[#This Row],[_LeafProgress]]</f>
        <v>0</v>
      </c>
      <c r="GE86" s="43" t="n">
        <f aca="false">Tasks[[#This Row],[_WeightDur]]*Tasks[[#This Row],[_PlannedPct]]</f>
        <v>0</v>
      </c>
      <c r="GF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3" t="str">
        <f aca="false">IF(AND(Tasks[[#This Row],[_IsLeaf]]=1,N(Tasks[[#This Row],[_Days]])=0,Tasks[[#This Row],[_LeafProgress]]&lt;1),Tasks[[#This Row],[_ShownFcstFinish]]+Tasks[[#This Row],[_Row]]/100000,"")</f>
        <v/>
      </c>
      <c r="GH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6" s="43" t="str">
        <f aca="false">IF(Tasks[[#This Row],[Task Name]]="","",LEFT(Tasks[[#This Row],[WBS]],FIND(".",Tasks[[#This Row],[WBS]]&amp;".")-1))</f>
        <v/>
      </c>
      <c r="GJ86" s="43" t="str">
        <f aca="false">IF(AND(Tasks[[#This Row],[Task Name]]&lt;&gt;"",Tasks[[#This Row],[_Level]]=1),Tasks[[#This Row],[_Row]],"")</f>
        <v/>
      </c>
      <c r="GK86" s="43" t="str">
        <f aca="false">IF(AND(Tasks[[#This Row],[_IsLeaf]]=1,N(Tasks[[#This Row],[_Days]])=0),Tasks[[#This Row],[Planned Finish]]+Tasks[[#This Row],[_Row]]/100000,"")</f>
        <v/>
      </c>
      <c r="GL86" s="43" t="str">
        <f aca="false">IF(AND(Tasks[[#This Row],[_IsLeaf]]=1,Tasks[[#This Row],[_LeafProgress]]&lt;1,OR(N(Tasks[[#This Row],[Finish Var]])&gt;0,Tasks[[#This Row],[Status]]="Late Start")),MAX(0,Tasks[[#This Row],[Finish Var]])+1-Tasks[[#This Row],[_Row]]/1000000,"")</f>
        <v/>
      </c>
      <c r="GM86" s="43" t="str">
        <f aca="false">IF(AND(Tasks[[#This Row],[_IsLeaf]]=1,N(Tasks[[#This Row],[Actual Start]])=0,Tasks[[#This Row],[_ShownFcstStart]]&gt;=StatusDate,Tasks[[#This Row],[_ShownFcstStart]]&lt;=LookaheadEnd),Tasks[[#This Row],[_ShownFcstStart]]+Tasks[[#This Row],[_Row]]/100000,"")</f>
        <v/>
      </c>
      <c r="GN86" s="43" t="str">
        <f aca="false">IF(AND(Tasks[[#This Row],[_IsLeaf]]=1,Tasks[[#This Row],[_LeafProgress]]&lt;1,Tasks[[#This Row],[_ShownFcstFinish]]&gt;=StatusDate,Tasks[[#This Row],[_ShownFcstFinish]]&lt;=LookaheadEnd),Tasks[[#This Row],[_ShownFcstFinish]]+Tasks[[#This Row],[_Row]]/100000,"")</f>
        <v/>
      </c>
      <c r="GO86" s="43" t="str">
        <f aca="false">IF(Tasks[[#This Row],[_LeafCritical]],Tasks[[#This Row],[_ShownFcstStart]]+Tasks[[#This Row],[_Row]]/100000,"")</f>
        <v/>
      </c>
      <c r="GP86" s="43" t="n">
        <f aca="false">Tasks[[#This Row],[_LeafWork]]*Tasks[[#This Row],[_LeafProgress]]</f>
        <v>0</v>
      </c>
      <c r="GQ86" s="91" t="str">
        <f aca="false">IF(AND(Tasks[[#This Row],[_IsLeaf]]=1,Tasks[[#This Row],[_LeafProgress]]&gt;=1),IF(N(Tasks[[#This Row],[Actual Finish]])&gt;0,Tasks[[#This Row],[Actual Finish]],Tasks[[#This Row],[_ShownFcstFinish]]),"")</f>
        <v/>
      </c>
      <c r="GR86" s="43" t="n">
        <f aca="false">IF(Tasks[[#This Row],[_IsLeaf]]=1,N(Tasks[[#This Row],[Story Points]]),0)</f>
        <v>0</v>
      </c>
      <c r="GS86" s="43" t="str">
        <f aca="false">""</f>
        <v/>
      </c>
      <c r="GT86" s="90" t="b">
        <f aca="false">IF(Tasks[[#This Row],[Task Name]]="",FALSE(),AND(Tasks[[#This Row],[_IsLeaf]]=1,N(Tasks[[#This Row],[_Days]])=0))</f>
        <v>0</v>
      </c>
      <c r="GU86" s="91" t="n">
        <f aca="false">IF(Tasks[[#This Row],[Task Name]]="",0,IF(AND(Tasks[[#This Row],[_IsLeaf]]=1,NOT(Tasks[[#This Row],[_IsMilestone]]),N(Tasks[[#This Row],[Progress]])&gt;0),Tasks[[#This Row],[Start]],0))</f>
        <v>0</v>
      </c>
      <c r="GV86" s="91" t="n">
        <f aca="false">IF(Tasks[[#This Row],[_DoneFrom]]=0,0,IF(Tasks[[#This Row],[Progress]]&gt;=1,Tasks[[#This Row],[Finish]],MAX(Tasks[[#This Row],[_DoneFrom]],Tasks[[#This Row],[Start]]+ROUND((Tasks[[#This Row],[Finish]]-Tasks[[#This Row],[Start]]+1)*Tasks[[#This Row],[Progress]],0)-1)))</f>
        <v>0</v>
      </c>
      <c r="GW86" s="91" t="n">
        <f aca="false">IF(Tasks[[#This Row],[Task Name]]="",0,IF(OR(NOT(Tasks[[#This Row],[_IsLeaf]]=1),Tasks[[#This Row],[_IsMilestone]],N(Tasks[[#This Row],[Progress]])&gt;=1),0,IF(Tasks[[#This Row],[_DoneTo]]&gt;0,Tasks[[#This Row],[_DoneTo]]+1,Tasks[[#This Row],[Start]])))</f>
        <v>0</v>
      </c>
      <c r="GX86" s="91" t="n">
        <f aca="false">IF(Tasks[[#This Row],[_RemFrom]]=0,0,Tasks[[#This Row],[Finish]])</f>
        <v>0</v>
      </c>
      <c r="GY86" s="90" t="b">
        <f aca="false">IF(Tasks[[#This Row],[Task Name]]="",FALSE(),OR(NOT(BaselineSet),N(Tasks[[#This Row],[Baseline Start]])&gt;0))</f>
        <v>0</v>
      </c>
      <c r="GZ8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92" t="str">
        <f aca="false">IF(Tasks[[#This Row],[_IsLeaf]]=1,Tasks[[#This Row],[_Row]],"")</f>
        <v/>
      </c>
      <c r="HD86" s="92" t="str">
        <f aca="false">IFERROR(INDEX(Tasks[UID],SMALL(Tasks[_PickKey],Tasks[[#This Row],[_Row]]))&amp;" "&amp;INDEX(Tasks[Task Name],SMALL(Tasks[_PickKey],Tasks[[#This Row],[_Row]])),"")</f>
        <v/>
      </c>
      <c r="HE86" s="43" t="str">
        <f aca="false">IF(Tasks[[#This Row],[Task Name]]="","",IF(Tasks[[#This Row],[_IsSummary]],NETWORKDAYS.INTL(Tasks[[#This Row],[Start]],Tasks[[#This Row],[Finish]],WorkWeek,Holidays),N(Tasks[[#This Row],[_Days]])))</f>
        <v/>
      </c>
      <c r="HF86" s="43" t="n">
        <f aca="false">IF(Tasks[[#This Row],[Expected]]="",0,((Tasks[[#This Row],[Pessimistic]]-Tasks[[#This Row],[Optimistic]])/6)^2)</f>
        <v>0</v>
      </c>
      <c r="HG86" s="43" t="n">
        <f aca="false">IF(Tasks[[#This Row],[Expected]]="",0,Tasks[[#This Row],[Expected]]-N(Tasks[[#This Row],[_Days]]))</f>
        <v>0</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4"/>
      <c r="U87" s="23"/>
      <c r="V87" s="84"/>
      <c r="W87" s="23"/>
      <c r="X87" s="84"/>
      <c r="Y87" s="23"/>
      <c r="Z87" s="84"/>
      <c r="AA87" s="23"/>
      <c r="AB87" s="23"/>
      <c r="AC87" s="7"/>
      <c r="AD87" s="7"/>
      <c r="AE87" s="63" t="str">
        <f aca="false">IF(Tasks[[#This Row],[Task Name]]="","",IF(Tasks[[#This Row],[_IsSummary]],MIN(INDEX(Tasks[_ShownFcstStart],Tasks[[#This Row],[_Row]]+1):INDEX(Tasks[_ShownFcstStart],Tasks[[#This Row],[_Row]]+Tasks[[#This Row],[_Descendants]])),Tasks[[#This Row],[_ShownFcstStart]]))</f>
        <v/>
      </c>
      <c r="AF87" s="63"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7" s="7"/>
      <c r="AK87" s="22"/>
      <c r="AL87" s="23"/>
      <c r="AM87" s="7"/>
      <c r="AN87" s="47"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3" t="str">
        <f aca="false">IF(Tasks[[#This Row],[Task Name]]="","",IF(N(Tasks[[#This Row],[Baseline Start]])&gt;0,Tasks[[#This Row],[Baseline Start]],Tasks[[#This Row],[_CalcStart]]))</f>
        <v/>
      </c>
      <c r="AR87" s="63" t="str">
        <f aca="false">IF(Tasks[[#This Row],[Task Name]]="","",IF(N(Tasks[[#This Row],[Baseline Finish]])&gt;0,Tasks[[#This Row],[Baseline Finish]],Tasks[[#This Row],[_CalcFinish]]))</f>
        <v/>
      </c>
      <c r="AS87" s="47" t="str">
        <f aca="false">IF(Tasks[[#This Row],[Task Name]]="","",IF(Tasks[[#This Row],[Start]]&gt;=Tasks[[#This Row],[Planned Start]],NETWORKDAYS.INTL(Tasks[[#This Row],[Planned Start]],Tasks[[#This Row],[Start]],WorkWeek,Holidays)-1,1-NETWORKDAYS.INTL(Tasks[[#This Row],[Start]],Tasks[[#This Row],[Planned Start]],WorkWeek,Holidays)))</f>
        <v/>
      </c>
      <c r="AT87" s="63" t="str">
        <f aca="false">IF(Tasks[[#This Row],[Task Name]]="","",IF(Tasks[[#This Row],[_IsSummary]],MIN(INDEX(Tasks[_LeafLateStart],Tasks[[#This Row],[_Row]]+1):INDEX(Tasks[_LeafLateStart],Tasks[[#This Row],[_Row]]+Tasks[[#This Row],[_Descendants]])),Tasks[[#This Row],[_LeafLateStart]]))</f>
        <v/>
      </c>
      <c r="AU87" s="63" t="str">
        <f aca="false">IF(Tasks[[#This Row],[Task Name]]="","",IF(Tasks[[#This Row],[_IsSummary]],MAX(INDEX(Tasks[_LeafLateFinish],Tasks[[#This Row],[_Row]]+1):INDEX(Tasks[_LeafLateFinish],Tasks[[#This Row],[_Row]]+Tasks[[#This Row],[_Descendants]])),Tasks[[#This Row],[_LeafLateFinish]]))</f>
        <v/>
      </c>
      <c r="AV87" s="47"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5"/>
      <c r="BA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6"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7"/>
      <c r="BJ87" s="22"/>
      <c r="BK87" s="47" t="str">
        <f aca="false">IF(OR(Tasks[[#This Row],[Task Name]]="",Tasks[[#This Row],[Baseline Duration]]=""),"",Tasks[[#This Row],[_SpanDays]]-N(Tasks[[#This Row],[Baseline Duration]]))</f>
        <v/>
      </c>
      <c r="BL87" s="86" t="str">
        <f aca="false">IF(OR(Tasks[[#This Row],[Task Name]]="",Tasks[[#This Row],[Baseline Work]]=""),"",Tasks[[#This Row],[Work]]-N(Tasks[[#This Row],[Baseline Work]]))</f>
        <v/>
      </c>
      <c r="BM87" s="63" t="str">
        <f aca="false">IF(Tasks[[#This Row],[Task Name]]="","",IF(OR(TakeBaseline="Yes",N(Tasks[[#This Row],[Baseline Start]])=0),Tasks[[#This Row],[Start]],Tasks[[#This Row],[Baseline Start]]))</f>
        <v/>
      </c>
      <c r="BN87" s="63" t="str">
        <f aca="false">IF(Tasks[[#This Row],[Task Name]]="","",IF(OR(TakeBaseline="Yes",N(Tasks[[#This Row],[Baseline Finish]])=0),Tasks[[#This Row],[Finish]],Tasks[[#This Row],[Baseline Finish]]))</f>
        <v/>
      </c>
      <c r="BO87" s="21" t="str">
        <f aca="false">IF(Tasks[[#This Row],[Task Name]]="","",IF(OR(TakeBaseline="Yes",N(Tasks[[#This Row],[Baseline Duration]])=0),Tasks[[#This Row],[_SpanDays]],Tasks[[#This Row],[Baseline Duration]]))</f>
        <v/>
      </c>
      <c r="BP87" s="86" t="str">
        <f aca="false">IF(Tasks[[#This Row],[Task Name]]="","",IF(OR(TakeBaseline="Yes",N(Tasks[[#This Row],[Baseline Work]])=0),Tasks[[#This Row],[Work]],Tasks[[#This Row],[Baseline Work]]))</f>
        <v/>
      </c>
      <c r="BQ87" s="7"/>
      <c r="BR87" s="7"/>
      <c r="BS87" s="22"/>
      <c r="BT87" s="88"/>
      <c r="BU87" s="23"/>
      <c r="BV87" s="23"/>
      <c r="BW87" s="23"/>
      <c r="BX87" s="89" t="str">
        <f aca="false">IF(AND(Tasks[[#This Row],[_IsLeaf]]=1,ISNUMBER(Tasks[[#This Row],[Optimistic]]),ISNUMBER(Tasks[[#This Row],[Pessimistic]])),ROUND((Tasks[[#This Row],[Optimistic]]+4*N(Tasks[[#This Row],[_Days]])+Tasks[[#This Row],[Pessimistic]])/6,1),"")</f>
        <v/>
      </c>
      <c r="BY87" s="87"/>
      <c r="BZ87" s="87"/>
      <c r="CA87" s="22"/>
      <c r="CB87" s="43" t="str">
        <f aca="false">IF(Tasks[[#This Row],[Task Name]]="","",MAX(1,N(Tasks[[#This Row],[Level]])))</f>
        <v/>
      </c>
      <c r="CC87" s="43" t="n">
        <f aca="false">ROW()-ROW(Tasks[[#Headers],[ID]])</f>
        <v>82</v>
      </c>
      <c r="CD87" s="43" t="n">
        <f aca="false">IF(OR(Tasks[[#This Row],[Task Name]]="",Tasks[[#This Row],[_Level]]&lt;=1),0,IFERROR(LOOKUP(2,1/(Tasks[[#Headers],[_Level]]:Tasks[[#This Row],[_Level]]=Tasks[[#This Row],[_Level]]-1),ROW(Tasks[[#Headers],[_Level]]:Tasks[[#This Row],[_Level]])),0))</f>
        <v>0</v>
      </c>
      <c r="CE87" s="43" t="n">
        <f aca="false">IFERROR(N(INDEX(Tasks[_Level],Tasks[[#This Row],[_Row]]+1)),0)</f>
        <v>0</v>
      </c>
      <c r="CF87" s="90" t="b">
        <f aca="false">AND(Tasks[[#This Row],[Task Name]]&lt;&gt;"",Tasks[[#This Row],[_NextLevel]]&gt;Tasks[[#This Row],[_Level]])</f>
        <v>0</v>
      </c>
      <c r="CG87" s="43" t="n">
        <f aca="false">IF(Tasks[[#This Row],[_IsSummary]],COUNTIF(Tasks[WBS],Tasks[[#This Row],[WBS]]&amp;".*"),0)</f>
        <v>0</v>
      </c>
      <c r="CH87" s="43" t="n">
        <f aca="false">IF(AND(Tasks[[#This Row],[Task Name]]&lt;&gt;"",NOT(Tasks[[#This Row],[_IsSummary]])),1,0)</f>
        <v>0</v>
      </c>
      <c r="CI87" s="43" t="n">
        <f aca="false">IF(N(Tasks[[#This Row],[_Pred1UID]])=0,0,IFERROR(MATCH(Tasks[[#This Row],[_Pred1UID]],Tasks[UID],0),-1))</f>
        <v>0</v>
      </c>
      <c r="CJ87" s="43" t="n">
        <f aca="false">IF(N(Tasks[[#This Row],[_Pred2UID]])=0,0,IFERROR(MATCH(Tasks[[#This Row],[_Pred2UID]],Tasks[UID],0),-1))</f>
        <v>0</v>
      </c>
      <c r="CK87" s="43" t="n">
        <f aca="false">IF(N(Tasks[[#This Row],[_Pred3UID]])=0,0,IFERROR(MATCH(Tasks[[#This Row],[_Pred3UID]],Tasks[UID],0),-1))</f>
        <v>0</v>
      </c>
      <c r="CL87" s="43" t="n">
        <f aca="false">IF(N(Tasks[[#This Row],[_Pred4UID]])=0,0,IFERROR(MATCH(Tasks[[#This Row],[_Pred4UID]],Tasks[UID],0),-1))</f>
        <v>0</v>
      </c>
      <c r="CM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7" s="91" t="n">
        <f aca="false">IF(OR(Tasks[[#This Row],[_ConstraintCode]]=2,Tasks[[#This Row],[_ConstraintCode]]=3,Tasks[[#This Row],[_ConstraintCode]]=4,Tasks[[#This Row],[_ConstraintCode]]=6),Tasks[[#This Row],[_ConstraintStart]],0)</f>
        <v>0</v>
      </c>
      <c r="CP87" s="91" t="n">
        <f aca="false">IF(OR(Tasks[[#This Row],[_ConstraintCode]]=2,Tasks[[#This Row],[_ConstraintCode]]=3,Tasks[[#This Row],[_ConstraintCode]]=5,Tasks[[#This Row],[_ConstraintCode]]=7),Tasks[[#This Row],[_ConstraintStart]],2958465)</f>
        <v>2958465</v>
      </c>
      <c r="CQ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91" t="str">
        <f aca="false">IF(NOT(Tasks[[#This Row],[_IsLeaf]]=1),"",IF(N(Tasks[[#This Row],[_Days]])&lt;=0,Tasks[[#This Row],[_LeafCalcStart]],WORKDAY.INTL(Tasks[[#This Row],[_LeafCalcStart]],Tasks[[#This Row],[_Days]]-1,WorkWeek,Holidays)))</f>
        <v/>
      </c>
      <c r="CS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3" t="str">
        <f aca="false">IF(Tasks[[#This Row],[_Predecessors]]="","",TRIM(MID(SUBSTITUTE(SUBSTITUTE(SUBSTITUTE(UPPER(Tasks[[#This Row],[_Predecessors]]),";",",")," ",""),",",REPT(" ",99)),1,99)))</f>
        <v/>
      </c>
      <c r="CV87" s="43" t="str">
        <f aca="false">IF(Tasks[[#This Row],[_Pred1Text]]="","",IFERROR(VALUE(LEFT(Tasks[[#This Row],[_Pred1Text]],MIN(FIND("F",Tasks[[#This Row],[_Pred1Text]]&amp;"F"),FIND("S",Tasks[[#This Row],[_Pred1Text]]&amp;"S"),FIND("+",Tasks[[#This Row],[_Pred1Text]]&amp;"+"),FIND("-",Tasks[[#This Row],[_Pred1Text]]&amp;"-"))-1)),""))</f>
        <v/>
      </c>
      <c r="CW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3" t="str">
        <f aca="false">IF(Tasks[[#This Row],[_Pred1Text]]="","",TRIM(MID(SUBSTITUTE(SUBSTITUTE(SUBSTITUTE(UPPER(Tasks[[#This Row],[_Predecessors]]),";",",")," ",""),",",REPT(" ",99)),100,99)))</f>
        <v/>
      </c>
      <c r="CZ87" s="43" t="str">
        <f aca="false">IF(Tasks[[#This Row],[_Pred2Text]]="","",IFERROR(VALUE(LEFT(Tasks[[#This Row],[_Pred2Text]],MIN(FIND("F",Tasks[[#This Row],[_Pred2Text]]&amp;"F"),FIND("S",Tasks[[#This Row],[_Pred2Text]]&amp;"S"),FIND("+",Tasks[[#This Row],[_Pred2Text]]&amp;"+"),FIND("-",Tasks[[#This Row],[_Pred2Text]]&amp;"-"))-1)),""))</f>
        <v/>
      </c>
      <c r="DA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3" t="str">
        <f aca="false">IF(Tasks[[#This Row],[_Pred2Text]]="","",TRIM(MID(SUBSTITUTE(SUBSTITUTE(SUBSTITUTE(UPPER(Tasks[[#This Row],[_Predecessors]]),";",",")," ",""),",",REPT(" ",99)),199,99)))</f>
        <v/>
      </c>
      <c r="DD87" s="43" t="str">
        <f aca="false">IF(Tasks[[#This Row],[_Pred3Text]]="","",IFERROR(VALUE(LEFT(Tasks[[#This Row],[_Pred3Text]],MIN(FIND("F",Tasks[[#This Row],[_Pred3Text]]&amp;"F"),FIND("S",Tasks[[#This Row],[_Pred3Text]]&amp;"S"),FIND("+",Tasks[[#This Row],[_Pred3Text]]&amp;"+"),FIND("-",Tasks[[#This Row],[_Pred3Text]]&amp;"-"))-1)),""))</f>
        <v/>
      </c>
      <c r="DE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3" t="str">
        <f aca="false">IF(Tasks[[#This Row],[_Pred3Text]]="","",TRIM(MID(SUBSTITUTE(SUBSTITUTE(SUBSTITUTE(UPPER(Tasks[[#This Row],[_Predecessors]]),";",",")," ",""),",",REPT(" ",99)),298,99)))</f>
        <v/>
      </c>
      <c r="DH87" s="43" t="str">
        <f aca="false">IF(Tasks[[#This Row],[_Pred4Text]]="","",IFERROR(VALUE(LEFT(Tasks[[#This Row],[_Pred4Text]],MIN(FIND("F",Tasks[[#This Row],[_Pred4Text]]&amp;"F"),FIND("S",Tasks[[#This Row],[_Pred4Text]]&amp;"S"),FIND("+",Tasks[[#This Row],[_Pred4Text]]&amp;"+"),FIND("-",Tasks[[#This Row],[_Pred4Text]]&amp;"-"))-1)),""))</f>
        <v/>
      </c>
      <c r="DI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3" t="str">
        <f aca="false">IF(OR(Tasks[[#This Row],[Task Name]]="",Tasks[[#This Row],[_Resources]]=""),"",TRIM(MID(SUBSTITUTE(Tasks[[#This Row],[_Resources]],",",REPT(" ",99)),1,99)))</f>
        <v/>
      </c>
      <c r="DL87" s="43" t="str">
        <f aca="false">IF(Tasks[[#This Row],[_Res1Text]]="","",TRIM(MID(SUBSTITUTE(Tasks[[#This Row],[_Resources]],",",REPT(" ",99)),100,99)))</f>
        <v/>
      </c>
      <c r="DM87" s="43" t="str">
        <f aca="false">IF(Tasks[[#This Row],[_Res2Text]]="","",TRIM(MID(SUBSTITUTE(Tasks[[#This Row],[_Resources]],",",REPT(" ",99)),199,99)))</f>
        <v/>
      </c>
      <c r="DN87" s="43" t="str">
        <f aca="false">IF(Tasks[[#This Row],[_Res3Text]]="","",TRIM(MID(SUBSTITUTE(Tasks[[#This Row],[_Resources]],",",REPT(" ",99)),298,99)))</f>
        <v/>
      </c>
      <c r="DO87" s="43" t="n">
        <f aca="false">IF(Tasks[[#This Row],[_Res1Text]]="",0,IFERROR(MATCH(TRIM(LEFT(Tasks[[#This Row],[_Res1Text]],FIND("[",Tasks[[#This Row],[_Res1Text]]&amp;"[")-1)),res_Name,0),IFERROR(MATCH(TRIM(LEFT(Tasks[[#This Row],[_Res1Text]],FIND("[",Tasks[[#This Row],[_Res1Text]]&amp;"[")-1)),res_Initials,0),0)))</f>
        <v>0</v>
      </c>
      <c r="DP87" s="43" t="n">
        <f aca="false">IF(Tasks[[#This Row],[_Res2Text]]="",0,IFERROR(MATCH(TRIM(LEFT(Tasks[[#This Row],[_Res2Text]],FIND("[",Tasks[[#This Row],[_Res2Text]]&amp;"[")-1)),res_Name,0),IFERROR(MATCH(TRIM(LEFT(Tasks[[#This Row],[_Res2Text]],FIND("[",Tasks[[#This Row],[_Res2Text]]&amp;"[")-1)),res_Initials,0),0)))</f>
        <v>0</v>
      </c>
      <c r="DQ87" s="43" t="n">
        <f aca="false">IF(Tasks[[#This Row],[_Res3Text]]="",0,IFERROR(MATCH(TRIM(LEFT(Tasks[[#This Row],[_Res3Text]],FIND("[",Tasks[[#This Row],[_Res3Text]]&amp;"[")-1)),res_Name,0),IFERROR(MATCH(TRIM(LEFT(Tasks[[#This Row],[_Res3Text]],FIND("[",Tasks[[#This Row],[_Res3Text]]&amp;"[")-1)),res_Initials,0),0)))</f>
        <v>0</v>
      </c>
      <c r="DR87" s="43" t="n">
        <f aca="false">IF(Tasks[[#This Row],[_Res4Text]]="",0,IFERROR(MATCH(TRIM(LEFT(Tasks[[#This Row],[_Res4Text]],FIND("[",Tasks[[#This Row],[_Res4Text]]&amp;"[")-1)),res_Name,0),IFERROR(MATCH(TRIM(LEFT(Tasks[[#This Row],[_Res4Text]],FIND("[",Tasks[[#This Row],[_Res4Text]]&amp;"[")-1)),res_Initials,0),0)))</f>
        <v>0</v>
      </c>
      <c r="DS87" s="43" t="str">
        <f aca="false">IF(Tasks[[#This Row],[_Res1Text]]="","",IF(Tasks[[#This Row],[_Res1Row]]&gt;0,INDEX(res_Name,Tasks[[#This Row],[_Res1Row]]),TRIM(LEFT(Tasks[[#This Row],[_Res1Text]],FIND("[",Tasks[[#This Row],[_Res1Text]]&amp;"[")-1))))</f>
        <v/>
      </c>
      <c r="DT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3" t="n">
        <f aca="false">IF(NOT(Tasks[[#This Row],[_IsLeaf]]=1),0,(Tasks[[#This Row],[_Resource1]]&lt;&gt;"")+(Tasks[[#This Row],[_Res2]]&lt;&gt;"")+(Tasks[[#This Row],[_Res3]]&lt;&gt;"")+(Tasks[[#This Row],[_Res4]]&lt;&gt;""))</f>
        <v>0</v>
      </c>
      <c r="DV87" s="43" t="str">
        <f aca="false">IF(Tasks[[#This Row],[_Res2Text]]="","",IF(Tasks[[#This Row],[_Res2Row]]&gt;0,INDEX(res_Name,Tasks[[#This Row],[_Res2Row]]),TRIM(LEFT(Tasks[[#This Row],[_Res2Text]],FIND("[",Tasks[[#This Row],[_Res2Text]]&amp;"[")-1))))</f>
        <v/>
      </c>
      <c r="DW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3" t="n">
        <f aca="false">IF(OR(NOT(Tasks[[#This Row],[_IsLeaf]]=1),Tasks[[#This Row],[_Res2Row]]=0),0,N(Tasks[[#This Row],[_Days]])*HoursPerDay*IF(Tasks[[#This Row],[_Res2Units]]="",DefaultUnits,Tasks[[#This Row],[_Res2Units]]))</f>
        <v>0</v>
      </c>
      <c r="DY87" s="43" t="n">
        <f aca="false">IF(AND(AND(Tasks[[#This Row],[_IsLeaf]]=1,Tasks[[#This Row],[_LeafTotalWork]]&gt;0),Tasks[[#This Row],[_Res2Work]]&gt;0),Tasks[[#This Row],[_Res2Work]]/(Tasks[[#This Row],[_FinishWorkday]]-Tasks[[#This Row],[_StartWorkday]]+1),0)</f>
        <v>0</v>
      </c>
      <c r="DZ87" s="43" t="n">
        <f aca="false">Tasks[[#This Row],[_Res2WorkPerWD]]*MAX(0,Tasks[[#This Row],[_StartWorkday]]-1)</f>
        <v>0</v>
      </c>
      <c r="EA87" s="43" t="n">
        <f aca="false">Tasks[[#This Row],[_Res2Work]]*Tasks[[#This Row],[_LeafProgress]]</f>
        <v>0</v>
      </c>
      <c r="EB87" s="43" t="str">
        <f aca="false">IF(Tasks[[#This Row],[_Res3Text]]="","",IF(Tasks[[#This Row],[_Res3Row]]&gt;0,INDEX(res_Name,Tasks[[#This Row],[_Res3Row]]),TRIM(LEFT(Tasks[[#This Row],[_Res3Text]],FIND("[",Tasks[[#This Row],[_Res3Text]]&amp;"[")-1))))</f>
        <v/>
      </c>
      <c r="EC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3" t="n">
        <f aca="false">IF(OR(NOT(Tasks[[#This Row],[_IsLeaf]]=1),Tasks[[#This Row],[_Res3Row]]=0),0,N(Tasks[[#This Row],[_Days]])*HoursPerDay*IF(Tasks[[#This Row],[_Res3Units]]="",DefaultUnits,Tasks[[#This Row],[_Res3Units]]))</f>
        <v>0</v>
      </c>
      <c r="EE87" s="43" t="n">
        <f aca="false">IF(AND(AND(Tasks[[#This Row],[_IsLeaf]]=1,Tasks[[#This Row],[_LeafTotalWork]]&gt;0),Tasks[[#This Row],[_Res3Work]]&gt;0),Tasks[[#This Row],[_Res3Work]]/(Tasks[[#This Row],[_FinishWorkday]]-Tasks[[#This Row],[_StartWorkday]]+1),0)</f>
        <v>0</v>
      </c>
      <c r="EF87" s="43" t="n">
        <f aca="false">Tasks[[#This Row],[_Res3WorkPerWD]]*MAX(0,Tasks[[#This Row],[_StartWorkday]]-1)</f>
        <v>0</v>
      </c>
      <c r="EG87" s="43" t="n">
        <f aca="false">Tasks[[#This Row],[_Res3Work]]*Tasks[[#This Row],[_LeafProgress]]</f>
        <v>0</v>
      </c>
      <c r="EH87" s="43" t="str">
        <f aca="false">IF(Tasks[[#This Row],[_Res4Text]]="","",IF(Tasks[[#This Row],[_Res4Row]]&gt;0,INDEX(res_Name,Tasks[[#This Row],[_Res4Row]]),TRIM(LEFT(Tasks[[#This Row],[_Res4Text]],FIND("[",Tasks[[#This Row],[_Res4Text]]&amp;"[")-1))))</f>
        <v/>
      </c>
      <c r="EI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3" t="n">
        <f aca="false">IF(OR(NOT(Tasks[[#This Row],[_IsLeaf]]=1),Tasks[[#This Row],[_Res4Row]]=0),0,N(Tasks[[#This Row],[_Days]])*HoursPerDay*IF(Tasks[[#This Row],[_Res4Units]]="",DefaultUnits,Tasks[[#This Row],[_Res4Units]]))</f>
        <v>0</v>
      </c>
      <c r="EK87" s="43" t="n">
        <f aca="false">IF(AND(AND(Tasks[[#This Row],[_IsLeaf]]=1,Tasks[[#This Row],[_LeafTotalWork]]&gt;0),Tasks[[#This Row],[_Res4Work]]&gt;0),Tasks[[#This Row],[_Res4Work]]/(Tasks[[#This Row],[_FinishWorkday]]-Tasks[[#This Row],[_StartWorkday]]+1),0)</f>
        <v>0</v>
      </c>
      <c r="EL87" s="43" t="n">
        <f aca="false">Tasks[[#This Row],[_Res4WorkPerWD]]*MAX(0,Tasks[[#This Row],[_StartWorkday]]-1)</f>
        <v>0</v>
      </c>
      <c r="EM87" s="43" t="n">
        <f aca="false">Tasks[[#This Row],[_Res4Work]]*Tasks[[#This Row],[_LeafProgress]]</f>
        <v>0</v>
      </c>
      <c r="EN87" s="43" t="n">
        <f aca="false">IF(ISNUMBER(Tasks[[#This Row],[% Complete]]),Tasks[[#This Row],[% Complete]],IF(Tasks[[#This Row],[Stage]]="",0,IFERROR(INDEX(stg_Pct,MATCH(Tasks[[#This Row],[Stage]],stg_Name,0)),0)))</f>
        <v>0</v>
      </c>
      <c r="EO87" s="43" t="n">
        <f aca="false">IF(NOT(Tasks[[#This Row],[_IsLeaf]]=1),0,IF(N(Tasks[[#This Row],[Actual Finish]])&gt;0,1,MIN(1,Tasks[[#This Row],[_Pct]])))</f>
        <v>0</v>
      </c>
      <c r="EP87" s="43" t="n">
        <f aca="false">IF(OR(NOT(Tasks[[#This Row],[_IsLeaf]]=1),Tasks[[#This Row],[_Res1Row]]=0),0,N(Tasks[[#This Row],[_Days]])*HoursPerDay*IF(Tasks[[#This Row],[_Units1]]="",DefaultUnits,Tasks[[#This Row],[_Units1]]))</f>
        <v>0</v>
      </c>
      <c r="EQ87" s="43" t="n">
        <f aca="false">Tasks[[#This Row],[_LeafWork]]+Tasks[[#This Row],[_Res2Work]]+Tasks[[#This Row],[_Res3Work]]+Tasks[[#This Row],[_Res4Work]]</f>
        <v>0</v>
      </c>
      <c r="ER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3" t="n">
        <f aca="false">IF(NOT(Tasks[[#This Row],[_IsLeaf]]=1),0,MAX(_xlfn.MAXIFS(Tasks[_Row],Tasks[_Pred1UID],Tasks[[#This Row],[UID]]),_xlfn.MAXIFS(Tasks[_Row],Tasks[_Pred2UID],Tasks[[#This Row],[UID]]),_xlfn.MAXIFS(Tasks[_Row],Tasks[_Pred3UID],Tasks[[#This Row],[UID]]),_xlfn.MAXIFS(Tasks[_Row],Tasks[_Pred4UID],Tasks[[#This Row],[UID]])))</f>
        <v>0</v>
      </c>
      <c r="FA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91" t="str">
        <f aca="false">IF(NOT(Tasks[[#This Row],[_IsLeaf]]=1),"",IF(N(Tasks[[#This Row],[_Days]])&lt;=0,Tasks[[#This Row],[_LeafLateFinish]],WORKDAY.INTL(Tasks[[#This Row],[_LeafLateFinish]],-(Tasks[[#This Row],[_Days]]-1),WorkWeek,Holidays)))</f>
        <v/>
      </c>
      <c r="FD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7" s="90" t="b">
        <f aca="false">AND(Tasks[[#This Row],[_IsLeaf]]=1,Tasks[[#This Row],[_LeafProgress]]&lt;1,N(Tasks[[#This Row],[_LeafTotalSlack]])&lt;=CriticalSlackDays)</f>
        <v>0</v>
      </c>
      <c r="FF87" s="43" t="n">
        <f aca="false">IF(AND(Tasks[[#This Row],[_IsLeaf]]=1,Tasks[[#This Row],[_ConstraintCode]]=1,Tasks[[#This Row],[Mode]]&lt;&gt;"Manual",N(Tasks[[#This Row],[Actual Start]])=0),MAX(0,N(Tasks[[#This Row],[Free Slack]])),0)</f>
        <v>0</v>
      </c>
      <c r="FG87" s="91" t="str">
        <f aca="false">IF(NOT(Tasks[[#This Row],[_IsLeaf]]=1),"",IF(Tasks[[#This Row],[_AlapShift]]=0,Tasks[[#This Row],[_LeafCalcStart]],WORKDAY.INTL(Tasks[[#This Row],[_LeafCalcStart]],Tasks[[#This Row],[_AlapShift]],WorkWeek,Holidays)))</f>
        <v/>
      </c>
      <c r="FH87" s="91" t="str">
        <f aca="false">IF(NOT(Tasks[[#This Row],[_IsLeaf]]=1),"",IF(Tasks[[#This Row],[_AlapShift]]=0,Tasks[[#This Row],[_LeafCalcFinish]],WORKDAY.INTL(Tasks[[#This Row],[_LeafCalcFinish]],Tasks[[#This Row],[_AlapShift]],WorkWeek,Holidays)))</f>
        <v/>
      </c>
      <c r="FI87" s="91" t="str">
        <f aca="false">IF(NOT(Tasks[[#This Row],[_IsLeaf]]=1),"",IF(Tasks[[#This Row],[_AlapShift]]=0,Tasks[[#This Row],[_LeafFcstStart]],WORKDAY.INTL(Tasks[[#This Row],[_LeafFcstStart]],Tasks[[#This Row],[_AlapShift]],WorkWeek,Holidays)))</f>
        <v/>
      </c>
      <c r="FJ87" s="91" t="str">
        <f aca="false">IF(NOT(Tasks[[#This Row],[_IsLeaf]]=1),"",IF(Tasks[[#This Row],[_AlapShift]]=0,Tasks[[#This Row],[_LeafFcstFinish]],WORKDAY.INTL(Tasks[[#This Row],[_LeafFcstFinish]],Tasks[[#This Row],[_AlapShift]],WorkWeek,Holidays)))</f>
        <v/>
      </c>
      <c r="FK87" s="91" t="str">
        <f aca="false">IF(Tasks[[#This Row],[Task Name]]="","",IF(Tasks[[#This Row],[_IsSummary]],MIN(INDEX(Tasks[_ShownCalcStart],Tasks[[#This Row],[_Row]]+1):INDEX(Tasks[_ShownCalcStart],Tasks[[#This Row],[_Row]]+Tasks[[#This Row],[_Descendants]])),Tasks[[#This Row],[_ShownCalcStart]]))</f>
        <v/>
      </c>
      <c r="FL87" s="91" t="str">
        <f aca="false">IF(Tasks[[#This Row],[Task Name]]="","",IF(Tasks[[#This Row],[_IsSummary]],MAX(INDEX(Tasks[_ShownCalcFinish],Tasks[[#This Row],[_Row]]+1):INDEX(Tasks[_ShownCalcFinish],Tasks[[#This Row],[_Row]]+Tasks[[#This Row],[_Descendants]])),Tasks[[#This Row],[_ShownCalcFinish]]))</f>
        <v/>
      </c>
      <c r="FM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7" s="43" t="n">
        <f aca="false">IF(AND(Tasks[[#This Row],[_IsLeaf]]=1,Tasks[[#This Row],[_LeafTotalWork]]&gt;0),NETWORKDAYS.INTL(ProjectStart,Tasks[[#This Row],[_ShownFcstStart]],WorkWeek,Holidays),0)</f>
        <v>0</v>
      </c>
      <c r="FZ87" s="43" t="n">
        <f aca="false">IF(AND(Tasks[[#This Row],[_IsLeaf]]=1,Tasks[[#This Row],[_LeafTotalWork]]&gt;0),MAX(Tasks[[#This Row],[_StartWorkday]],NETWORKDAYS.INTL(ProjectStart,Tasks[[#This Row],[_ShownFcstFinish]],WorkWeek,Holidays)),0)</f>
        <v>0</v>
      </c>
      <c r="GA87" s="43" t="n">
        <f aca="false">IF(AND(Tasks[[#This Row],[_IsLeaf]]=1,Tasks[[#This Row],[_LeafTotalWork]]&gt;0),Tasks[[#This Row],[_LeafWork]]/(Tasks[[#This Row],[_FinishWorkday]]-Tasks[[#This Row],[_StartWorkday]]+1),0)</f>
        <v>0</v>
      </c>
      <c r="GB87" s="43" t="n">
        <f aca="false">Tasks[[#This Row],[_WorkPerWorkday]]*(Tasks[[#This Row],[_StartWorkday]]-1)</f>
        <v>-0</v>
      </c>
      <c r="GC87" s="43" t="n">
        <f aca="false">IF(Tasks[[#This Row],[_IsLeaf]]=1,MAX(N(Tasks[[#This Row],[_Days]]),0.1),0)</f>
        <v>0</v>
      </c>
      <c r="GD87" s="43" t="n">
        <f aca="false">Tasks[[#This Row],[_WeightDur]]*Tasks[[#This Row],[_LeafProgress]]</f>
        <v>0</v>
      </c>
      <c r="GE87" s="43" t="n">
        <f aca="false">Tasks[[#This Row],[_WeightDur]]*Tasks[[#This Row],[_PlannedPct]]</f>
        <v>0</v>
      </c>
      <c r="GF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3" t="str">
        <f aca="false">IF(AND(Tasks[[#This Row],[_IsLeaf]]=1,N(Tasks[[#This Row],[_Days]])=0,Tasks[[#This Row],[_LeafProgress]]&lt;1),Tasks[[#This Row],[_ShownFcstFinish]]+Tasks[[#This Row],[_Row]]/100000,"")</f>
        <v/>
      </c>
      <c r="GH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7" s="43" t="str">
        <f aca="false">IF(Tasks[[#This Row],[Task Name]]="","",LEFT(Tasks[[#This Row],[WBS]],FIND(".",Tasks[[#This Row],[WBS]]&amp;".")-1))</f>
        <v/>
      </c>
      <c r="GJ87" s="43" t="str">
        <f aca="false">IF(AND(Tasks[[#This Row],[Task Name]]&lt;&gt;"",Tasks[[#This Row],[_Level]]=1),Tasks[[#This Row],[_Row]],"")</f>
        <v/>
      </c>
      <c r="GK87" s="43" t="str">
        <f aca="false">IF(AND(Tasks[[#This Row],[_IsLeaf]]=1,N(Tasks[[#This Row],[_Days]])=0),Tasks[[#This Row],[Planned Finish]]+Tasks[[#This Row],[_Row]]/100000,"")</f>
        <v/>
      </c>
      <c r="GL87" s="43" t="str">
        <f aca="false">IF(AND(Tasks[[#This Row],[_IsLeaf]]=1,Tasks[[#This Row],[_LeafProgress]]&lt;1,OR(N(Tasks[[#This Row],[Finish Var]])&gt;0,Tasks[[#This Row],[Status]]="Late Start")),MAX(0,Tasks[[#This Row],[Finish Var]])+1-Tasks[[#This Row],[_Row]]/1000000,"")</f>
        <v/>
      </c>
      <c r="GM87" s="43" t="str">
        <f aca="false">IF(AND(Tasks[[#This Row],[_IsLeaf]]=1,N(Tasks[[#This Row],[Actual Start]])=0,Tasks[[#This Row],[_ShownFcstStart]]&gt;=StatusDate,Tasks[[#This Row],[_ShownFcstStart]]&lt;=LookaheadEnd),Tasks[[#This Row],[_ShownFcstStart]]+Tasks[[#This Row],[_Row]]/100000,"")</f>
        <v/>
      </c>
      <c r="GN87" s="43" t="str">
        <f aca="false">IF(AND(Tasks[[#This Row],[_IsLeaf]]=1,Tasks[[#This Row],[_LeafProgress]]&lt;1,Tasks[[#This Row],[_ShownFcstFinish]]&gt;=StatusDate,Tasks[[#This Row],[_ShownFcstFinish]]&lt;=LookaheadEnd),Tasks[[#This Row],[_ShownFcstFinish]]+Tasks[[#This Row],[_Row]]/100000,"")</f>
        <v/>
      </c>
      <c r="GO87" s="43" t="str">
        <f aca="false">IF(Tasks[[#This Row],[_LeafCritical]],Tasks[[#This Row],[_ShownFcstStart]]+Tasks[[#This Row],[_Row]]/100000,"")</f>
        <v/>
      </c>
      <c r="GP87" s="43" t="n">
        <f aca="false">Tasks[[#This Row],[_LeafWork]]*Tasks[[#This Row],[_LeafProgress]]</f>
        <v>0</v>
      </c>
      <c r="GQ87" s="91" t="str">
        <f aca="false">IF(AND(Tasks[[#This Row],[_IsLeaf]]=1,Tasks[[#This Row],[_LeafProgress]]&gt;=1),IF(N(Tasks[[#This Row],[Actual Finish]])&gt;0,Tasks[[#This Row],[Actual Finish]],Tasks[[#This Row],[_ShownFcstFinish]]),"")</f>
        <v/>
      </c>
      <c r="GR87" s="43" t="n">
        <f aca="false">IF(Tasks[[#This Row],[_IsLeaf]]=1,N(Tasks[[#This Row],[Story Points]]),0)</f>
        <v>0</v>
      </c>
      <c r="GS87" s="43" t="str">
        <f aca="false">""</f>
        <v/>
      </c>
      <c r="GT87" s="90" t="b">
        <f aca="false">IF(Tasks[[#This Row],[Task Name]]="",FALSE(),AND(Tasks[[#This Row],[_IsLeaf]]=1,N(Tasks[[#This Row],[_Days]])=0))</f>
        <v>0</v>
      </c>
      <c r="GU87" s="91" t="n">
        <f aca="false">IF(Tasks[[#This Row],[Task Name]]="",0,IF(AND(Tasks[[#This Row],[_IsLeaf]]=1,NOT(Tasks[[#This Row],[_IsMilestone]]),N(Tasks[[#This Row],[Progress]])&gt;0),Tasks[[#This Row],[Start]],0))</f>
        <v>0</v>
      </c>
      <c r="GV87" s="91" t="n">
        <f aca="false">IF(Tasks[[#This Row],[_DoneFrom]]=0,0,IF(Tasks[[#This Row],[Progress]]&gt;=1,Tasks[[#This Row],[Finish]],MAX(Tasks[[#This Row],[_DoneFrom]],Tasks[[#This Row],[Start]]+ROUND((Tasks[[#This Row],[Finish]]-Tasks[[#This Row],[Start]]+1)*Tasks[[#This Row],[Progress]],0)-1)))</f>
        <v>0</v>
      </c>
      <c r="GW87" s="91" t="n">
        <f aca="false">IF(Tasks[[#This Row],[Task Name]]="",0,IF(OR(NOT(Tasks[[#This Row],[_IsLeaf]]=1),Tasks[[#This Row],[_IsMilestone]],N(Tasks[[#This Row],[Progress]])&gt;=1),0,IF(Tasks[[#This Row],[_DoneTo]]&gt;0,Tasks[[#This Row],[_DoneTo]]+1,Tasks[[#This Row],[Start]])))</f>
        <v>0</v>
      </c>
      <c r="GX87" s="91" t="n">
        <f aca="false">IF(Tasks[[#This Row],[_RemFrom]]=0,0,Tasks[[#This Row],[Finish]])</f>
        <v>0</v>
      </c>
      <c r="GY87" s="90" t="b">
        <f aca="false">IF(Tasks[[#This Row],[Task Name]]="",FALSE(),OR(NOT(BaselineSet),N(Tasks[[#This Row],[Baseline Start]])&gt;0))</f>
        <v>0</v>
      </c>
      <c r="GZ8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92" t="str">
        <f aca="false">IF(Tasks[[#This Row],[_IsLeaf]]=1,Tasks[[#This Row],[_Row]],"")</f>
        <v/>
      </c>
      <c r="HD87" s="92" t="str">
        <f aca="false">IFERROR(INDEX(Tasks[UID],SMALL(Tasks[_PickKey],Tasks[[#This Row],[_Row]]))&amp;" "&amp;INDEX(Tasks[Task Name],SMALL(Tasks[_PickKey],Tasks[[#This Row],[_Row]])),"")</f>
        <v/>
      </c>
      <c r="HE87" s="43" t="str">
        <f aca="false">IF(Tasks[[#This Row],[Task Name]]="","",IF(Tasks[[#This Row],[_IsSummary]],NETWORKDAYS.INTL(Tasks[[#This Row],[Start]],Tasks[[#This Row],[Finish]],WorkWeek,Holidays),N(Tasks[[#This Row],[_Days]])))</f>
        <v/>
      </c>
      <c r="HF87" s="43" t="n">
        <f aca="false">IF(Tasks[[#This Row],[Expected]]="",0,((Tasks[[#This Row],[Pessimistic]]-Tasks[[#This Row],[Optimistic]])/6)^2)</f>
        <v>0</v>
      </c>
      <c r="HG87" s="43" t="n">
        <f aca="false">IF(Tasks[[#This Row],[Expected]]="",0,Tasks[[#This Row],[Expected]]-N(Tasks[[#This Row],[_Days]]))</f>
        <v>0</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4"/>
      <c r="U88" s="23"/>
      <c r="V88" s="84"/>
      <c r="W88" s="23"/>
      <c r="X88" s="84"/>
      <c r="Y88" s="23"/>
      <c r="Z88" s="84"/>
      <c r="AA88" s="23"/>
      <c r="AB88" s="23"/>
      <c r="AC88" s="7"/>
      <c r="AD88" s="7"/>
      <c r="AE88" s="63" t="str">
        <f aca="false">IF(Tasks[[#This Row],[Task Name]]="","",IF(Tasks[[#This Row],[_IsSummary]],MIN(INDEX(Tasks[_ShownFcstStart],Tasks[[#This Row],[_Row]]+1):INDEX(Tasks[_ShownFcstStart],Tasks[[#This Row],[_Row]]+Tasks[[#This Row],[_Descendants]])),Tasks[[#This Row],[_ShownFcstStart]]))</f>
        <v/>
      </c>
      <c r="AF88" s="63"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8" s="7"/>
      <c r="AK88" s="22"/>
      <c r="AL88" s="23"/>
      <c r="AM88" s="7"/>
      <c r="AN88" s="47"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3" t="str">
        <f aca="false">IF(Tasks[[#This Row],[Task Name]]="","",IF(N(Tasks[[#This Row],[Baseline Start]])&gt;0,Tasks[[#This Row],[Baseline Start]],Tasks[[#This Row],[_CalcStart]]))</f>
        <v/>
      </c>
      <c r="AR88" s="63" t="str">
        <f aca="false">IF(Tasks[[#This Row],[Task Name]]="","",IF(N(Tasks[[#This Row],[Baseline Finish]])&gt;0,Tasks[[#This Row],[Baseline Finish]],Tasks[[#This Row],[_CalcFinish]]))</f>
        <v/>
      </c>
      <c r="AS88" s="47" t="str">
        <f aca="false">IF(Tasks[[#This Row],[Task Name]]="","",IF(Tasks[[#This Row],[Start]]&gt;=Tasks[[#This Row],[Planned Start]],NETWORKDAYS.INTL(Tasks[[#This Row],[Planned Start]],Tasks[[#This Row],[Start]],WorkWeek,Holidays)-1,1-NETWORKDAYS.INTL(Tasks[[#This Row],[Start]],Tasks[[#This Row],[Planned Start]],WorkWeek,Holidays)))</f>
        <v/>
      </c>
      <c r="AT88" s="63" t="str">
        <f aca="false">IF(Tasks[[#This Row],[Task Name]]="","",IF(Tasks[[#This Row],[_IsSummary]],MIN(INDEX(Tasks[_LeafLateStart],Tasks[[#This Row],[_Row]]+1):INDEX(Tasks[_LeafLateStart],Tasks[[#This Row],[_Row]]+Tasks[[#This Row],[_Descendants]])),Tasks[[#This Row],[_LeafLateStart]]))</f>
        <v/>
      </c>
      <c r="AU88" s="63" t="str">
        <f aca="false">IF(Tasks[[#This Row],[Task Name]]="","",IF(Tasks[[#This Row],[_IsSummary]],MAX(INDEX(Tasks[_LeafLateFinish],Tasks[[#This Row],[_Row]]+1):INDEX(Tasks[_LeafLateFinish],Tasks[[#This Row],[_Row]]+Tasks[[#This Row],[_Descendants]])),Tasks[[#This Row],[_LeafLateFinish]]))</f>
        <v/>
      </c>
      <c r="AV88" s="47"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5"/>
      <c r="BA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6"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7"/>
      <c r="BJ88" s="22"/>
      <c r="BK88" s="47" t="str">
        <f aca="false">IF(OR(Tasks[[#This Row],[Task Name]]="",Tasks[[#This Row],[Baseline Duration]]=""),"",Tasks[[#This Row],[_SpanDays]]-N(Tasks[[#This Row],[Baseline Duration]]))</f>
        <v/>
      </c>
      <c r="BL88" s="86" t="str">
        <f aca="false">IF(OR(Tasks[[#This Row],[Task Name]]="",Tasks[[#This Row],[Baseline Work]]=""),"",Tasks[[#This Row],[Work]]-N(Tasks[[#This Row],[Baseline Work]]))</f>
        <v/>
      </c>
      <c r="BM88" s="63" t="str">
        <f aca="false">IF(Tasks[[#This Row],[Task Name]]="","",IF(OR(TakeBaseline="Yes",N(Tasks[[#This Row],[Baseline Start]])=0),Tasks[[#This Row],[Start]],Tasks[[#This Row],[Baseline Start]]))</f>
        <v/>
      </c>
      <c r="BN88" s="63" t="str">
        <f aca="false">IF(Tasks[[#This Row],[Task Name]]="","",IF(OR(TakeBaseline="Yes",N(Tasks[[#This Row],[Baseline Finish]])=0),Tasks[[#This Row],[Finish]],Tasks[[#This Row],[Baseline Finish]]))</f>
        <v/>
      </c>
      <c r="BO88" s="21" t="str">
        <f aca="false">IF(Tasks[[#This Row],[Task Name]]="","",IF(OR(TakeBaseline="Yes",N(Tasks[[#This Row],[Baseline Duration]])=0),Tasks[[#This Row],[_SpanDays]],Tasks[[#This Row],[Baseline Duration]]))</f>
        <v/>
      </c>
      <c r="BP88" s="86" t="str">
        <f aca="false">IF(Tasks[[#This Row],[Task Name]]="","",IF(OR(TakeBaseline="Yes",N(Tasks[[#This Row],[Baseline Work]])=0),Tasks[[#This Row],[Work]],Tasks[[#This Row],[Baseline Work]]))</f>
        <v/>
      </c>
      <c r="BQ88" s="7"/>
      <c r="BR88" s="7"/>
      <c r="BS88" s="22"/>
      <c r="BT88" s="88"/>
      <c r="BU88" s="23"/>
      <c r="BV88" s="23"/>
      <c r="BW88" s="23"/>
      <c r="BX88" s="89" t="str">
        <f aca="false">IF(AND(Tasks[[#This Row],[_IsLeaf]]=1,ISNUMBER(Tasks[[#This Row],[Optimistic]]),ISNUMBER(Tasks[[#This Row],[Pessimistic]])),ROUND((Tasks[[#This Row],[Optimistic]]+4*N(Tasks[[#This Row],[_Days]])+Tasks[[#This Row],[Pessimistic]])/6,1),"")</f>
        <v/>
      </c>
      <c r="BY88" s="87"/>
      <c r="BZ88" s="87"/>
      <c r="CA88" s="22"/>
      <c r="CB88" s="43" t="str">
        <f aca="false">IF(Tasks[[#This Row],[Task Name]]="","",MAX(1,N(Tasks[[#This Row],[Level]])))</f>
        <v/>
      </c>
      <c r="CC88" s="43" t="n">
        <f aca="false">ROW()-ROW(Tasks[[#Headers],[ID]])</f>
        <v>83</v>
      </c>
      <c r="CD88" s="43" t="n">
        <f aca="false">IF(OR(Tasks[[#This Row],[Task Name]]="",Tasks[[#This Row],[_Level]]&lt;=1),0,IFERROR(LOOKUP(2,1/(Tasks[[#Headers],[_Level]]:Tasks[[#This Row],[_Level]]=Tasks[[#This Row],[_Level]]-1),ROW(Tasks[[#Headers],[_Level]]:Tasks[[#This Row],[_Level]])),0))</f>
        <v>0</v>
      </c>
      <c r="CE88" s="43" t="n">
        <f aca="false">IFERROR(N(INDEX(Tasks[_Level],Tasks[[#This Row],[_Row]]+1)),0)</f>
        <v>0</v>
      </c>
      <c r="CF88" s="90" t="b">
        <f aca="false">AND(Tasks[[#This Row],[Task Name]]&lt;&gt;"",Tasks[[#This Row],[_NextLevel]]&gt;Tasks[[#This Row],[_Level]])</f>
        <v>0</v>
      </c>
      <c r="CG88" s="43" t="n">
        <f aca="false">IF(Tasks[[#This Row],[_IsSummary]],COUNTIF(Tasks[WBS],Tasks[[#This Row],[WBS]]&amp;".*"),0)</f>
        <v>0</v>
      </c>
      <c r="CH88" s="43" t="n">
        <f aca="false">IF(AND(Tasks[[#This Row],[Task Name]]&lt;&gt;"",NOT(Tasks[[#This Row],[_IsSummary]])),1,0)</f>
        <v>0</v>
      </c>
      <c r="CI88" s="43" t="n">
        <f aca="false">IF(N(Tasks[[#This Row],[_Pred1UID]])=0,0,IFERROR(MATCH(Tasks[[#This Row],[_Pred1UID]],Tasks[UID],0),-1))</f>
        <v>0</v>
      </c>
      <c r="CJ88" s="43" t="n">
        <f aca="false">IF(N(Tasks[[#This Row],[_Pred2UID]])=0,0,IFERROR(MATCH(Tasks[[#This Row],[_Pred2UID]],Tasks[UID],0),-1))</f>
        <v>0</v>
      </c>
      <c r="CK88" s="43" t="n">
        <f aca="false">IF(N(Tasks[[#This Row],[_Pred3UID]])=0,0,IFERROR(MATCH(Tasks[[#This Row],[_Pred3UID]],Tasks[UID],0),-1))</f>
        <v>0</v>
      </c>
      <c r="CL88" s="43" t="n">
        <f aca="false">IF(N(Tasks[[#This Row],[_Pred4UID]])=0,0,IFERROR(MATCH(Tasks[[#This Row],[_Pred4UID]],Tasks[UID],0),-1))</f>
        <v>0</v>
      </c>
      <c r="CM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8" s="91" t="n">
        <f aca="false">IF(OR(Tasks[[#This Row],[_ConstraintCode]]=2,Tasks[[#This Row],[_ConstraintCode]]=3,Tasks[[#This Row],[_ConstraintCode]]=4,Tasks[[#This Row],[_ConstraintCode]]=6),Tasks[[#This Row],[_ConstraintStart]],0)</f>
        <v>0</v>
      </c>
      <c r="CP88" s="91" t="n">
        <f aca="false">IF(OR(Tasks[[#This Row],[_ConstraintCode]]=2,Tasks[[#This Row],[_ConstraintCode]]=3,Tasks[[#This Row],[_ConstraintCode]]=5,Tasks[[#This Row],[_ConstraintCode]]=7),Tasks[[#This Row],[_ConstraintStart]],2958465)</f>
        <v>2958465</v>
      </c>
      <c r="CQ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91" t="str">
        <f aca="false">IF(NOT(Tasks[[#This Row],[_IsLeaf]]=1),"",IF(N(Tasks[[#This Row],[_Days]])&lt;=0,Tasks[[#This Row],[_LeafCalcStart]],WORKDAY.INTL(Tasks[[#This Row],[_LeafCalcStart]],Tasks[[#This Row],[_Days]]-1,WorkWeek,Holidays)))</f>
        <v/>
      </c>
      <c r="CS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3" t="str">
        <f aca="false">IF(Tasks[[#This Row],[_Predecessors]]="","",TRIM(MID(SUBSTITUTE(SUBSTITUTE(SUBSTITUTE(UPPER(Tasks[[#This Row],[_Predecessors]]),";",",")," ",""),",",REPT(" ",99)),1,99)))</f>
        <v/>
      </c>
      <c r="CV88" s="43" t="str">
        <f aca="false">IF(Tasks[[#This Row],[_Pred1Text]]="","",IFERROR(VALUE(LEFT(Tasks[[#This Row],[_Pred1Text]],MIN(FIND("F",Tasks[[#This Row],[_Pred1Text]]&amp;"F"),FIND("S",Tasks[[#This Row],[_Pred1Text]]&amp;"S"),FIND("+",Tasks[[#This Row],[_Pred1Text]]&amp;"+"),FIND("-",Tasks[[#This Row],[_Pred1Text]]&amp;"-"))-1)),""))</f>
        <v/>
      </c>
      <c r="CW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3" t="str">
        <f aca="false">IF(Tasks[[#This Row],[_Pred1Text]]="","",TRIM(MID(SUBSTITUTE(SUBSTITUTE(SUBSTITUTE(UPPER(Tasks[[#This Row],[_Predecessors]]),";",",")," ",""),",",REPT(" ",99)),100,99)))</f>
        <v/>
      </c>
      <c r="CZ88" s="43" t="str">
        <f aca="false">IF(Tasks[[#This Row],[_Pred2Text]]="","",IFERROR(VALUE(LEFT(Tasks[[#This Row],[_Pred2Text]],MIN(FIND("F",Tasks[[#This Row],[_Pred2Text]]&amp;"F"),FIND("S",Tasks[[#This Row],[_Pred2Text]]&amp;"S"),FIND("+",Tasks[[#This Row],[_Pred2Text]]&amp;"+"),FIND("-",Tasks[[#This Row],[_Pred2Text]]&amp;"-"))-1)),""))</f>
        <v/>
      </c>
      <c r="DA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3" t="str">
        <f aca="false">IF(Tasks[[#This Row],[_Pred2Text]]="","",TRIM(MID(SUBSTITUTE(SUBSTITUTE(SUBSTITUTE(UPPER(Tasks[[#This Row],[_Predecessors]]),";",",")," ",""),",",REPT(" ",99)),199,99)))</f>
        <v/>
      </c>
      <c r="DD88" s="43" t="str">
        <f aca="false">IF(Tasks[[#This Row],[_Pred3Text]]="","",IFERROR(VALUE(LEFT(Tasks[[#This Row],[_Pred3Text]],MIN(FIND("F",Tasks[[#This Row],[_Pred3Text]]&amp;"F"),FIND("S",Tasks[[#This Row],[_Pred3Text]]&amp;"S"),FIND("+",Tasks[[#This Row],[_Pred3Text]]&amp;"+"),FIND("-",Tasks[[#This Row],[_Pred3Text]]&amp;"-"))-1)),""))</f>
        <v/>
      </c>
      <c r="DE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3" t="str">
        <f aca="false">IF(Tasks[[#This Row],[_Pred3Text]]="","",TRIM(MID(SUBSTITUTE(SUBSTITUTE(SUBSTITUTE(UPPER(Tasks[[#This Row],[_Predecessors]]),";",",")," ",""),",",REPT(" ",99)),298,99)))</f>
        <v/>
      </c>
      <c r="DH88" s="43" t="str">
        <f aca="false">IF(Tasks[[#This Row],[_Pred4Text]]="","",IFERROR(VALUE(LEFT(Tasks[[#This Row],[_Pred4Text]],MIN(FIND("F",Tasks[[#This Row],[_Pred4Text]]&amp;"F"),FIND("S",Tasks[[#This Row],[_Pred4Text]]&amp;"S"),FIND("+",Tasks[[#This Row],[_Pred4Text]]&amp;"+"),FIND("-",Tasks[[#This Row],[_Pred4Text]]&amp;"-"))-1)),""))</f>
        <v/>
      </c>
      <c r="DI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3" t="str">
        <f aca="false">IF(OR(Tasks[[#This Row],[Task Name]]="",Tasks[[#This Row],[_Resources]]=""),"",TRIM(MID(SUBSTITUTE(Tasks[[#This Row],[_Resources]],",",REPT(" ",99)),1,99)))</f>
        <v/>
      </c>
      <c r="DL88" s="43" t="str">
        <f aca="false">IF(Tasks[[#This Row],[_Res1Text]]="","",TRIM(MID(SUBSTITUTE(Tasks[[#This Row],[_Resources]],",",REPT(" ",99)),100,99)))</f>
        <v/>
      </c>
      <c r="DM88" s="43" t="str">
        <f aca="false">IF(Tasks[[#This Row],[_Res2Text]]="","",TRIM(MID(SUBSTITUTE(Tasks[[#This Row],[_Resources]],",",REPT(" ",99)),199,99)))</f>
        <v/>
      </c>
      <c r="DN88" s="43" t="str">
        <f aca="false">IF(Tasks[[#This Row],[_Res3Text]]="","",TRIM(MID(SUBSTITUTE(Tasks[[#This Row],[_Resources]],",",REPT(" ",99)),298,99)))</f>
        <v/>
      </c>
      <c r="DO88" s="43" t="n">
        <f aca="false">IF(Tasks[[#This Row],[_Res1Text]]="",0,IFERROR(MATCH(TRIM(LEFT(Tasks[[#This Row],[_Res1Text]],FIND("[",Tasks[[#This Row],[_Res1Text]]&amp;"[")-1)),res_Name,0),IFERROR(MATCH(TRIM(LEFT(Tasks[[#This Row],[_Res1Text]],FIND("[",Tasks[[#This Row],[_Res1Text]]&amp;"[")-1)),res_Initials,0),0)))</f>
        <v>0</v>
      </c>
      <c r="DP88" s="43" t="n">
        <f aca="false">IF(Tasks[[#This Row],[_Res2Text]]="",0,IFERROR(MATCH(TRIM(LEFT(Tasks[[#This Row],[_Res2Text]],FIND("[",Tasks[[#This Row],[_Res2Text]]&amp;"[")-1)),res_Name,0),IFERROR(MATCH(TRIM(LEFT(Tasks[[#This Row],[_Res2Text]],FIND("[",Tasks[[#This Row],[_Res2Text]]&amp;"[")-1)),res_Initials,0),0)))</f>
        <v>0</v>
      </c>
      <c r="DQ88" s="43" t="n">
        <f aca="false">IF(Tasks[[#This Row],[_Res3Text]]="",0,IFERROR(MATCH(TRIM(LEFT(Tasks[[#This Row],[_Res3Text]],FIND("[",Tasks[[#This Row],[_Res3Text]]&amp;"[")-1)),res_Name,0),IFERROR(MATCH(TRIM(LEFT(Tasks[[#This Row],[_Res3Text]],FIND("[",Tasks[[#This Row],[_Res3Text]]&amp;"[")-1)),res_Initials,0),0)))</f>
        <v>0</v>
      </c>
      <c r="DR88" s="43" t="n">
        <f aca="false">IF(Tasks[[#This Row],[_Res4Text]]="",0,IFERROR(MATCH(TRIM(LEFT(Tasks[[#This Row],[_Res4Text]],FIND("[",Tasks[[#This Row],[_Res4Text]]&amp;"[")-1)),res_Name,0),IFERROR(MATCH(TRIM(LEFT(Tasks[[#This Row],[_Res4Text]],FIND("[",Tasks[[#This Row],[_Res4Text]]&amp;"[")-1)),res_Initials,0),0)))</f>
        <v>0</v>
      </c>
      <c r="DS88" s="43" t="str">
        <f aca="false">IF(Tasks[[#This Row],[_Res1Text]]="","",IF(Tasks[[#This Row],[_Res1Row]]&gt;0,INDEX(res_Name,Tasks[[#This Row],[_Res1Row]]),TRIM(LEFT(Tasks[[#This Row],[_Res1Text]],FIND("[",Tasks[[#This Row],[_Res1Text]]&amp;"[")-1))))</f>
        <v/>
      </c>
      <c r="DT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3" t="n">
        <f aca="false">IF(NOT(Tasks[[#This Row],[_IsLeaf]]=1),0,(Tasks[[#This Row],[_Resource1]]&lt;&gt;"")+(Tasks[[#This Row],[_Res2]]&lt;&gt;"")+(Tasks[[#This Row],[_Res3]]&lt;&gt;"")+(Tasks[[#This Row],[_Res4]]&lt;&gt;""))</f>
        <v>0</v>
      </c>
      <c r="DV88" s="43" t="str">
        <f aca="false">IF(Tasks[[#This Row],[_Res2Text]]="","",IF(Tasks[[#This Row],[_Res2Row]]&gt;0,INDEX(res_Name,Tasks[[#This Row],[_Res2Row]]),TRIM(LEFT(Tasks[[#This Row],[_Res2Text]],FIND("[",Tasks[[#This Row],[_Res2Text]]&amp;"[")-1))))</f>
        <v/>
      </c>
      <c r="DW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3" t="n">
        <f aca="false">IF(OR(NOT(Tasks[[#This Row],[_IsLeaf]]=1),Tasks[[#This Row],[_Res2Row]]=0),0,N(Tasks[[#This Row],[_Days]])*HoursPerDay*IF(Tasks[[#This Row],[_Res2Units]]="",DefaultUnits,Tasks[[#This Row],[_Res2Units]]))</f>
        <v>0</v>
      </c>
      <c r="DY88" s="43" t="n">
        <f aca="false">IF(AND(AND(Tasks[[#This Row],[_IsLeaf]]=1,Tasks[[#This Row],[_LeafTotalWork]]&gt;0),Tasks[[#This Row],[_Res2Work]]&gt;0),Tasks[[#This Row],[_Res2Work]]/(Tasks[[#This Row],[_FinishWorkday]]-Tasks[[#This Row],[_StartWorkday]]+1),0)</f>
        <v>0</v>
      </c>
      <c r="DZ88" s="43" t="n">
        <f aca="false">Tasks[[#This Row],[_Res2WorkPerWD]]*MAX(0,Tasks[[#This Row],[_StartWorkday]]-1)</f>
        <v>0</v>
      </c>
      <c r="EA88" s="43" t="n">
        <f aca="false">Tasks[[#This Row],[_Res2Work]]*Tasks[[#This Row],[_LeafProgress]]</f>
        <v>0</v>
      </c>
      <c r="EB88" s="43" t="str">
        <f aca="false">IF(Tasks[[#This Row],[_Res3Text]]="","",IF(Tasks[[#This Row],[_Res3Row]]&gt;0,INDEX(res_Name,Tasks[[#This Row],[_Res3Row]]),TRIM(LEFT(Tasks[[#This Row],[_Res3Text]],FIND("[",Tasks[[#This Row],[_Res3Text]]&amp;"[")-1))))</f>
        <v/>
      </c>
      <c r="EC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3" t="n">
        <f aca="false">IF(OR(NOT(Tasks[[#This Row],[_IsLeaf]]=1),Tasks[[#This Row],[_Res3Row]]=0),0,N(Tasks[[#This Row],[_Days]])*HoursPerDay*IF(Tasks[[#This Row],[_Res3Units]]="",DefaultUnits,Tasks[[#This Row],[_Res3Units]]))</f>
        <v>0</v>
      </c>
      <c r="EE88" s="43" t="n">
        <f aca="false">IF(AND(AND(Tasks[[#This Row],[_IsLeaf]]=1,Tasks[[#This Row],[_LeafTotalWork]]&gt;0),Tasks[[#This Row],[_Res3Work]]&gt;0),Tasks[[#This Row],[_Res3Work]]/(Tasks[[#This Row],[_FinishWorkday]]-Tasks[[#This Row],[_StartWorkday]]+1),0)</f>
        <v>0</v>
      </c>
      <c r="EF88" s="43" t="n">
        <f aca="false">Tasks[[#This Row],[_Res3WorkPerWD]]*MAX(0,Tasks[[#This Row],[_StartWorkday]]-1)</f>
        <v>0</v>
      </c>
      <c r="EG88" s="43" t="n">
        <f aca="false">Tasks[[#This Row],[_Res3Work]]*Tasks[[#This Row],[_LeafProgress]]</f>
        <v>0</v>
      </c>
      <c r="EH88" s="43" t="str">
        <f aca="false">IF(Tasks[[#This Row],[_Res4Text]]="","",IF(Tasks[[#This Row],[_Res4Row]]&gt;0,INDEX(res_Name,Tasks[[#This Row],[_Res4Row]]),TRIM(LEFT(Tasks[[#This Row],[_Res4Text]],FIND("[",Tasks[[#This Row],[_Res4Text]]&amp;"[")-1))))</f>
        <v/>
      </c>
      <c r="EI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3" t="n">
        <f aca="false">IF(OR(NOT(Tasks[[#This Row],[_IsLeaf]]=1),Tasks[[#This Row],[_Res4Row]]=0),0,N(Tasks[[#This Row],[_Days]])*HoursPerDay*IF(Tasks[[#This Row],[_Res4Units]]="",DefaultUnits,Tasks[[#This Row],[_Res4Units]]))</f>
        <v>0</v>
      </c>
      <c r="EK88" s="43" t="n">
        <f aca="false">IF(AND(AND(Tasks[[#This Row],[_IsLeaf]]=1,Tasks[[#This Row],[_LeafTotalWork]]&gt;0),Tasks[[#This Row],[_Res4Work]]&gt;0),Tasks[[#This Row],[_Res4Work]]/(Tasks[[#This Row],[_FinishWorkday]]-Tasks[[#This Row],[_StartWorkday]]+1),0)</f>
        <v>0</v>
      </c>
      <c r="EL88" s="43" t="n">
        <f aca="false">Tasks[[#This Row],[_Res4WorkPerWD]]*MAX(0,Tasks[[#This Row],[_StartWorkday]]-1)</f>
        <v>0</v>
      </c>
      <c r="EM88" s="43" t="n">
        <f aca="false">Tasks[[#This Row],[_Res4Work]]*Tasks[[#This Row],[_LeafProgress]]</f>
        <v>0</v>
      </c>
      <c r="EN88" s="43" t="n">
        <f aca="false">IF(ISNUMBER(Tasks[[#This Row],[% Complete]]),Tasks[[#This Row],[% Complete]],IF(Tasks[[#This Row],[Stage]]="",0,IFERROR(INDEX(stg_Pct,MATCH(Tasks[[#This Row],[Stage]],stg_Name,0)),0)))</f>
        <v>0</v>
      </c>
      <c r="EO88" s="43" t="n">
        <f aca="false">IF(NOT(Tasks[[#This Row],[_IsLeaf]]=1),0,IF(N(Tasks[[#This Row],[Actual Finish]])&gt;0,1,MIN(1,Tasks[[#This Row],[_Pct]])))</f>
        <v>0</v>
      </c>
      <c r="EP88" s="43" t="n">
        <f aca="false">IF(OR(NOT(Tasks[[#This Row],[_IsLeaf]]=1),Tasks[[#This Row],[_Res1Row]]=0),0,N(Tasks[[#This Row],[_Days]])*HoursPerDay*IF(Tasks[[#This Row],[_Units1]]="",DefaultUnits,Tasks[[#This Row],[_Units1]]))</f>
        <v>0</v>
      </c>
      <c r="EQ88" s="43" t="n">
        <f aca="false">Tasks[[#This Row],[_LeafWork]]+Tasks[[#This Row],[_Res2Work]]+Tasks[[#This Row],[_Res3Work]]+Tasks[[#This Row],[_Res4Work]]</f>
        <v>0</v>
      </c>
      <c r="ER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3" t="n">
        <f aca="false">IF(NOT(Tasks[[#This Row],[_IsLeaf]]=1),0,MAX(_xlfn.MAXIFS(Tasks[_Row],Tasks[_Pred1UID],Tasks[[#This Row],[UID]]),_xlfn.MAXIFS(Tasks[_Row],Tasks[_Pred2UID],Tasks[[#This Row],[UID]]),_xlfn.MAXIFS(Tasks[_Row],Tasks[_Pred3UID],Tasks[[#This Row],[UID]]),_xlfn.MAXIFS(Tasks[_Row],Tasks[_Pred4UID],Tasks[[#This Row],[UID]])))</f>
        <v>0</v>
      </c>
      <c r="FA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91" t="str">
        <f aca="false">IF(NOT(Tasks[[#This Row],[_IsLeaf]]=1),"",IF(N(Tasks[[#This Row],[_Days]])&lt;=0,Tasks[[#This Row],[_LeafLateFinish]],WORKDAY.INTL(Tasks[[#This Row],[_LeafLateFinish]],-(Tasks[[#This Row],[_Days]]-1),WorkWeek,Holidays)))</f>
        <v/>
      </c>
      <c r="FD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8" s="90" t="b">
        <f aca="false">AND(Tasks[[#This Row],[_IsLeaf]]=1,Tasks[[#This Row],[_LeafProgress]]&lt;1,N(Tasks[[#This Row],[_LeafTotalSlack]])&lt;=CriticalSlackDays)</f>
        <v>0</v>
      </c>
      <c r="FF88" s="43" t="n">
        <f aca="false">IF(AND(Tasks[[#This Row],[_IsLeaf]]=1,Tasks[[#This Row],[_ConstraintCode]]=1,Tasks[[#This Row],[Mode]]&lt;&gt;"Manual",N(Tasks[[#This Row],[Actual Start]])=0),MAX(0,N(Tasks[[#This Row],[Free Slack]])),0)</f>
        <v>0</v>
      </c>
      <c r="FG88" s="91" t="str">
        <f aca="false">IF(NOT(Tasks[[#This Row],[_IsLeaf]]=1),"",IF(Tasks[[#This Row],[_AlapShift]]=0,Tasks[[#This Row],[_LeafCalcStart]],WORKDAY.INTL(Tasks[[#This Row],[_LeafCalcStart]],Tasks[[#This Row],[_AlapShift]],WorkWeek,Holidays)))</f>
        <v/>
      </c>
      <c r="FH88" s="91" t="str">
        <f aca="false">IF(NOT(Tasks[[#This Row],[_IsLeaf]]=1),"",IF(Tasks[[#This Row],[_AlapShift]]=0,Tasks[[#This Row],[_LeafCalcFinish]],WORKDAY.INTL(Tasks[[#This Row],[_LeafCalcFinish]],Tasks[[#This Row],[_AlapShift]],WorkWeek,Holidays)))</f>
        <v/>
      </c>
      <c r="FI88" s="91" t="str">
        <f aca="false">IF(NOT(Tasks[[#This Row],[_IsLeaf]]=1),"",IF(Tasks[[#This Row],[_AlapShift]]=0,Tasks[[#This Row],[_LeafFcstStart]],WORKDAY.INTL(Tasks[[#This Row],[_LeafFcstStart]],Tasks[[#This Row],[_AlapShift]],WorkWeek,Holidays)))</f>
        <v/>
      </c>
      <c r="FJ88" s="91" t="str">
        <f aca="false">IF(NOT(Tasks[[#This Row],[_IsLeaf]]=1),"",IF(Tasks[[#This Row],[_AlapShift]]=0,Tasks[[#This Row],[_LeafFcstFinish]],WORKDAY.INTL(Tasks[[#This Row],[_LeafFcstFinish]],Tasks[[#This Row],[_AlapShift]],WorkWeek,Holidays)))</f>
        <v/>
      </c>
      <c r="FK88" s="91" t="str">
        <f aca="false">IF(Tasks[[#This Row],[Task Name]]="","",IF(Tasks[[#This Row],[_IsSummary]],MIN(INDEX(Tasks[_ShownCalcStart],Tasks[[#This Row],[_Row]]+1):INDEX(Tasks[_ShownCalcStart],Tasks[[#This Row],[_Row]]+Tasks[[#This Row],[_Descendants]])),Tasks[[#This Row],[_ShownCalcStart]]))</f>
        <v/>
      </c>
      <c r="FL88" s="91" t="str">
        <f aca="false">IF(Tasks[[#This Row],[Task Name]]="","",IF(Tasks[[#This Row],[_IsSummary]],MAX(INDEX(Tasks[_ShownCalcFinish],Tasks[[#This Row],[_Row]]+1):INDEX(Tasks[_ShownCalcFinish],Tasks[[#This Row],[_Row]]+Tasks[[#This Row],[_Descendants]])),Tasks[[#This Row],[_ShownCalcFinish]]))</f>
        <v/>
      </c>
      <c r="FM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8" s="43" t="n">
        <f aca="false">IF(AND(Tasks[[#This Row],[_IsLeaf]]=1,Tasks[[#This Row],[_LeafTotalWork]]&gt;0),NETWORKDAYS.INTL(ProjectStart,Tasks[[#This Row],[_ShownFcstStart]],WorkWeek,Holidays),0)</f>
        <v>0</v>
      </c>
      <c r="FZ88" s="43" t="n">
        <f aca="false">IF(AND(Tasks[[#This Row],[_IsLeaf]]=1,Tasks[[#This Row],[_LeafTotalWork]]&gt;0),MAX(Tasks[[#This Row],[_StartWorkday]],NETWORKDAYS.INTL(ProjectStart,Tasks[[#This Row],[_ShownFcstFinish]],WorkWeek,Holidays)),0)</f>
        <v>0</v>
      </c>
      <c r="GA88" s="43" t="n">
        <f aca="false">IF(AND(Tasks[[#This Row],[_IsLeaf]]=1,Tasks[[#This Row],[_LeafTotalWork]]&gt;0),Tasks[[#This Row],[_LeafWork]]/(Tasks[[#This Row],[_FinishWorkday]]-Tasks[[#This Row],[_StartWorkday]]+1),0)</f>
        <v>0</v>
      </c>
      <c r="GB88" s="43" t="n">
        <f aca="false">Tasks[[#This Row],[_WorkPerWorkday]]*(Tasks[[#This Row],[_StartWorkday]]-1)</f>
        <v>-0</v>
      </c>
      <c r="GC88" s="43" t="n">
        <f aca="false">IF(Tasks[[#This Row],[_IsLeaf]]=1,MAX(N(Tasks[[#This Row],[_Days]]),0.1),0)</f>
        <v>0</v>
      </c>
      <c r="GD88" s="43" t="n">
        <f aca="false">Tasks[[#This Row],[_WeightDur]]*Tasks[[#This Row],[_LeafProgress]]</f>
        <v>0</v>
      </c>
      <c r="GE88" s="43" t="n">
        <f aca="false">Tasks[[#This Row],[_WeightDur]]*Tasks[[#This Row],[_PlannedPct]]</f>
        <v>0</v>
      </c>
      <c r="GF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3" t="str">
        <f aca="false">IF(AND(Tasks[[#This Row],[_IsLeaf]]=1,N(Tasks[[#This Row],[_Days]])=0,Tasks[[#This Row],[_LeafProgress]]&lt;1),Tasks[[#This Row],[_ShownFcstFinish]]+Tasks[[#This Row],[_Row]]/100000,"")</f>
        <v/>
      </c>
      <c r="GH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8" s="43" t="str">
        <f aca="false">IF(Tasks[[#This Row],[Task Name]]="","",LEFT(Tasks[[#This Row],[WBS]],FIND(".",Tasks[[#This Row],[WBS]]&amp;".")-1))</f>
        <v/>
      </c>
      <c r="GJ88" s="43" t="str">
        <f aca="false">IF(AND(Tasks[[#This Row],[Task Name]]&lt;&gt;"",Tasks[[#This Row],[_Level]]=1),Tasks[[#This Row],[_Row]],"")</f>
        <v/>
      </c>
      <c r="GK88" s="43" t="str">
        <f aca="false">IF(AND(Tasks[[#This Row],[_IsLeaf]]=1,N(Tasks[[#This Row],[_Days]])=0),Tasks[[#This Row],[Planned Finish]]+Tasks[[#This Row],[_Row]]/100000,"")</f>
        <v/>
      </c>
      <c r="GL88" s="43" t="str">
        <f aca="false">IF(AND(Tasks[[#This Row],[_IsLeaf]]=1,Tasks[[#This Row],[_LeafProgress]]&lt;1,OR(N(Tasks[[#This Row],[Finish Var]])&gt;0,Tasks[[#This Row],[Status]]="Late Start")),MAX(0,Tasks[[#This Row],[Finish Var]])+1-Tasks[[#This Row],[_Row]]/1000000,"")</f>
        <v/>
      </c>
      <c r="GM88" s="43" t="str">
        <f aca="false">IF(AND(Tasks[[#This Row],[_IsLeaf]]=1,N(Tasks[[#This Row],[Actual Start]])=0,Tasks[[#This Row],[_ShownFcstStart]]&gt;=StatusDate,Tasks[[#This Row],[_ShownFcstStart]]&lt;=LookaheadEnd),Tasks[[#This Row],[_ShownFcstStart]]+Tasks[[#This Row],[_Row]]/100000,"")</f>
        <v/>
      </c>
      <c r="GN88" s="43" t="str">
        <f aca="false">IF(AND(Tasks[[#This Row],[_IsLeaf]]=1,Tasks[[#This Row],[_LeafProgress]]&lt;1,Tasks[[#This Row],[_ShownFcstFinish]]&gt;=StatusDate,Tasks[[#This Row],[_ShownFcstFinish]]&lt;=LookaheadEnd),Tasks[[#This Row],[_ShownFcstFinish]]+Tasks[[#This Row],[_Row]]/100000,"")</f>
        <v/>
      </c>
      <c r="GO88" s="43" t="str">
        <f aca="false">IF(Tasks[[#This Row],[_LeafCritical]],Tasks[[#This Row],[_ShownFcstStart]]+Tasks[[#This Row],[_Row]]/100000,"")</f>
        <v/>
      </c>
      <c r="GP88" s="43" t="n">
        <f aca="false">Tasks[[#This Row],[_LeafWork]]*Tasks[[#This Row],[_LeafProgress]]</f>
        <v>0</v>
      </c>
      <c r="GQ88" s="91" t="str">
        <f aca="false">IF(AND(Tasks[[#This Row],[_IsLeaf]]=1,Tasks[[#This Row],[_LeafProgress]]&gt;=1),IF(N(Tasks[[#This Row],[Actual Finish]])&gt;0,Tasks[[#This Row],[Actual Finish]],Tasks[[#This Row],[_ShownFcstFinish]]),"")</f>
        <v/>
      </c>
      <c r="GR88" s="43" t="n">
        <f aca="false">IF(Tasks[[#This Row],[_IsLeaf]]=1,N(Tasks[[#This Row],[Story Points]]),0)</f>
        <v>0</v>
      </c>
      <c r="GS88" s="43" t="str">
        <f aca="false">""</f>
        <v/>
      </c>
      <c r="GT88" s="90" t="b">
        <f aca="false">IF(Tasks[[#This Row],[Task Name]]="",FALSE(),AND(Tasks[[#This Row],[_IsLeaf]]=1,N(Tasks[[#This Row],[_Days]])=0))</f>
        <v>0</v>
      </c>
      <c r="GU88" s="91" t="n">
        <f aca="false">IF(Tasks[[#This Row],[Task Name]]="",0,IF(AND(Tasks[[#This Row],[_IsLeaf]]=1,NOT(Tasks[[#This Row],[_IsMilestone]]),N(Tasks[[#This Row],[Progress]])&gt;0),Tasks[[#This Row],[Start]],0))</f>
        <v>0</v>
      </c>
      <c r="GV88" s="91" t="n">
        <f aca="false">IF(Tasks[[#This Row],[_DoneFrom]]=0,0,IF(Tasks[[#This Row],[Progress]]&gt;=1,Tasks[[#This Row],[Finish]],MAX(Tasks[[#This Row],[_DoneFrom]],Tasks[[#This Row],[Start]]+ROUND((Tasks[[#This Row],[Finish]]-Tasks[[#This Row],[Start]]+1)*Tasks[[#This Row],[Progress]],0)-1)))</f>
        <v>0</v>
      </c>
      <c r="GW88" s="91" t="n">
        <f aca="false">IF(Tasks[[#This Row],[Task Name]]="",0,IF(OR(NOT(Tasks[[#This Row],[_IsLeaf]]=1),Tasks[[#This Row],[_IsMilestone]],N(Tasks[[#This Row],[Progress]])&gt;=1),0,IF(Tasks[[#This Row],[_DoneTo]]&gt;0,Tasks[[#This Row],[_DoneTo]]+1,Tasks[[#This Row],[Start]])))</f>
        <v>0</v>
      </c>
      <c r="GX88" s="91" t="n">
        <f aca="false">IF(Tasks[[#This Row],[_RemFrom]]=0,0,Tasks[[#This Row],[Finish]])</f>
        <v>0</v>
      </c>
      <c r="GY88" s="90" t="b">
        <f aca="false">IF(Tasks[[#This Row],[Task Name]]="",FALSE(),OR(NOT(BaselineSet),N(Tasks[[#This Row],[Baseline Start]])&gt;0))</f>
        <v>0</v>
      </c>
      <c r="GZ8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92" t="str">
        <f aca="false">IF(Tasks[[#This Row],[_IsLeaf]]=1,Tasks[[#This Row],[_Row]],"")</f>
        <v/>
      </c>
      <c r="HD88" s="92" t="str">
        <f aca="false">IFERROR(INDEX(Tasks[UID],SMALL(Tasks[_PickKey],Tasks[[#This Row],[_Row]]))&amp;" "&amp;INDEX(Tasks[Task Name],SMALL(Tasks[_PickKey],Tasks[[#This Row],[_Row]])),"")</f>
        <v/>
      </c>
      <c r="HE88" s="43" t="str">
        <f aca="false">IF(Tasks[[#This Row],[Task Name]]="","",IF(Tasks[[#This Row],[_IsSummary]],NETWORKDAYS.INTL(Tasks[[#This Row],[Start]],Tasks[[#This Row],[Finish]],WorkWeek,Holidays),N(Tasks[[#This Row],[_Days]])))</f>
        <v/>
      </c>
      <c r="HF88" s="43" t="n">
        <f aca="false">IF(Tasks[[#This Row],[Expected]]="",0,((Tasks[[#This Row],[Pessimistic]]-Tasks[[#This Row],[Optimistic]])/6)^2)</f>
        <v>0</v>
      </c>
      <c r="HG88" s="43" t="n">
        <f aca="false">IF(Tasks[[#This Row],[Expected]]="",0,Tasks[[#This Row],[Expected]]-N(Tasks[[#This Row],[_Days]]))</f>
        <v>0</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4"/>
      <c r="U89" s="23"/>
      <c r="V89" s="84"/>
      <c r="W89" s="23"/>
      <c r="X89" s="84"/>
      <c r="Y89" s="23"/>
      <c r="Z89" s="84"/>
      <c r="AA89" s="23"/>
      <c r="AB89" s="23"/>
      <c r="AC89" s="7"/>
      <c r="AD89" s="7"/>
      <c r="AE89" s="63" t="str">
        <f aca="false">IF(Tasks[[#This Row],[Task Name]]="","",IF(Tasks[[#This Row],[_IsSummary]],MIN(INDEX(Tasks[_ShownFcstStart],Tasks[[#This Row],[_Row]]+1):INDEX(Tasks[_ShownFcstStart],Tasks[[#This Row],[_Row]]+Tasks[[#This Row],[_Descendants]])),Tasks[[#This Row],[_ShownFcstStart]]))</f>
        <v/>
      </c>
      <c r="AF89" s="63"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9" s="7"/>
      <c r="AK89" s="22"/>
      <c r="AL89" s="23"/>
      <c r="AM89" s="7"/>
      <c r="AN89" s="47"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3" t="str">
        <f aca="false">IF(Tasks[[#This Row],[Task Name]]="","",IF(N(Tasks[[#This Row],[Baseline Start]])&gt;0,Tasks[[#This Row],[Baseline Start]],Tasks[[#This Row],[_CalcStart]]))</f>
        <v/>
      </c>
      <c r="AR89" s="63" t="str">
        <f aca="false">IF(Tasks[[#This Row],[Task Name]]="","",IF(N(Tasks[[#This Row],[Baseline Finish]])&gt;0,Tasks[[#This Row],[Baseline Finish]],Tasks[[#This Row],[_CalcFinish]]))</f>
        <v/>
      </c>
      <c r="AS89" s="47" t="str">
        <f aca="false">IF(Tasks[[#This Row],[Task Name]]="","",IF(Tasks[[#This Row],[Start]]&gt;=Tasks[[#This Row],[Planned Start]],NETWORKDAYS.INTL(Tasks[[#This Row],[Planned Start]],Tasks[[#This Row],[Start]],WorkWeek,Holidays)-1,1-NETWORKDAYS.INTL(Tasks[[#This Row],[Start]],Tasks[[#This Row],[Planned Start]],WorkWeek,Holidays)))</f>
        <v/>
      </c>
      <c r="AT89" s="63" t="str">
        <f aca="false">IF(Tasks[[#This Row],[Task Name]]="","",IF(Tasks[[#This Row],[_IsSummary]],MIN(INDEX(Tasks[_LeafLateStart],Tasks[[#This Row],[_Row]]+1):INDEX(Tasks[_LeafLateStart],Tasks[[#This Row],[_Row]]+Tasks[[#This Row],[_Descendants]])),Tasks[[#This Row],[_LeafLateStart]]))</f>
        <v/>
      </c>
      <c r="AU89" s="63" t="str">
        <f aca="false">IF(Tasks[[#This Row],[Task Name]]="","",IF(Tasks[[#This Row],[_IsSummary]],MAX(INDEX(Tasks[_LeafLateFinish],Tasks[[#This Row],[_Row]]+1):INDEX(Tasks[_LeafLateFinish],Tasks[[#This Row],[_Row]]+Tasks[[#This Row],[_Descendants]])),Tasks[[#This Row],[_LeafLateFinish]]))</f>
        <v/>
      </c>
      <c r="AV89" s="47"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5"/>
      <c r="BA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6"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7"/>
      <c r="BJ89" s="22"/>
      <c r="BK89" s="47" t="str">
        <f aca="false">IF(OR(Tasks[[#This Row],[Task Name]]="",Tasks[[#This Row],[Baseline Duration]]=""),"",Tasks[[#This Row],[_SpanDays]]-N(Tasks[[#This Row],[Baseline Duration]]))</f>
        <v/>
      </c>
      <c r="BL89" s="86" t="str">
        <f aca="false">IF(OR(Tasks[[#This Row],[Task Name]]="",Tasks[[#This Row],[Baseline Work]]=""),"",Tasks[[#This Row],[Work]]-N(Tasks[[#This Row],[Baseline Work]]))</f>
        <v/>
      </c>
      <c r="BM89" s="63" t="str">
        <f aca="false">IF(Tasks[[#This Row],[Task Name]]="","",IF(OR(TakeBaseline="Yes",N(Tasks[[#This Row],[Baseline Start]])=0),Tasks[[#This Row],[Start]],Tasks[[#This Row],[Baseline Start]]))</f>
        <v/>
      </c>
      <c r="BN89" s="63" t="str">
        <f aca="false">IF(Tasks[[#This Row],[Task Name]]="","",IF(OR(TakeBaseline="Yes",N(Tasks[[#This Row],[Baseline Finish]])=0),Tasks[[#This Row],[Finish]],Tasks[[#This Row],[Baseline Finish]]))</f>
        <v/>
      </c>
      <c r="BO89" s="21" t="str">
        <f aca="false">IF(Tasks[[#This Row],[Task Name]]="","",IF(OR(TakeBaseline="Yes",N(Tasks[[#This Row],[Baseline Duration]])=0),Tasks[[#This Row],[_SpanDays]],Tasks[[#This Row],[Baseline Duration]]))</f>
        <v/>
      </c>
      <c r="BP89" s="86" t="str">
        <f aca="false">IF(Tasks[[#This Row],[Task Name]]="","",IF(OR(TakeBaseline="Yes",N(Tasks[[#This Row],[Baseline Work]])=0),Tasks[[#This Row],[Work]],Tasks[[#This Row],[Baseline Work]]))</f>
        <v/>
      </c>
      <c r="BQ89" s="7"/>
      <c r="BR89" s="7"/>
      <c r="BS89" s="22"/>
      <c r="BT89" s="88"/>
      <c r="BU89" s="23"/>
      <c r="BV89" s="23"/>
      <c r="BW89" s="23"/>
      <c r="BX89" s="89" t="str">
        <f aca="false">IF(AND(Tasks[[#This Row],[_IsLeaf]]=1,ISNUMBER(Tasks[[#This Row],[Optimistic]]),ISNUMBER(Tasks[[#This Row],[Pessimistic]])),ROUND((Tasks[[#This Row],[Optimistic]]+4*N(Tasks[[#This Row],[_Days]])+Tasks[[#This Row],[Pessimistic]])/6,1),"")</f>
        <v/>
      </c>
      <c r="BY89" s="87"/>
      <c r="BZ89" s="87"/>
      <c r="CA89" s="22"/>
      <c r="CB89" s="43" t="str">
        <f aca="false">IF(Tasks[[#This Row],[Task Name]]="","",MAX(1,N(Tasks[[#This Row],[Level]])))</f>
        <v/>
      </c>
      <c r="CC89" s="43" t="n">
        <f aca="false">ROW()-ROW(Tasks[[#Headers],[ID]])</f>
        <v>84</v>
      </c>
      <c r="CD89" s="43" t="n">
        <f aca="false">IF(OR(Tasks[[#This Row],[Task Name]]="",Tasks[[#This Row],[_Level]]&lt;=1),0,IFERROR(LOOKUP(2,1/(Tasks[[#Headers],[_Level]]:Tasks[[#This Row],[_Level]]=Tasks[[#This Row],[_Level]]-1),ROW(Tasks[[#Headers],[_Level]]:Tasks[[#This Row],[_Level]])),0))</f>
        <v>0</v>
      </c>
      <c r="CE89" s="43" t="n">
        <f aca="false">IFERROR(N(INDEX(Tasks[_Level],Tasks[[#This Row],[_Row]]+1)),0)</f>
        <v>0</v>
      </c>
      <c r="CF89" s="90" t="b">
        <f aca="false">AND(Tasks[[#This Row],[Task Name]]&lt;&gt;"",Tasks[[#This Row],[_NextLevel]]&gt;Tasks[[#This Row],[_Level]])</f>
        <v>0</v>
      </c>
      <c r="CG89" s="43" t="n">
        <f aca="false">IF(Tasks[[#This Row],[_IsSummary]],COUNTIF(Tasks[WBS],Tasks[[#This Row],[WBS]]&amp;".*"),0)</f>
        <v>0</v>
      </c>
      <c r="CH89" s="43" t="n">
        <f aca="false">IF(AND(Tasks[[#This Row],[Task Name]]&lt;&gt;"",NOT(Tasks[[#This Row],[_IsSummary]])),1,0)</f>
        <v>0</v>
      </c>
      <c r="CI89" s="43" t="n">
        <f aca="false">IF(N(Tasks[[#This Row],[_Pred1UID]])=0,0,IFERROR(MATCH(Tasks[[#This Row],[_Pred1UID]],Tasks[UID],0),-1))</f>
        <v>0</v>
      </c>
      <c r="CJ89" s="43" t="n">
        <f aca="false">IF(N(Tasks[[#This Row],[_Pred2UID]])=0,0,IFERROR(MATCH(Tasks[[#This Row],[_Pred2UID]],Tasks[UID],0),-1))</f>
        <v>0</v>
      </c>
      <c r="CK89" s="43" t="n">
        <f aca="false">IF(N(Tasks[[#This Row],[_Pred3UID]])=0,0,IFERROR(MATCH(Tasks[[#This Row],[_Pred3UID]],Tasks[UID],0),-1))</f>
        <v>0</v>
      </c>
      <c r="CL89" s="43" t="n">
        <f aca="false">IF(N(Tasks[[#This Row],[_Pred4UID]])=0,0,IFERROR(MATCH(Tasks[[#This Row],[_Pred4UID]],Tasks[UID],0),-1))</f>
        <v>0</v>
      </c>
      <c r="CM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9" s="91" t="n">
        <f aca="false">IF(OR(Tasks[[#This Row],[_ConstraintCode]]=2,Tasks[[#This Row],[_ConstraintCode]]=3,Tasks[[#This Row],[_ConstraintCode]]=4,Tasks[[#This Row],[_ConstraintCode]]=6),Tasks[[#This Row],[_ConstraintStart]],0)</f>
        <v>0</v>
      </c>
      <c r="CP89" s="91" t="n">
        <f aca="false">IF(OR(Tasks[[#This Row],[_ConstraintCode]]=2,Tasks[[#This Row],[_ConstraintCode]]=3,Tasks[[#This Row],[_ConstraintCode]]=5,Tasks[[#This Row],[_ConstraintCode]]=7),Tasks[[#This Row],[_ConstraintStart]],2958465)</f>
        <v>2958465</v>
      </c>
      <c r="CQ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91" t="str">
        <f aca="false">IF(NOT(Tasks[[#This Row],[_IsLeaf]]=1),"",IF(N(Tasks[[#This Row],[_Days]])&lt;=0,Tasks[[#This Row],[_LeafCalcStart]],WORKDAY.INTL(Tasks[[#This Row],[_LeafCalcStart]],Tasks[[#This Row],[_Days]]-1,WorkWeek,Holidays)))</f>
        <v/>
      </c>
      <c r="CS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3" t="str">
        <f aca="false">IF(Tasks[[#This Row],[_Predecessors]]="","",TRIM(MID(SUBSTITUTE(SUBSTITUTE(SUBSTITUTE(UPPER(Tasks[[#This Row],[_Predecessors]]),";",",")," ",""),",",REPT(" ",99)),1,99)))</f>
        <v/>
      </c>
      <c r="CV89" s="43" t="str">
        <f aca="false">IF(Tasks[[#This Row],[_Pred1Text]]="","",IFERROR(VALUE(LEFT(Tasks[[#This Row],[_Pred1Text]],MIN(FIND("F",Tasks[[#This Row],[_Pred1Text]]&amp;"F"),FIND("S",Tasks[[#This Row],[_Pred1Text]]&amp;"S"),FIND("+",Tasks[[#This Row],[_Pred1Text]]&amp;"+"),FIND("-",Tasks[[#This Row],[_Pred1Text]]&amp;"-"))-1)),""))</f>
        <v/>
      </c>
      <c r="CW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3" t="str">
        <f aca="false">IF(Tasks[[#This Row],[_Pred1Text]]="","",TRIM(MID(SUBSTITUTE(SUBSTITUTE(SUBSTITUTE(UPPER(Tasks[[#This Row],[_Predecessors]]),";",",")," ",""),",",REPT(" ",99)),100,99)))</f>
        <v/>
      </c>
      <c r="CZ89" s="43" t="str">
        <f aca="false">IF(Tasks[[#This Row],[_Pred2Text]]="","",IFERROR(VALUE(LEFT(Tasks[[#This Row],[_Pred2Text]],MIN(FIND("F",Tasks[[#This Row],[_Pred2Text]]&amp;"F"),FIND("S",Tasks[[#This Row],[_Pred2Text]]&amp;"S"),FIND("+",Tasks[[#This Row],[_Pred2Text]]&amp;"+"),FIND("-",Tasks[[#This Row],[_Pred2Text]]&amp;"-"))-1)),""))</f>
        <v/>
      </c>
      <c r="DA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3" t="str">
        <f aca="false">IF(Tasks[[#This Row],[_Pred2Text]]="","",TRIM(MID(SUBSTITUTE(SUBSTITUTE(SUBSTITUTE(UPPER(Tasks[[#This Row],[_Predecessors]]),";",",")," ",""),",",REPT(" ",99)),199,99)))</f>
        <v/>
      </c>
      <c r="DD89" s="43" t="str">
        <f aca="false">IF(Tasks[[#This Row],[_Pred3Text]]="","",IFERROR(VALUE(LEFT(Tasks[[#This Row],[_Pred3Text]],MIN(FIND("F",Tasks[[#This Row],[_Pred3Text]]&amp;"F"),FIND("S",Tasks[[#This Row],[_Pred3Text]]&amp;"S"),FIND("+",Tasks[[#This Row],[_Pred3Text]]&amp;"+"),FIND("-",Tasks[[#This Row],[_Pred3Text]]&amp;"-"))-1)),""))</f>
        <v/>
      </c>
      <c r="DE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3" t="str">
        <f aca="false">IF(Tasks[[#This Row],[_Pred3Text]]="","",TRIM(MID(SUBSTITUTE(SUBSTITUTE(SUBSTITUTE(UPPER(Tasks[[#This Row],[_Predecessors]]),";",",")," ",""),",",REPT(" ",99)),298,99)))</f>
        <v/>
      </c>
      <c r="DH89" s="43" t="str">
        <f aca="false">IF(Tasks[[#This Row],[_Pred4Text]]="","",IFERROR(VALUE(LEFT(Tasks[[#This Row],[_Pred4Text]],MIN(FIND("F",Tasks[[#This Row],[_Pred4Text]]&amp;"F"),FIND("S",Tasks[[#This Row],[_Pred4Text]]&amp;"S"),FIND("+",Tasks[[#This Row],[_Pred4Text]]&amp;"+"),FIND("-",Tasks[[#This Row],[_Pred4Text]]&amp;"-"))-1)),""))</f>
        <v/>
      </c>
      <c r="DI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3" t="str">
        <f aca="false">IF(OR(Tasks[[#This Row],[Task Name]]="",Tasks[[#This Row],[_Resources]]=""),"",TRIM(MID(SUBSTITUTE(Tasks[[#This Row],[_Resources]],",",REPT(" ",99)),1,99)))</f>
        <v/>
      </c>
      <c r="DL89" s="43" t="str">
        <f aca="false">IF(Tasks[[#This Row],[_Res1Text]]="","",TRIM(MID(SUBSTITUTE(Tasks[[#This Row],[_Resources]],",",REPT(" ",99)),100,99)))</f>
        <v/>
      </c>
      <c r="DM89" s="43" t="str">
        <f aca="false">IF(Tasks[[#This Row],[_Res2Text]]="","",TRIM(MID(SUBSTITUTE(Tasks[[#This Row],[_Resources]],",",REPT(" ",99)),199,99)))</f>
        <v/>
      </c>
      <c r="DN89" s="43" t="str">
        <f aca="false">IF(Tasks[[#This Row],[_Res3Text]]="","",TRIM(MID(SUBSTITUTE(Tasks[[#This Row],[_Resources]],",",REPT(" ",99)),298,99)))</f>
        <v/>
      </c>
      <c r="DO89" s="43" t="n">
        <f aca="false">IF(Tasks[[#This Row],[_Res1Text]]="",0,IFERROR(MATCH(TRIM(LEFT(Tasks[[#This Row],[_Res1Text]],FIND("[",Tasks[[#This Row],[_Res1Text]]&amp;"[")-1)),res_Name,0),IFERROR(MATCH(TRIM(LEFT(Tasks[[#This Row],[_Res1Text]],FIND("[",Tasks[[#This Row],[_Res1Text]]&amp;"[")-1)),res_Initials,0),0)))</f>
        <v>0</v>
      </c>
      <c r="DP89" s="43" t="n">
        <f aca="false">IF(Tasks[[#This Row],[_Res2Text]]="",0,IFERROR(MATCH(TRIM(LEFT(Tasks[[#This Row],[_Res2Text]],FIND("[",Tasks[[#This Row],[_Res2Text]]&amp;"[")-1)),res_Name,0),IFERROR(MATCH(TRIM(LEFT(Tasks[[#This Row],[_Res2Text]],FIND("[",Tasks[[#This Row],[_Res2Text]]&amp;"[")-1)),res_Initials,0),0)))</f>
        <v>0</v>
      </c>
      <c r="DQ89" s="43" t="n">
        <f aca="false">IF(Tasks[[#This Row],[_Res3Text]]="",0,IFERROR(MATCH(TRIM(LEFT(Tasks[[#This Row],[_Res3Text]],FIND("[",Tasks[[#This Row],[_Res3Text]]&amp;"[")-1)),res_Name,0),IFERROR(MATCH(TRIM(LEFT(Tasks[[#This Row],[_Res3Text]],FIND("[",Tasks[[#This Row],[_Res3Text]]&amp;"[")-1)),res_Initials,0),0)))</f>
        <v>0</v>
      </c>
      <c r="DR89" s="43" t="n">
        <f aca="false">IF(Tasks[[#This Row],[_Res4Text]]="",0,IFERROR(MATCH(TRIM(LEFT(Tasks[[#This Row],[_Res4Text]],FIND("[",Tasks[[#This Row],[_Res4Text]]&amp;"[")-1)),res_Name,0),IFERROR(MATCH(TRIM(LEFT(Tasks[[#This Row],[_Res4Text]],FIND("[",Tasks[[#This Row],[_Res4Text]]&amp;"[")-1)),res_Initials,0),0)))</f>
        <v>0</v>
      </c>
      <c r="DS89" s="43" t="str">
        <f aca="false">IF(Tasks[[#This Row],[_Res1Text]]="","",IF(Tasks[[#This Row],[_Res1Row]]&gt;0,INDEX(res_Name,Tasks[[#This Row],[_Res1Row]]),TRIM(LEFT(Tasks[[#This Row],[_Res1Text]],FIND("[",Tasks[[#This Row],[_Res1Text]]&amp;"[")-1))))</f>
        <v/>
      </c>
      <c r="DT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3" t="n">
        <f aca="false">IF(NOT(Tasks[[#This Row],[_IsLeaf]]=1),0,(Tasks[[#This Row],[_Resource1]]&lt;&gt;"")+(Tasks[[#This Row],[_Res2]]&lt;&gt;"")+(Tasks[[#This Row],[_Res3]]&lt;&gt;"")+(Tasks[[#This Row],[_Res4]]&lt;&gt;""))</f>
        <v>0</v>
      </c>
      <c r="DV89" s="43" t="str">
        <f aca="false">IF(Tasks[[#This Row],[_Res2Text]]="","",IF(Tasks[[#This Row],[_Res2Row]]&gt;0,INDEX(res_Name,Tasks[[#This Row],[_Res2Row]]),TRIM(LEFT(Tasks[[#This Row],[_Res2Text]],FIND("[",Tasks[[#This Row],[_Res2Text]]&amp;"[")-1))))</f>
        <v/>
      </c>
      <c r="DW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3" t="n">
        <f aca="false">IF(OR(NOT(Tasks[[#This Row],[_IsLeaf]]=1),Tasks[[#This Row],[_Res2Row]]=0),0,N(Tasks[[#This Row],[_Days]])*HoursPerDay*IF(Tasks[[#This Row],[_Res2Units]]="",DefaultUnits,Tasks[[#This Row],[_Res2Units]]))</f>
        <v>0</v>
      </c>
      <c r="DY89" s="43" t="n">
        <f aca="false">IF(AND(AND(Tasks[[#This Row],[_IsLeaf]]=1,Tasks[[#This Row],[_LeafTotalWork]]&gt;0),Tasks[[#This Row],[_Res2Work]]&gt;0),Tasks[[#This Row],[_Res2Work]]/(Tasks[[#This Row],[_FinishWorkday]]-Tasks[[#This Row],[_StartWorkday]]+1),0)</f>
        <v>0</v>
      </c>
      <c r="DZ89" s="43" t="n">
        <f aca="false">Tasks[[#This Row],[_Res2WorkPerWD]]*MAX(0,Tasks[[#This Row],[_StartWorkday]]-1)</f>
        <v>0</v>
      </c>
      <c r="EA89" s="43" t="n">
        <f aca="false">Tasks[[#This Row],[_Res2Work]]*Tasks[[#This Row],[_LeafProgress]]</f>
        <v>0</v>
      </c>
      <c r="EB89" s="43" t="str">
        <f aca="false">IF(Tasks[[#This Row],[_Res3Text]]="","",IF(Tasks[[#This Row],[_Res3Row]]&gt;0,INDEX(res_Name,Tasks[[#This Row],[_Res3Row]]),TRIM(LEFT(Tasks[[#This Row],[_Res3Text]],FIND("[",Tasks[[#This Row],[_Res3Text]]&amp;"[")-1))))</f>
        <v/>
      </c>
      <c r="EC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3" t="n">
        <f aca="false">IF(OR(NOT(Tasks[[#This Row],[_IsLeaf]]=1),Tasks[[#This Row],[_Res3Row]]=0),0,N(Tasks[[#This Row],[_Days]])*HoursPerDay*IF(Tasks[[#This Row],[_Res3Units]]="",DefaultUnits,Tasks[[#This Row],[_Res3Units]]))</f>
        <v>0</v>
      </c>
      <c r="EE89" s="43" t="n">
        <f aca="false">IF(AND(AND(Tasks[[#This Row],[_IsLeaf]]=1,Tasks[[#This Row],[_LeafTotalWork]]&gt;0),Tasks[[#This Row],[_Res3Work]]&gt;0),Tasks[[#This Row],[_Res3Work]]/(Tasks[[#This Row],[_FinishWorkday]]-Tasks[[#This Row],[_StartWorkday]]+1),0)</f>
        <v>0</v>
      </c>
      <c r="EF89" s="43" t="n">
        <f aca="false">Tasks[[#This Row],[_Res3WorkPerWD]]*MAX(0,Tasks[[#This Row],[_StartWorkday]]-1)</f>
        <v>0</v>
      </c>
      <c r="EG89" s="43" t="n">
        <f aca="false">Tasks[[#This Row],[_Res3Work]]*Tasks[[#This Row],[_LeafProgress]]</f>
        <v>0</v>
      </c>
      <c r="EH89" s="43" t="str">
        <f aca="false">IF(Tasks[[#This Row],[_Res4Text]]="","",IF(Tasks[[#This Row],[_Res4Row]]&gt;0,INDEX(res_Name,Tasks[[#This Row],[_Res4Row]]),TRIM(LEFT(Tasks[[#This Row],[_Res4Text]],FIND("[",Tasks[[#This Row],[_Res4Text]]&amp;"[")-1))))</f>
        <v/>
      </c>
      <c r="EI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3" t="n">
        <f aca="false">IF(OR(NOT(Tasks[[#This Row],[_IsLeaf]]=1),Tasks[[#This Row],[_Res4Row]]=0),0,N(Tasks[[#This Row],[_Days]])*HoursPerDay*IF(Tasks[[#This Row],[_Res4Units]]="",DefaultUnits,Tasks[[#This Row],[_Res4Units]]))</f>
        <v>0</v>
      </c>
      <c r="EK89" s="43" t="n">
        <f aca="false">IF(AND(AND(Tasks[[#This Row],[_IsLeaf]]=1,Tasks[[#This Row],[_LeafTotalWork]]&gt;0),Tasks[[#This Row],[_Res4Work]]&gt;0),Tasks[[#This Row],[_Res4Work]]/(Tasks[[#This Row],[_FinishWorkday]]-Tasks[[#This Row],[_StartWorkday]]+1),0)</f>
        <v>0</v>
      </c>
      <c r="EL89" s="43" t="n">
        <f aca="false">Tasks[[#This Row],[_Res4WorkPerWD]]*MAX(0,Tasks[[#This Row],[_StartWorkday]]-1)</f>
        <v>0</v>
      </c>
      <c r="EM89" s="43" t="n">
        <f aca="false">Tasks[[#This Row],[_Res4Work]]*Tasks[[#This Row],[_LeafProgress]]</f>
        <v>0</v>
      </c>
      <c r="EN89" s="43" t="n">
        <f aca="false">IF(ISNUMBER(Tasks[[#This Row],[% Complete]]),Tasks[[#This Row],[% Complete]],IF(Tasks[[#This Row],[Stage]]="",0,IFERROR(INDEX(stg_Pct,MATCH(Tasks[[#This Row],[Stage]],stg_Name,0)),0)))</f>
        <v>0</v>
      </c>
      <c r="EO89" s="43" t="n">
        <f aca="false">IF(NOT(Tasks[[#This Row],[_IsLeaf]]=1),0,IF(N(Tasks[[#This Row],[Actual Finish]])&gt;0,1,MIN(1,Tasks[[#This Row],[_Pct]])))</f>
        <v>0</v>
      </c>
      <c r="EP89" s="43" t="n">
        <f aca="false">IF(OR(NOT(Tasks[[#This Row],[_IsLeaf]]=1),Tasks[[#This Row],[_Res1Row]]=0),0,N(Tasks[[#This Row],[_Days]])*HoursPerDay*IF(Tasks[[#This Row],[_Units1]]="",DefaultUnits,Tasks[[#This Row],[_Units1]]))</f>
        <v>0</v>
      </c>
      <c r="EQ89" s="43" t="n">
        <f aca="false">Tasks[[#This Row],[_LeafWork]]+Tasks[[#This Row],[_Res2Work]]+Tasks[[#This Row],[_Res3Work]]+Tasks[[#This Row],[_Res4Work]]</f>
        <v>0</v>
      </c>
      <c r="ER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3" t="n">
        <f aca="false">IF(NOT(Tasks[[#This Row],[_IsLeaf]]=1),0,MAX(_xlfn.MAXIFS(Tasks[_Row],Tasks[_Pred1UID],Tasks[[#This Row],[UID]]),_xlfn.MAXIFS(Tasks[_Row],Tasks[_Pred2UID],Tasks[[#This Row],[UID]]),_xlfn.MAXIFS(Tasks[_Row],Tasks[_Pred3UID],Tasks[[#This Row],[UID]]),_xlfn.MAXIFS(Tasks[_Row],Tasks[_Pred4UID],Tasks[[#This Row],[UID]])))</f>
        <v>0</v>
      </c>
      <c r="FA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91" t="str">
        <f aca="false">IF(NOT(Tasks[[#This Row],[_IsLeaf]]=1),"",IF(N(Tasks[[#This Row],[_Days]])&lt;=0,Tasks[[#This Row],[_LeafLateFinish]],WORKDAY.INTL(Tasks[[#This Row],[_LeafLateFinish]],-(Tasks[[#This Row],[_Days]]-1),WorkWeek,Holidays)))</f>
        <v/>
      </c>
      <c r="FD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9" s="90" t="b">
        <f aca="false">AND(Tasks[[#This Row],[_IsLeaf]]=1,Tasks[[#This Row],[_LeafProgress]]&lt;1,N(Tasks[[#This Row],[_LeafTotalSlack]])&lt;=CriticalSlackDays)</f>
        <v>0</v>
      </c>
      <c r="FF89" s="43" t="n">
        <f aca="false">IF(AND(Tasks[[#This Row],[_IsLeaf]]=1,Tasks[[#This Row],[_ConstraintCode]]=1,Tasks[[#This Row],[Mode]]&lt;&gt;"Manual",N(Tasks[[#This Row],[Actual Start]])=0),MAX(0,N(Tasks[[#This Row],[Free Slack]])),0)</f>
        <v>0</v>
      </c>
      <c r="FG89" s="91" t="str">
        <f aca="false">IF(NOT(Tasks[[#This Row],[_IsLeaf]]=1),"",IF(Tasks[[#This Row],[_AlapShift]]=0,Tasks[[#This Row],[_LeafCalcStart]],WORKDAY.INTL(Tasks[[#This Row],[_LeafCalcStart]],Tasks[[#This Row],[_AlapShift]],WorkWeek,Holidays)))</f>
        <v/>
      </c>
      <c r="FH89" s="91" t="str">
        <f aca="false">IF(NOT(Tasks[[#This Row],[_IsLeaf]]=1),"",IF(Tasks[[#This Row],[_AlapShift]]=0,Tasks[[#This Row],[_LeafCalcFinish]],WORKDAY.INTL(Tasks[[#This Row],[_LeafCalcFinish]],Tasks[[#This Row],[_AlapShift]],WorkWeek,Holidays)))</f>
        <v/>
      </c>
      <c r="FI89" s="91" t="str">
        <f aca="false">IF(NOT(Tasks[[#This Row],[_IsLeaf]]=1),"",IF(Tasks[[#This Row],[_AlapShift]]=0,Tasks[[#This Row],[_LeafFcstStart]],WORKDAY.INTL(Tasks[[#This Row],[_LeafFcstStart]],Tasks[[#This Row],[_AlapShift]],WorkWeek,Holidays)))</f>
        <v/>
      </c>
      <c r="FJ89" s="91" t="str">
        <f aca="false">IF(NOT(Tasks[[#This Row],[_IsLeaf]]=1),"",IF(Tasks[[#This Row],[_AlapShift]]=0,Tasks[[#This Row],[_LeafFcstFinish]],WORKDAY.INTL(Tasks[[#This Row],[_LeafFcstFinish]],Tasks[[#This Row],[_AlapShift]],WorkWeek,Holidays)))</f>
        <v/>
      </c>
      <c r="FK89" s="91" t="str">
        <f aca="false">IF(Tasks[[#This Row],[Task Name]]="","",IF(Tasks[[#This Row],[_IsSummary]],MIN(INDEX(Tasks[_ShownCalcStart],Tasks[[#This Row],[_Row]]+1):INDEX(Tasks[_ShownCalcStart],Tasks[[#This Row],[_Row]]+Tasks[[#This Row],[_Descendants]])),Tasks[[#This Row],[_ShownCalcStart]]))</f>
        <v/>
      </c>
      <c r="FL89" s="91" t="str">
        <f aca="false">IF(Tasks[[#This Row],[Task Name]]="","",IF(Tasks[[#This Row],[_IsSummary]],MAX(INDEX(Tasks[_ShownCalcFinish],Tasks[[#This Row],[_Row]]+1):INDEX(Tasks[_ShownCalcFinish],Tasks[[#This Row],[_Row]]+Tasks[[#This Row],[_Descendants]])),Tasks[[#This Row],[_ShownCalcFinish]]))</f>
        <v/>
      </c>
      <c r="FM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9" s="43" t="n">
        <f aca="false">IF(AND(Tasks[[#This Row],[_IsLeaf]]=1,Tasks[[#This Row],[_LeafTotalWork]]&gt;0),NETWORKDAYS.INTL(ProjectStart,Tasks[[#This Row],[_ShownFcstStart]],WorkWeek,Holidays),0)</f>
        <v>0</v>
      </c>
      <c r="FZ89" s="43" t="n">
        <f aca="false">IF(AND(Tasks[[#This Row],[_IsLeaf]]=1,Tasks[[#This Row],[_LeafTotalWork]]&gt;0),MAX(Tasks[[#This Row],[_StartWorkday]],NETWORKDAYS.INTL(ProjectStart,Tasks[[#This Row],[_ShownFcstFinish]],WorkWeek,Holidays)),0)</f>
        <v>0</v>
      </c>
      <c r="GA89" s="43" t="n">
        <f aca="false">IF(AND(Tasks[[#This Row],[_IsLeaf]]=1,Tasks[[#This Row],[_LeafTotalWork]]&gt;0),Tasks[[#This Row],[_LeafWork]]/(Tasks[[#This Row],[_FinishWorkday]]-Tasks[[#This Row],[_StartWorkday]]+1),0)</f>
        <v>0</v>
      </c>
      <c r="GB89" s="43" t="n">
        <f aca="false">Tasks[[#This Row],[_WorkPerWorkday]]*(Tasks[[#This Row],[_StartWorkday]]-1)</f>
        <v>-0</v>
      </c>
      <c r="GC89" s="43" t="n">
        <f aca="false">IF(Tasks[[#This Row],[_IsLeaf]]=1,MAX(N(Tasks[[#This Row],[_Days]]),0.1),0)</f>
        <v>0</v>
      </c>
      <c r="GD89" s="43" t="n">
        <f aca="false">Tasks[[#This Row],[_WeightDur]]*Tasks[[#This Row],[_LeafProgress]]</f>
        <v>0</v>
      </c>
      <c r="GE89" s="43" t="n">
        <f aca="false">Tasks[[#This Row],[_WeightDur]]*Tasks[[#This Row],[_PlannedPct]]</f>
        <v>0</v>
      </c>
      <c r="GF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3" t="str">
        <f aca="false">IF(AND(Tasks[[#This Row],[_IsLeaf]]=1,N(Tasks[[#This Row],[_Days]])=0,Tasks[[#This Row],[_LeafProgress]]&lt;1),Tasks[[#This Row],[_ShownFcstFinish]]+Tasks[[#This Row],[_Row]]/100000,"")</f>
        <v/>
      </c>
      <c r="GH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9" s="43" t="str">
        <f aca="false">IF(Tasks[[#This Row],[Task Name]]="","",LEFT(Tasks[[#This Row],[WBS]],FIND(".",Tasks[[#This Row],[WBS]]&amp;".")-1))</f>
        <v/>
      </c>
      <c r="GJ89" s="43" t="str">
        <f aca="false">IF(AND(Tasks[[#This Row],[Task Name]]&lt;&gt;"",Tasks[[#This Row],[_Level]]=1),Tasks[[#This Row],[_Row]],"")</f>
        <v/>
      </c>
      <c r="GK89" s="43" t="str">
        <f aca="false">IF(AND(Tasks[[#This Row],[_IsLeaf]]=1,N(Tasks[[#This Row],[_Days]])=0),Tasks[[#This Row],[Planned Finish]]+Tasks[[#This Row],[_Row]]/100000,"")</f>
        <v/>
      </c>
      <c r="GL89" s="43" t="str">
        <f aca="false">IF(AND(Tasks[[#This Row],[_IsLeaf]]=1,Tasks[[#This Row],[_LeafProgress]]&lt;1,OR(N(Tasks[[#This Row],[Finish Var]])&gt;0,Tasks[[#This Row],[Status]]="Late Start")),MAX(0,Tasks[[#This Row],[Finish Var]])+1-Tasks[[#This Row],[_Row]]/1000000,"")</f>
        <v/>
      </c>
      <c r="GM89" s="43" t="str">
        <f aca="false">IF(AND(Tasks[[#This Row],[_IsLeaf]]=1,N(Tasks[[#This Row],[Actual Start]])=0,Tasks[[#This Row],[_ShownFcstStart]]&gt;=StatusDate,Tasks[[#This Row],[_ShownFcstStart]]&lt;=LookaheadEnd),Tasks[[#This Row],[_ShownFcstStart]]+Tasks[[#This Row],[_Row]]/100000,"")</f>
        <v/>
      </c>
      <c r="GN89" s="43" t="str">
        <f aca="false">IF(AND(Tasks[[#This Row],[_IsLeaf]]=1,Tasks[[#This Row],[_LeafProgress]]&lt;1,Tasks[[#This Row],[_ShownFcstFinish]]&gt;=StatusDate,Tasks[[#This Row],[_ShownFcstFinish]]&lt;=LookaheadEnd),Tasks[[#This Row],[_ShownFcstFinish]]+Tasks[[#This Row],[_Row]]/100000,"")</f>
        <v/>
      </c>
      <c r="GO89" s="43" t="str">
        <f aca="false">IF(Tasks[[#This Row],[_LeafCritical]],Tasks[[#This Row],[_ShownFcstStart]]+Tasks[[#This Row],[_Row]]/100000,"")</f>
        <v/>
      </c>
      <c r="GP89" s="43" t="n">
        <f aca="false">Tasks[[#This Row],[_LeafWork]]*Tasks[[#This Row],[_LeafProgress]]</f>
        <v>0</v>
      </c>
      <c r="GQ89" s="91" t="str">
        <f aca="false">IF(AND(Tasks[[#This Row],[_IsLeaf]]=1,Tasks[[#This Row],[_LeafProgress]]&gt;=1),IF(N(Tasks[[#This Row],[Actual Finish]])&gt;0,Tasks[[#This Row],[Actual Finish]],Tasks[[#This Row],[_ShownFcstFinish]]),"")</f>
        <v/>
      </c>
      <c r="GR89" s="43" t="n">
        <f aca="false">IF(Tasks[[#This Row],[_IsLeaf]]=1,N(Tasks[[#This Row],[Story Points]]),0)</f>
        <v>0</v>
      </c>
      <c r="GS89" s="43" t="str">
        <f aca="false">""</f>
        <v/>
      </c>
      <c r="GT89" s="90" t="b">
        <f aca="false">IF(Tasks[[#This Row],[Task Name]]="",FALSE(),AND(Tasks[[#This Row],[_IsLeaf]]=1,N(Tasks[[#This Row],[_Days]])=0))</f>
        <v>0</v>
      </c>
      <c r="GU89" s="91" t="n">
        <f aca="false">IF(Tasks[[#This Row],[Task Name]]="",0,IF(AND(Tasks[[#This Row],[_IsLeaf]]=1,NOT(Tasks[[#This Row],[_IsMilestone]]),N(Tasks[[#This Row],[Progress]])&gt;0),Tasks[[#This Row],[Start]],0))</f>
        <v>0</v>
      </c>
      <c r="GV89" s="91" t="n">
        <f aca="false">IF(Tasks[[#This Row],[_DoneFrom]]=0,0,IF(Tasks[[#This Row],[Progress]]&gt;=1,Tasks[[#This Row],[Finish]],MAX(Tasks[[#This Row],[_DoneFrom]],Tasks[[#This Row],[Start]]+ROUND((Tasks[[#This Row],[Finish]]-Tasks[[#This Row],[Start]]+1)*Tasks[[#This Row],[Progress]],0)-1)))</f>
        <v>0</v>
      </c>
      <c r="GW89" s="91" t="n">
        <f aca="false">IF(Tasks[[#This Row],[Task Name]]="",0,IF(OR(NOT(Tasks[[#This Row],[_IsLeaf]]=1),Tasks[[#This Row],[_IsMilestone]],N(Tasks[[#This Row],[Progress]])&gt;=1),0,IF(Tasks[[#This Row],[_DoneTo]]&gt;0,Tasks[[#This Row],[_DoneTo]]+1,Tasks[[#This Row],[Start]])))</f>
        <v>0</v>
      </c>
      <c r="GX89" s="91" t="n">
        <f aca="false">IF(Tasks[[#This Row],[_RemFrom]]=0,0,Tasks[[#This Row],[Finish]])</f>
        <v>0</v>
      </c>
      <c r="GY89" s="90" t="b">
        <f aca="false">IF(Tasks[[#This Row],[Task Name]]="",FALSE(),OR(NOT(BaselineSet),N(Tasks[[#This Row],[Baseline Start]])&gt;0))</f>
        <v>0</v>
      </c>
      <c r="GZ8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92" t="str">
        <f aca="false">IF(Tasks[[#This Row],[_IsLeaf]]=1,Tasks[[#This Row],[_Row]],"")</f>
        <v/>
      </c>
      <c r="HD89" s="92" t="str">
        <f aca="false">IFERROR(INDEX(Tasks[UID],SMALL(Tasks[_PickKey],Tasks[[#This Row],[_Row]]))&amp;" "&amp;INDEX(Tasks[Task Name],SMALL(Tasks[_PickKey],Tasks[[#This Row],[_Row]])),"")</f>
        <v/>
      </c>
      <c r="HE89" s="43" t="str">
        <f aca="false">IF(Tasks[[#This Row],[Task Name]]="","",IF(Tasks[[#This Row],[_IsSummary]],NETWORKDAYS.INTL(Tasks[[#This Row],[Start]],Tasks[[#This Row],[Finish]],WorkWeek,Holidays),N(Tasks[[#This Row],[_Days]])))</f>
        <v/>
      </c>
      <c r="HF89" s="43" t="n">
        <f aca="false">IF(Tasks[[#This Row],[Expected]]="",0,((Tasks[[#This Row],[Pessimistic]]-Tasks[[#This Row],[Optimistic]])/6)^2)</f>
        <v>0</v>
      </c>
      <c r="HG89" s="43" t="n">
        <f aca="false">IF(Tasks[[#This Row],[Expected]]="",0,Tasks[[#This Row],[Expected]]-N(Tasks[[#This Row],[_Days]]))</f>
        <v>0</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4"/>
      <c r="U90" s="23"/>
      <c r="V90" s="84"/>
      <c r="W90" s="23"/>
      <c r="X90" s="84"/>
      <c r="Y90" s="23"/>
      <c r="Z90" s="84"/>
      <c r="AA90" s="23"/>
      <c r="AB90" s="23"/>
      <c r="AC90" s="7"/>
      <c r="AD90" s="7"/>
      <c r="AE90" s="63" t="str">
        <f aca="false">IF(Tasks[[#This Row],[Task Name]]="","",IF(Tasks[[#This Row],[_IsSummary]],MIN(INDEX(Tasks[_ShownFcstStart],Tasks[[#This Row],[_Row]]+1):INDEX(Tasks[_ShownFcstStart],Tasks[[#This Row],[_Row]]+Tasks[[#This Row],[_Descendants]])),Tasks[[#This Row],[_ShownFcstStart]]))</f>
        <v/>
      </c>
      <c r="AF90" s="63"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0" s="7"/>
      <c r="AK90" s="22"/>
      <c r="AL90" s="23"/>
      <c r="AM90" s="7"/>
      <c r="AN90" s="47"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3" t="str">
        <f aca="false">IF(Tasks[[#This Row],[Task Name]]="","",IF(N(Tasks[[#This Row],[Baseline Start]])&gt;0,Tasks[[#This Row],[Baseline Start]],Tasks[[#This Row],[_CalcStart]]))</f>
        <v/>
      </c>
      <c r="AR90" s="63" t="str">
        <f aca="false">IF(Tasks[[#This Row],[Task Name]]="","",IF(N(Tasks[[#This Row],[Baseline Finish]])&gt;0,Tasks[[#This Row],[Baseline Finish]],Tasks[[#This Row],[_CalcFinish]]))</f>
        <v/>
      </c>
      <c r="AS90" s="47" t="str">
        <f aca="false">IF(Tasks[[#This Row],[Task Name]]="","",IF(Tasks[[#This Row],[Start]]&gt;=Tasks[[#This Row],[Planned Start]],NETWORKDAYS.INTL(Tasks[[#This Row],[Planned Start]],Tasks[[#This Row],[Start]],WorkWeek,Holidays)-1,1-NETWORKDAYS.INTL(Tasks[[#This Row],[Start]],Tasks[[#This Row],[Planned Start]],WorkWeek,Holidays)))</f>
        <v/>
      </c>
      <c r="AT90" s="63" t="str">
        <f aca="false">IF(Tasks[[#This Row],[Task Name]]="","",IF(Tasks[[#This Row],[_IsSummary]],MIN(INDEX(Tasks[_LeafLateStart],Tasks[[#This Row],[_Row]]+1):INDEX(Tasks[_LeafLateStart],Tasks[[#This Row],[_Row]]+Tasks[[#This Row],[_Descendants]])),Tasks[[#This Row],[_LeafLateStart]]))</f>
        <v/>
      </c>
      <c r="AU90" s="63" t="str">
        <f aca="false">IF(Tasks[[#This Row],[Task Name]]="","",IF(Tasks[[#This Row],[_IsSummary]],MAX(INDEX(Tasks[_LeafLateFinish],Tasks[[#This Row],[_Row]]+1):INDEX(Tasks[_LeafLateFinish],Tasks[[#This Row],[_Row]]+Tasks[[#This Row],[_Descendants]])),Tasks[[#This Row],[_LeafLateFinish]]))</f>
        <v/>
      </c>
      <c r="AV90" s="47"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5"/>
      <c r="BA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6"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7"/>
      <c r="BJ90" s="22"/>
      <c r="BK90" s="47" t="str">
        <f aca="false">IF(OR(Tasks[[#This Row],[Task Name]]="",Tasks[[#This Row],[Baseline Duration]]=""),"",Tasks[[#This Row],[_SpanDays]]-N(Tasks[[#This Row],[Baseline Duration]]))</f>
        <v/>
      </c>
      <c r="BL90" s="86" t="str">
        <f aca="false">IF(OR(Tasks[[#This Row],[Task Name]]="",Tasks[[#This Row],[Baseline Work]]=""),"",Tasks[[#This Row],[Work]]-N(Tasks[[#This Row],[Baseline Work]]))</f>
        <v/>
      </c>
      <c r="BM90" s="63" t="str">
        <f aca="false">IF(Tasks[[#This Row],[Task Name]]="","",IF(OR(TakeBaseline="Yes",N(Tasks[[#This Row],[Baseline Start]])=0),Tasks[[#This Row],[Start]],Tasks[[#This Row],[Baseline Start]]))</f>
        <v/>
      </c>
      <c r="BN90" s="63" t="str">
        <f aca="false">IF(Tasks[[#This Row],[Task Name]]="","",IF(OR(TakeBaseline="Yes",N(Tasks[[#This Row],[Baseline Finish]])=0),Tasks[[#This Row],[Finish]],Tasks[[#This Row],[Baseline Finish]]))</f>
        <v/>
      </c>
      <c r="BO90" s="21" t="str">
        <f aca="false">IF(Tasks[[#This Row],[Task Name]]="","",IF(OR(TakeBaseline="Yes",N(Tasks[[#This Row],[Baseline Duration]])=0),Tasks[[#This Row],[_SpanDays]],Tasks[[#This Row],[Baseline Duration]]))</f>
        <v/>
      </c>
      <c r="BP90" s="86" t="str">
        <f aca="false">IF(Tasks[[#This Row],[Task Name]]="","",IF(OR(TakeBaseline="Yes",N(Tasks[[#This Row],[Baseline Work]])=0),Tasks[[#This Row],[Work]],Tasks[[#This Row],[Baseline Work]]))</f>
        <v/>
      </c>
      <c r="BQ90" s="7"/>
      <c r="BR90" s="7"/>
      <c r="BS90" s="22"/>
      <c r="BT90" s="88"/>
      <c r="BU90" s="23"/>
      <c r="BV90" s="23"/>
      <c r="BW90" s="23"/>
      <c r="BX90" s="89" t="str">
        <f aca="false">IF(AND(Tasks[[#This Row],[_IsLeaf]]=1,ISNUMBER(Tasks[[#This Row],[Optimistic]]),ISNUMBER(Tasks[[#This Row],[Pessimistic]])),ROUND((Tasks[[#This Row],[Optimistic]]+4*N(Tasks[[#This Row],[_Days]])+Tasks[[#This Row],[Pessimistic]])/6,1),"")</f>
        <v/>
      </c>
      <c r="BY90" s="87"/>
      <c r="BZ90" s="87"/>
      <c r="CA90" s="22"/>
      <c r="CB90" s="43" t="str">
        <f aca="false">IF(Tasks[[#This Row],[Task Name]]="","",MAX(1,N(Tasks[[#This Row],[Level]])))</f>
        <v/>
      </c>
      <c r="CC90" s="43" t="n">
        <f aca="false">ROW()-ROW(Tasks[[#Headers],[ID]])</f>
        <v>85</v>
      </c>
      <c r="CD90" s="43" t="n">
        <f aca="false">IF(OR(Tasks[[#This Row],[Task Name]]="",Tasks[[#This Row],[_Level]]&lt;=1),0,IFERROR(LOOKUP(2,1/(Tasks[[#Headers],[_Level]]:Tasks[[#This Row],[_Level]]=Tasks[[#This Row],[_Level]]-1),ROW(Tasks[[#Headers],[_Level]]:Tasks[[#This Row],[_Level]])),0))</f>
        <v>0</v>
      </c>
      <c r="CE90" s="43" t="n">
        <f aca="false">IFERROR(N(INDEX(Tasks[_Level],Tasks[[#This Row],[_Row]]+1)),0)</f>
        <v>0</v>
      </c>
      <c r="CF90" s="90" t="b">
        <f aca="false">AND(Tasks[[#This Row],[Task Name]]&lt;&gt;"",Tasks[[#This Row],[_NextLevel]]&gt;Tasks[[#This Row],[_Level]])</f>
        <v>0</v>
      </c>
      <c r="CG90" s="43" t="n">
        <f aca="false">IF(Tasks[[#This Row],[_IsSummary]],COUNTIF(Tasks[WBS],Tasks[[#This Row],[WBS]]&amp;".*"),0)</f>
        <v>0</v>
      </c>
      <c r="CH90" s="43" t="n">
        <f aca="false">IF(AND(Tasks[[#This Row],[Task Name]]&lt;&gt;"",NOT(Tasks[[#This Row],[_IsSummary]])),1,0)</f>
        <v>0</v>
      </c>
      <c r="CI90" s="43" t="n">
        <f aca="false">IF(N(Tasks[[#This Row],[_Pred1UID]])=0,0,IFERROR(MATCH(Tasks[[#This Row],[_Pred1UID]],Tasks[UID],0),-1))</f>
        <v>0</v>
      </c>
      <c r="CJ90" s="43" t="n">
        <f aca="false">IF(N(Tasks[[#This Row],[_Pred2UID]])=0,0,IFERROR(MATCH(Tasks[[#This Row],[_Pred2UID]],Tasks[UID],0),-1))</f>
        <v>0</v>
      </c>
      <c r="CK90" s="43" t="n">
        <f aca="false">IF(N(Tasks[[#This Row],[_Pred3UID]])=0,0,IFERROR(MATCH(Tasks[[#This Row],[_Pred3UID]],Tasks[UID],0),-1))</f>
        <v>0</v>
      </c>
      <c r="CL90" s="43" t="n">
        <f aca="false">IF(N(Tasks[[#This Row],[_Pred4UID]])=0,0,IFERROR(MATCH(Tasks[[#This Row],[_Pred4UID]],Tasks[UID],0),-1))</f>
        <v>0</v>
      </c>
      <c r="CM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0" s="91" t="n">
        <f aca="false">IF(OR(Tasks[[#This Row],[_ConstraintCode]]=2,Tasks[[#This Row],[_ConstraintCode]]=3,Tasks[[#This Row],[_ConstraintCode]]=4,Tasks[[#This Row],[_ConstraintCode]]=6),Tasks[[#This Row],[_ConstraintStart]],0)</f>
        <v>0</v>
      </c>
      <c r="CP90" s="91" t="n">
        <f aca="false">IF(OR(Tasks[[#This Row],[_ConstraintCode]]=2,Tasks[[#This Row],[_ConstraintCode]]=3,Tasks[[#This Row],[_ConstraintCode]]=5,Tasks[[#This Row],[_ConstraintCode]]=7),Tasks[[#This Row],[_ConstraintStart]],2958465)</f>
        <v>2958465</v>
      </c>
      <c r="CQ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91" t="str">
        <f aca="false">IF(NOT(Tasks[[#This Row],[_IsLeaf]]=1),"",IF(N(Tasks[[#This Row],[_Days]])&lt;=0,Tasks[[#This Row],[_LeafCalcStart]],WORKDAY.INTL(Tasks[[#This Row],[_LeafCalcStart]],Tasks[[#This Row],[_Days]]-1,WorkWeek,Holidays)))</f>
        <v/>
      </c>
      <c r="CS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3" t="str">
        <f aca="false">IF(Tasks[[#This Row],[_Predecessors]]="","",TRIM(MID(SUBSTITUTE(SUBSTITUTE(SUBSTITUTE(UPPER(Tasks[[#This Row],[_Predecessors]]),";",",")," ",""),",",REPT(" ",99)),1,99)))</f>
        <v/>
      </c>
      <c r="CV90" s="43" t="str">
        <f aca="false">IF(Tasks[[#This Row],[_Pred1Text]]="","",IFERROR(VALUE(LEFT(Tasks[[#This Row],[_Pred1Text]],MIN(FIND("F",Tasks[[#This Row],[_Pred1Text]]&amp;"F"),FIND("S",Tasks[[#This Row],[_Pred1Text]]&amp;"S"),FIND("+",Tasks[[#This Row],[_Pred1Text]]&amp;"+"),FIND("-",Tasks[[#This Row],[_Pred1Text]]&amp;"-"))-1)),""))</f>
        <v/>
      </c>
      <c r="CW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3" t="str">
        <f aca="false">IF(Tasks[[#This Row],[_Pred1Text]]="","",TRIM(MID(SUBSTITUTE(SUBSTITUTE(SUBSTITUTE(UPPER(Tasks[[#This Row],[_Predecessors]]),";",",")," ",""),",",REPT(" ",99)),100,99)))</f>
        <v/>
      </c>
      <c r="CZ90" s="43" t="str">
        <f aca="false">IF(Tasks[[#This Row],[_Pred2Text]]="","",IFERROR(VALUE(LEFT(Tasks[[#This Row],[_Pred2Text]],MIN(FIND("F",Tasks[[#This Row],[_Pred2Text]]&amp;"F"),FIND("S",Tasks[[#This Row],[_Pred2Text]]&amp;"S"),FIND("+",Tasks[[#This Row],[_Pred2Text]]&amp;"+"),FIND("-",Tasks[[#This Row],[_Pred2Text]]&amp;"-"))-1)),""))</f>
        <v/>
      </c>
      <c r="DA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3" t="str">
        <f aca="false">IF(Tasks[[#This Row],[_Pred2Text]]="","",TRIM(MID(SUBSTITUTE(SUBSTITUTE(SUBSTITUTE(UPPER(Tasks[[#This Row],[_Predecessors]]),";",",")," ",""),",",REPT(" ",99)),199,99)))</f>
        <v/>
      </c>
      <c r="DD90" s="43" t="str">
        <f aca="false">IF(Tasks[[#This Row],[_Pred3Text]]="","",IFERROR(VALUE(LEFT(Tasks[[#This Row],[_Pred3Text]],MIN(FIND("F",Tasks[[#This Row],[_Pred3Text]]&amp;"F"),FIND("S",Tasks[[#This Row],[_Pred3Text]]&amp;"S"),FIND("+",Tasks[[#This Row],[_Pred3Text]]&amp;"+"),FIND("-",Tasks[[#This Row],[_Pred3Text]]&amp;"-"))-1)),""))</f>
        <v/>
      </c>
      <c r="DE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3" t="str">
        <f aca="false">IF(Tasks[[#This Row],[_Pred3Text]]="","",TRIM(MID(SUBSTITUTE(SUBSTITUTE(SUBSTITUTE(UPPER(Tasks[[#This Row],[_Predecessors]]),";",",")," ",""),",",REPT(" ",99)),298,99)))</f>
        <v/>
      </c>
      <c r="DH90" s="43" t="str">
        <f aca="false">IF(Tasks[[#This Row],[_Pred4Text]]="","",IFERROR(VALUE(LEFT(Tasks[[#This Row],[_Pred4Text]],MIN(FIND("F",Tasks[[#This Row],[_Pred4Text]]&amp;"F"),FIND("S",Tasks[[#This Row],[_Pred4Text]]&amp;"S"),FIND("+",Tasks[[#This Row],[_Pred4Text]]&amp;"+"),FIND("-",Tasks[[#This Row],[_Pred4Text]]&amp;"-"))-1)),""))</f>
        <v/>
      </c>
      <c r="DI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3" t="str">
        <f aca="false">IF(OR(Tasks[[#This Row],[Task Name]]="",Tasks[[#This Row],[_Resources]]=""),"",TRIM(MID(SUBSTITUTE(Tasks[[#This Row],[_Resources]],",",REPT(" ",99)),1,99)))</f>
        <v/>
      </c>
      <c r="DL90" s="43" t="str">
        <f aca="false">IF(Tasks[[#This Row],[_Res1Text]]="","",TRIM(MID(SUBSTITUTE(Tasks[[#This Row],[_Resources]],",",REPT(" ",99)),100,99)))</f>
        <v/>
      </c>
      <c r="DM90" s="43" t="str">
        <f aca="false">IF(Tasks[[#This Row],[_Res2Text]]="","",TRIM(MID(SUBSTITUTE(Tasks[[#This Row],[_Resources]],",",REPT(" ",99)),199,99)))</f>
        <v/>
      </c>
      <c r="DN90" s="43" t="str">
        <f aca="false">IF(Tasks[[#This Row],[_Res3Text]]="","",TRIM(MID(SUBSTITUTE(Tasks[[#This Row],[_Resources]],",",REPT(" ",99)),298,99)))</f>
        <v/>
      </c>
      <c r="DO90" s="43" t="n">
        <f aca="false">IF(Tasks[[#This Row],[_Res1Text]]="",0,IFERROR(MATCH(TRIM(LEFT(Tasks[[#This Row],[_Res1Text]],FIND("[",Tasks[[#This Row],[_Res1Text]]&amp;"[")-1)),res_Name,0),IFERROR(MATCH(TRIM(LEFT(Tasks[[#This Row],[_Res1Text]],FIND("[",Tasks[[#This Row],[_Res1Text]]&amp;"[")-1)),res_Initials,0),0)))</f>
        <v>0</v>
      </c>
      <c r="DP90" s="43" t="n">
        <f aca="false">IF(Tasks[[#This Row],[_Res2Text]]="",0,IFERROR(MATCH(TRIM(LEFT(Tasks[[#This Row],[_Res2Text]],FIND("[",Tasks[[#This Row],[_Res2Text]]&amp;"[")-1)),res_Name,0),IFERROR(MATCH(TRIM(LEFT(Tasks[[#This Row],[_Res2Text]],FIND("[",Tasks[[#This Row],[_Res2Text]]&amp;"[")-1)),res_Initials,0),0)))</f>
        <v>0</v>
      </c>
      <c r="DQ90" s="43" t="n">
        <f aca="false">IF(Tasks[[#This Row],[_Res3Text]]="",0,IFERROR(MATCH(TRIM(LEFT(Tasks[[#This Row],[_Res3Text]],FIND("[",Tasks[[#This Row],[_Res3Text]]&amp;"[")-1)),res_Name,0),IFERROR(MATCH(TRIM(LEFT(Tasks[[#This Row],[_Res3Text]],FIND("[",Tasks[[#This Row],[_Res3Text]]&amp;"[")-1)),res_Initials,0),0)))</f>
        <v>0</v>
      </c>
      <c r="DR90" s="43" t="n">
        <f aca="false">IF(Tasks[[#This Row],[_Res4Text]]="",0,IFERROR(MATCH(TRIM(LEFT(Tasks[[#This Row],[_Res4Text]],FIND("[",Tasks[[#This Row],[_Res4Text]]&amp;"[")-1)),res_Name,0),IFERROR(MATCH(TRIM(LEFT(Tasks[[#This Row],[_Res4Text]],FIND("[",Tasks[[#This Row],[_Res4Text]]&amp;"[")-1)),res_Initials,0),0)))</f>
        <v>0</v>
      </c>
      <c r="DS90" s="43" t="str">
        <f aca="false">IF(Tasks[[#This Row],[_Res1Text]]="","",IF(Tasks[[#This Row],[_Res1Row]]&gt;0,INDEX(res_Name,Tasks[[#This Row],[_Res1Row]]),TRIM(LEFT(Tasks[[#This Row],[_Res1Text]],FIND("[",Tasks[[#This Row],[_Res1Text]]&amp;"[")-1))))</f>
        <v/>
      </c>
      <c r="DT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3" t="n">
        <f aca="false">IF(NOT(Tasks[[#This Row],[_IsLeaf]]=1),0,(Tasks[[#This Row],[_Resource1]]&lt;&gt;"")+(Tasks[[#This Row],[_Res2]]&lt;&gt;"")+(Tasks[[#This Row],[_Res3]]&lt;&gt;"")+(Tasks[[#This Row],[_Res4]]&lt;&gt;""))</f>
        <v>0</v>
      </c>
      <c r="DV90" s="43" t="str">
        <f aca="false">IF(Tasks[[#This Row],[_Res2Text]]="","",IF(Tasks[[#This Row],[_Res2Row]]&gt;0,INDEX(res_Name,Tasks[[#This Row],[_Res2Row]]),TRIM(LEFT(Tasks[[#This Row],[_Res2Text]],FIND("[",Tasks[[#This Row],[_Res2Text]]&amp;"[")-1))))</f>
        <v/>
      </c>
      <c r="DW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3" t="n">
        <f aca="false">IF(OR(NOT(Tasks[[#This Row],[_IsLeaf]]=1),Tasks[[#This Row],[_Res2Row]]=0),0,N(Tasks[[#This Row],[_Days]])*HoursPerDay*IF(Tasks[[#This Row],[_Res2Units]]="",DefaultUnits,Tasks[[#This Row],[_Res2Units]]))</f>
        <v>0</v>
      </c>
      <c r="DY90" s="43" t="n">
        <f aca="false">IF(AND(AND(Tasks[[#This Row],[_IsLeaf]]=1,Tasks[[#This Row],[_LeafTotalWork]]&gt;0),Tasks[[#This Row],[_Res2Work]]&gt;0),Tasks[[#This Row],[_Res2Work]]/(Tasks[[#This Row],[_FinishWorkday]]-Tasks[[#This Row],[_StartWorkday]]+1),0)</f>
        <v>0</v>
      </c>
      <c r="DZ90" s="43" t="n">
        <f aca="false">Tasks[[#This Row],[_Res2WorkPerWD]]*MAX(0,Tasks[[#This Row],[_StartWorkday]]-1)</f>
        <v>0</v>
      </c>
      <c r="EA90" s="43" t="n">
        <f aca="false">Tasks[[#This Row],[_Res2Work]]*Tasks[[#This Row],[_LeafProgress]]</f>
        <v>0</v>
      </c>
      <c r="EB90" s="43" t="str">
        <f aca="false">IF(Tasks[[#This Row],[_Res3Text]]="","",IF(Tasks[[#This Row],[_Res3Row]]&gt;0,INDEX(res_Name,Tasks[[#This Row],[_Res3Row]]),TRIM(LEFT(Tasks[[#This Row],[_Res3Text]],FIND("[",Tasks[[#This Row],[_Res3Text]]&amp;"[")-1))))</f>
        <v/>
      </c>
      <c r="EC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3" t="n">
        <f aca="false">IF(OR(NOT(Tasks[[#This Row],[_IsLeaf]]=1),Tasks[[#This Row],[_Res3Row]]=0),0,N(Tasks[[#This Row],[_Days]])*HoursPerDay*IF(Tasks[[#This Row],[_Res3Units]]="",DefaultUnits,Tasks[[#This Row],[_Res3Units]]))</f>
        <v>0</v>
      </c>
      <c r="EE90" s="43" t="n">
        <f aca="false">IF(AND(AND(Tasks[[#This Row],[_IsLeaf]]=1,Tasks[[#This Row],[_LeafTotalWork]]&gt;0),Tasks[[#This Row],[_Res3Work]]&gt;0),Tasks[[#This Row],[_Res3Work]]/(Tasks[[#This Row],[_FinishWorkday]]-Tasks[[#This Row],[_StartWorkday]]+1),0)</f>
        <v>0</v>
      </c>
      <c r="EF90" s="43" t="n">
        <f aca="false">Tasks[[#This Row],[_Res3WorkPerWD]]*MAX(0,Tasks[[#This Row],[_StartWorkday]]-1)</f>
        <v>0</v>
      </c>
      <c r="EG90" s="43" t="n">
        <f aca="false">Tasks[[#This Row],[_Res3Work]]*Tasks[[#This Row],[_LeafProgress]]</f>
        <v>0</v>
      </c>
      <c r="EH90" s="43" t="str">
        <f aca="false">IF(Tasks[[#This Row],[_Res4Text]]="","",IF(Tasks[[#This Row],[_Res4Row]]&gt;0,INDEX(res_Name,Tasks[[#This Row],[_Res4Row]]),TRIM(LEFT(Tasks[[#This Row],[_Res4Text]],FIND("[",Tasks[[#This Row],[_Res4Text]]&amp;"[")-1))))</f>
        <v/>
      </c>
      <c r="EI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3" t="n">
        <f aca="false">IF(OR(NOT(Tasks[[#This Row],[_IsLeaf]]=1),Tasks[[#This Row],[_Res4Row]]=0),0,N(Tasks[[#This Row],[_Days]])*HoursPerDay*IF(Tasks[[#This Row],[_Res4Units]]="",DefaultUnits,Tasks[[#This Row],[_Res4Units]]))</f>
        <v>0</v>
      </c>
      <c r="EK90" s="43" t="n">
        <f aca="false">IF(AND(AND(Tasks[[#This Row],[_IsLeaf]]=1,Tasks[[#This Row],[_LeafTotalWork]]&gt;0),Tasks[[#This Row],[_Res4Work]]&gt;0),Tasks[[#This Row],[_Res4Work]]/(Tasks[[#This Row],[_FinishWorkday]]-Tasks[[#This Row],[_StartWorkday]]+1),0)</f>
        <v>0</v>
      </c>
      <c r="EL90" s="43" t="n">
        <f aca="false">Tasks[[#This Row],[_Res4WorkPerWD]]*MAX(0,Tasks[[#This Row],[_StartWorkday]]-1)</f>
        <v>0</v>
      </c>
      <c r="EM90" s="43" t="n">
        <f aca="false">Tasks[[#This Row],[_Res4Work]]*Tasks[[#This Row],[_LeafProgress]]</f>
        <v>0</v>
      </c>
      <c r="EN90" s="43" t="n">
        <f aca="false">IF(ISNUMBER(Tasks[[#This Row],[% Complete]]),Tasks[[#This Row],[% Complete]],IF(Tasks[[#This Row],[Stage]]="",0,IFERROR(INDEX(stg_Pct,MATCH(Tasks[[#This Row],[Stage]],stg_Name,0)),0)))</f>
        <v>0</v>
      </c>
      <c r="EO90" s="43" t="n">
        <f aca="false">IF(NOT(Tasks[[#This Row],[_IsLeaf]]=1),0,IF(N(Tasks[[#This Row],[Actual Finish]])&gt;0,1,MIN(1,Tasks[[#This Row],[_Pct]])))</f>
        <v>0</v>
      </c>
      <c r="EP90" s="43" t="n">
        <f aca="false">IF(OR(NOT(Tasks[[#This Row],[_IsLeaf]]=1),Tasks[[#This Row],[_Res1Row]]=0),0,N(Tasks[[#This Row],[_Days]])*HoursPerDay*IF(Tasks[[#This Row],[_Units1]]="",DefaultUnits,Tasks[[#This Row],[_Units1]]))</f>
        <v>0</v>
      </c>
      <c r="EQ90" s="43" t="n">
        <f aca="false">Tasks[[#This Row],[_LeafWork]]+Tasks[[#This Row],[_Res2Work]]+Tasks[[#This Row],[_Res3Work]]+Tasks[[#This Row],[_Res4Work]]</f>
        <v>0</v>
      </c>
      <c r="ER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3" t="n">
        <f aca="false">IF(NOT(Tasks[[#This Row],[_IsLeaf]]=1),0,MAX(_xlfn.MAXIFS(Tasks[_Row],Tasks[_Pred1UID],Tasks[[#This Row],[UID]]),_xlfn.MAXIFS(Tasks[_Row],Tasks[_Pred2UID],Tasks[[#This Row],[UID]]),_xlfn.MAXIFS(Tasks[_Row],Tasks[_Pred3UID],Tasks[[#This Row],[UID]]),_xlfn.MAXIFS(Tasks[_Row],Tasks[_Pred4UID],Tasks[[#This Row],[UID]])))</f>
        <v>0</v>
      </c>
      <c r="FA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91" t="str">
        <f aca="false">IF(NOT(Tasks[[#This Row],[_IsLeaf]]=1),"",IF(N(Tasks[[#This Row],[_Days]])&lt;=0,Tasks[[#This Row],[_LeafLateFinish]],WORKDAY.INTL(Tasks[[#This Row],[_LeafLateFinish]],-(Tasks[[#This Row],[_Days]]-1),WorkWeek,Holidays)))</f>
        <v/>
      </c>
      <c r="FD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0" s="90" t="b">
        <f aca="false">AND(Tasks[[#This Row],[_IsLeaf]]=1,Tasks[[#This Row],[_LeafProgress]]&lt;1,N(Tasks[[#This Row],[_LeafTotalSlack]])&lt;=CriticalSlackDays)</f>
        <v>0</v>
      </c>
      <c r="FF90" s="43" t="n">
        <f aca="false">IF(AND(Tasks[[#This Row],[_IsLeaf]]=1,Tasks[[#This Row],[_ConstraintCode]]=1,Tasks[[#This Row],[Mode]]&lt;&gt;"Manual",N(Tasks[[#This Row],[Actual Start]])=0),MAX(0,N(Tasks[[#This Row],[Free Slack]])),0)</f>
        <v>0</v>
      </c>
      <c r="FG90" s="91" t="str">
        <f aca="false">IF(NOT(Tasks[[#This Row],[_IsLeaf]]=1),"",IF(Tasks[[#This Row],[_AlapShift]]=0,Tasks[[#This Row],[_LeafCalcStart]],WORKDAY.INTL(Tasks[[#This Row],[_LeafCalcStart]],Tasks[[#This Row],[_AlapShift]],WorkWeek,Holidays)))</f>
        <v/>
      </c>
      <c r="FH90" s="91" t="str">
        <f aca="false">IF(NOT(Tasks[[#This Row],[_IsLeaf]]=1),"",IF(Tasks[[#This Row],[_AlapShift]]=0,Tasks[[#This Row],[_LeafCalcFinish]],WORKDAY.INTL(Tasks[[#This Row],[_LeafCalcFinish]],Tasks[[#This Row],[_AlapShift]],WorkWeek,Holidays)))</f>
        <v/>
      </c>
      <c r="FI90" s="91" t="str">
        <f aca="false">IF(NOT(Tasks[[#This Row],[_IsLeaf]]=1),"",IF(Tasks[[#This Row],[_AlapShift]]=0,Tasks[[#This Row],[_LeafFcstStart]],WORKDAY.INTL(Tasks[[#This Row],[_LeafFcstStart]],Tasks[[#This Row],[_AlapShift]],WorkWeek,Holidays)))</f>
        <v/>
      </c>
      <c r="FJ90" s="91" t="str">
        <f aca="false">IF(NOT(Tasks[[#This Row],[_IsLeaf]]=1),"",IF(Tasks[[#This Row],[_AlapShift]]=0,Tasks[[#This Row],[_LeafFcstFinish]],WORKDAY.INTL(Tasks[[#This Row],[_LeafFcstFinish]],Tasks[[#This Row],[_AlapShift]],WorkWeek,Holidays)))</f>
        <v/>
      </c>
      <c r="FK90" s="91" t="str">
        <f aca="false">IF(Tasks[[#This Row],[Task Name]]="","",IF(Tasks[[#This Row],[_IsSummary]],MIN(INDEX(Tasks[_ShownCalcStart],Tasks[[#This Row],[_Row]]+1):INDEX(Tasks[_ShownCalcStart],Tasks[[#This Row],[_Row]]+Tasks[[#This Row],[_Descendants]])),Tasks[[#This Row],[_ShownCalcStart]]))</f>
        <v/>
      </c>
      <c r="FL90" s="91" t="str">
        <f aca="false">IF(Tasks[[#This Row],[Task Name]]="","",IF(Tasks[[#This Row],[_IsSummary]],MAX(INDEX(Tasks[_ShownCalcFinish],Tasks[[#This Row],[_Row]]+1):INDEX(Tasks[_ShownCalcFinish],Tasks[[#This Row],[_Row]]+Tasks[[#This Row],[_Descendants]])),Tasks[[#This Row],[_ShownCalcFinish]]))</f>
        <v/>
      </c>
      <c r="FM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0" s="43" t="n">
        <f aca="false">IF(AND(Tasks[[#This Row],[_IsLeaf]]=1,Tasks[[#This Row],[_LeafTotalWork]]&gt;0),NETWORKDAYS.INTL(ProjectStart,Tasks[[#This Row],[_ShownFcstStart]],WorkWeek,Holidays),0)</f>
        <v>0</v>
      </c>
      <c r="FZ90" s="43" t="n">
        <f aca="false">IF(AND(Tasks[[#This Row],[_IsLeaf]]=1,Tasks[[#This Row],[_LeafTotalWork]]&gt;0),MAX(Tasks[[#This Row],[_StartWorkday]],NETWORKDAYS.INTL(ProjectStart,Tasks[[#This Row],[_ShownFcstFinish]],WorkWeek,Holidays)),0)</f>
        <v>0</v>
      </c>
      <c r="GA90" s="43" t="n">
        <f aca="false">IF(AND(Tasks[[#This Row],[_IsLeaf]]=1,Tasks[[#This Row],[_LeafTotalWork]]&gt;0),Tasks[[#This Row],[_LeafWork]]/(Tasks[[#This Row],[_FinishWorkday]]-Tasks[[#This Row],[_StartWorkday]]+1),0)</f>
        <v>0</v>
      </c>
      <c r="GB90" s="43" t="n">
        <f aca="false">Tasks[[#This Row],[_WorkPerWorkday]]*(Tasks[[#This Row],[_StartWorkday]]-1)</f>
        <v>-0</v>
      </c>
      <c r="GC90" s="43" t="n">
        <f aca="false">IF(Tasks[[#This Row],[_IsLeaf]]=1,MAX(N(Tasks[[#This Row],[_Days]]),0.1),0)</f>
        <v>0</v>
      </c>
      <c r="GD90" s="43" t="n">
        <f aca="false">Tasks[[#This Row],[_WeightDur]]*Tasks[[#This Row],[_LeafProgress]]</f>
        <v>0</v>
      </c>
      <c r="GE90" s="43" t="n">
        <f aca="false">Tasks[[#This Row],[_WeightDur]]*Tasks[[#This Row],[_PlannedPct]]</f>
        <v>0</v>
      </c>
      <c r="GF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3" t="str">
        <f aca="false">IF(AND(Tasks[[#This Row],[_IsLeaf]]=1,N(Tasks[[#This Row],[_Days]])=0,Tasks[[#This Row],[_LeafProgress]]&lt;1),Tasks[[#This Row],[_ShownFcstFinish]]+Tasks[[#This Row],[_Row]]/100000,"")</f>
        <v/>
      </c>
      <c r="GH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0" s="43" t="str">
        <f aca="false">IF(Tasks[[#This Row],[Task Name]]="","",LEFT(Tasks[[#This Row],[WBS]],FIND(".",Tasks[[#This Row],[WBS]]&amp;".")-1))</f>
        <v/>
      </c>
      <c r="GJ90" s="43" t="str">
        <f aca="false">IF(AND(Tasks[[#This Row],[Task Name]]&lt;&gt;"",Tasks[[#This Row],[_Level]]=1),Tasks[[#This Row],[_Row]],"")</f>
        <v/>
      </c>
      <c r="GK90" s="43" t="str">
        <f aca="false">IF(AND(Tasks[[#This Row],[_IsLeaf]]=1,N(Tasks[[#This Row],[_Days]])=0),Tasks[[#This Row],[Planned Finish]]+Tasks[[#This Row],[_Row]]/100000,"")</f>
        <v/>
      </c>
      <c r="GL90" s="43" t="str">
        <f aca="false">IF(AND(Tasks[[#This Row],[_IsLeaf]]=1,Tasks[[#This Row],[_LeafProgress]]&lt;1,OR(N(Tasks[[#This Row],[Finish Var]])&gt;0,Tasks[[#This Row],[Status]]="Late Start")),MAX(0,Tasks[[#This Row],[Finish Var]])+1-Tasks[[#This Row],[_Row]]/1000000,"")</f>
        <v/>
      </c>
      <c r="GM90" s="43" t="str">
        <f aca="false">IF(AND(Tasks[[#This Row],[_IsLeaf]]=1,N(Tasks[[#This Row],[Actual Start]])=0,Tasks[[#This Row],[_ShownFcstStart]]&gt;=StatusDate,Tasks[[#This Row],[_ShownFcstStart]]&lt;=LookaheadEnd),Tasks[[#This Row],[_ShownFcstStart]]+Tasks[[#This Row],[_Row]]/100000,"")</f>
        <v/>
      </c>
      <c r="GN90" s="43" t="str">
        <f aca="false">IF(AND(Tasks[[#This Row],[_IsLeaf]]=1,Tasks[[#This Row],[_LeafProgress]]&lt;1,Tasks[[#This Row],[_ShownFcstFinish]]&gt;=StatusDate,Tasks[[#This Row],[_ShownFcstFinish]]&lt;=LookaheadEnd),Tasks[[#This Row],[_ShownFcstFinish]]+Tasks[[#This Row],[_Row]]/100000,"")</f>
        <v/>
      </c>
      <c r="GO90" s="43" t="str">
        <f aca="false">IF(Tasks[[#This Row],[_LeafCritical]],Tasks[[#This Row],[_ShownFcstStart]]+Tasks[[#This Row],[_Row]]/100000,"")</f>
        <v/>
      </c>
      <c r="GP90" s="43" t="n">
        <f aca="false">Tasks[[#This Row],[_LeafWork]]*Tasks[[#This Row],[_LeafProgress]]</f>
        <v>0</v>
      </c>
      <c r="GQ90" s="91" t="str">
        <f aca="false">IF(AND(Tasks[[#This Row],[_IsLeaf]]=1,Tasks[[#This Row],[_LeafProgress]]&gt;=1),IF(N(Tasks[[#This Row],[Actual Finish]])&gt;0,Tasks[[#This Row],[Actual Finish]],Tasks[[#This Row],[_ShownFcstFinish]]),"")</f>
        <v/>
      </c>
      <c r="GR90" s="43" t="n">
        <f aca="false">IF(Tasks[[#This Row],[_IsLeaf]]=1,N(Tasks[[#This Row],[Story Points]]),0)</f>
        <v>0</v>
      </c>
      <c r="GS90" s="43" t="str">
        <f aca="false">""</f>
        <v/>
      </c>
      <c r="GT90" s="90" t="b">
        <f aca="false">IF(Tasks[[#This Row],[Task Name]]="",FALSE(),AND(Tasks[[#This Row],[_IsLeaf]]=1,N(Tasks[[#This Row],[_Days]])=0))</f>
        <v>0</v>
      </c>
      <c r="GU90" s="91" t="n">
        <f aca="false">IF(Tasks[[#This Row],[Task Name]]="",0,IF(AND(Tasks[[#This Row],[_IsLeaf]]=1,NOT(Tasks[[#This Row],[_IsMilestone]]),N(Tasks[[#This Row],[Progress]])&gt;0),Tasks[[#This Row],[Start]],0))</f>
        <v>0</v>
      </c>
      <c r="GV90" s="91" t="n">
        <f aca="false">IF(Tasks[[#This Row],[_DoneFrom]]=0,0,IF(Tasks[[#This Row],[Progress]]&gt;=1,Tasks[[#This Row],[Finish]],MAX(Tasks[[#This Row],[_DoneFrom]],Tasks[[#This Row],[Start]]+ROUND((Tasks[[#This Row],[Finish]]-Tasks[[#This Row],[Start]]+1)*Tasks[[#This Row],[Progress]],0)-1)))</f>
        <v>0</v>
      </c>
      <c r="GW90" s="91" t="n">
        <f aca="false">IF(Tasks[[#This Row],[Task Name]]="",0,IF(OR(NOT(Tasks[[#This Row],[_IsLeaf]]=1),Tasks[[#This Row],[_IsMilestone]],N(Tasks[[#This Row],[Progress]])&gt;=1),0,IF(Tasks[[#This Row],[_DoneTo]]&gt;0,Tasks[[#This Row],[_DoneTo]]+1,Tasks[[#This Row],[Start]])))</f>
        <v>0</v>
      </c>
      <c r="GX90" s="91" t="n">
        <f aca="false">IF(Tasks[[#This Row],[_RemFrom]]=0,0,Tasks[[#This Row],[Finish]])</f>
        <v>0</v>
      </c>
      <c r="GY90" s="90" t="b">
        <f aca="false">IF(Tasks[[#This Row],[Task Name]]="",FALSE(),OR(NOT(BaselineSet),N(Tasks[[#This Row],[Baseline Start]])&gt;0))</f>
        <v>0</v>
      </c>
      <c r="GZ9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92" t="str">
        <f aca="false">IF(Tasks[[#This Row],[_IsLeaf]]=1,Tasks[[#This Row],[_Row]],"")</f>
        <v/>
      </c>
      <c r="HD90" s="92" t="str">
        <f aca="false">IFERROR(INDEX(Tasks[UID],SMALL(Tasks[_PickKey],Tasks[[#This Row],[_Row]]))&amp;" "&amp;INDEX(Tasks[Task Name],SMALL(Tasks[_PickKey],Tasks[[#This Row],[_Row]])),"")</f>
        <v/>
      </c>
      <c r="HE90" s="43" t="str">
        <f aca="false">IF(Tasks[[#This Row],[Task Name]]="","",IF(Tasks[[#This Row],[_IsSummary]],NETWORKDAYS.INTL(Tasks[[#This Row],[Start]],Tasks[[#This Row],[Finish]],WorkWeek,Holidays),N(Tasks[[#This Row],[_Days]])))</f>
        <v/>
      </c>
      <c r="HF90" s="43" t="n">
        <f aca="false">IF(Tasks[[#This Row],[Expected]]="",0,((Tasks[[#This Row],[Pessimistic]]-Tasks[[#This Row],[Optimistic]])/6)^2)</f>
        <v>0</v>
      </c>
      <c r="HG90" s="43" t="n">
        <f aca="false">IF(Tasks[[#This Row],[Expected]]="",0,Tasks[[#This Row],[Expected]]-N(Tasks[[#This Row],[_Days]]))</f>
        <v>0</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4"/>
      <c r="U91" s="23"/>
      <c r="V91" s="84"/>
      <c r="W91" s="23"/>
      <c r="X91" s="84"/>
      <c r="Y91" s="23"/>
      <c r="Z91" s="84"/>
      <c r="AA91" s="23"/>
      <c r="AB91" s="23"/>
      <c r="AC91" s="7"/>
      <c r="AD91" s="7"/>
      <c r="AE91" s="63" t="str">
        <f aca="false">IF(Tasks[[#This Row],[Task Name]]="","",IF(Tasks[[#This Row],[_IsSummary]],MIN(INDEX(Tasks[_ShownFcstStart],Tasks[[#This Row],[_Row]]+1):INDEX(Tasks[_ShownFcstStart],Tasks[[#This Row],[_Row]]+Tasks[[#This Row],[_Descendants]])),Tasks[[#This Row],[_ShownFcstStart]]))</f>
        <v/>
      </c>
      <c r="AF91" s="63"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1" s="7"/>
      <c r="AK91" s="22"/>
      <c r="AL91" s="23"/>
      <c r="AM91" s="7"/>
      <c r="AN91" s="47"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3" t="str">
        <f aca="false">IF(Tasks[[#This Row],[Task Name]]="","",IF(N(Tasks[[#This Row],[Baseline Start]])&gt;0,Tasks[[#This Row],[Baseline Start]],Tasks[[#This Row],[_CalcStart]]))</f>
        <v/>
      </c>
      <c r="AR91" s="63" t="str">
        <f aca="false">IF(Tasks[[#This Row],[Task Name]]="","",IF(N(Tasks[[#This Row],[Baseline Finish]])&gt;0,Tasks[[#This Row],[Baseline Finish]],Tasks[[#This Row],[_CalcFinish]]))</f>
        <v/>
      </c>
      <c r="AS91" s="47" t="str">
        <f aca="false">IF(Tasks[[#This Row],[Task Name]]="","",IF(Tasks[[#This Row],[Start]]&gt;=Tasks[[#This Row],[Planned Start]],NETWORKDAYS.INTL(Tasks[[#This Row],[Planned Start]],Tasks[[#This Row],[Start]],WorkWeek,Holidays)-1,1-NETWORKDAYS.INTL(Tasks[[#This Row],[Start]],Tasks[[#This Row],[Planned Start]],WorkWeek,Holidays)))</f>
        <v/>
      </c>
      <c r="AT91" s="63" t="str">
        <f aca="false">IF(Tasks[[#This Row],[Task Name]]="","",IF(Tasks[[#This Row],[_IsSummary]],MIN(INDEX(Tasks[_LeafLateStart],Tasks[[#This Row],[_Row]]+1):INDEX(Tasks[_LeafLateStart],Tasks[[#This Row],[_Row]]+Tasks[[#This Row],[_Descendants]])),Tasks[[#This Row],[_LeafLateStart]]))</f>
        <v/>
      </c>
      <c r="AU91" s="63" t="str">
        <f aca="false">IF(Tasks[[#This Row],[Task Name]]="","",IF(Tasks[[#This Row],[_IsSummary]],MAX(INDEX(Tasks[_LeafLateFinish],Tasks[[#This Row],[_Row]]+1):INDEX(Tasks[_LeafLateFinish],Tasks[[#This Row],[_Row]]+Tasks[[#This Row],[_Descendants]])),Tasks[[#This Row],[_LeafLateFinish]]))</f>
        <v/>
      </c>
      <c r="AV91" s="47"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5"/>
      <c r="BA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6"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7"/>
      <c r="BJ91" s="22"/>
      <c r="BK91" s="47" t="str">
        <f aca="false">IF(OR(Tasks[[#This Row],[Task Name]]="",Tasks[[#This Row],[Baseline Duration]]=""),"",Tasks[[#This Row],[_SpanDays]]-N(Tasks[[#This Row],[Baseline Duration]]))</f>
        <v/>
      </c>
      <c r="BL91" s="86" t="str">
        <f aca="false">IF(OR(Tasks[[#This Row],[Task Name]]="",Tasks[[#This Row],[Baseline Work]]=""),"",Tasks[[#This Row],[Work]]-N(Tasks[[#This Row],[Baseline Work]]))</f>
        <v/>
      </c>
      <c r="BM91" s="63" t="str">
        <f aca="false">IF(Tasks[[#This Row],[Task Name]]="","",IF(OR(TakeBaseline="Yes",N(Tasks[[#This Row],[Baseline Start]])=0),Tasks[[#This Row],[Start]],Tasks[[#This Row],[Baseline Start]]))</f>
        <v/>
      </c>
      <c r="BN91" s="63" t="str">
        <f aca="false">IF(Tasks[[#This Row],[Task Name]]="","",IF(OR(TakeBaseline="Yes",N(Tasks[[#This Row],[Baseline Finish]])=0),Tasks[[#This Row],[Finish]],Tasks[[#This Row],[Baseline Finish]]))</f>
        <v/>
      </c>
      <c r="BO91" s="21" t="str">
        <f aca="false">IF(Tasks[[#This Row],[Task Name]]="","",IF(OR(TakeBaseline="Yes",N(Tasks[[#This Row],[Baseline Duration]])=0),Tasks[[#This Row],[_SpanDays]],Tasks[[#This Row],[Baseline Duration]]))</f>
        <v/>
      </c>
      <c r="BP91" s="86" t="str">
        <f aca="false">IF(Tasks[[#This Row],[Task Name]]="","",IF(OR(TakeBaseline="Yes",N(Tasks[[#This Row],[Baseline Work]])=0),Tasks[[#This Row],[Work]],Tasks[[#This Row],[Baseline Work]]))</f>
        <v/>
      </c>
      <c r="BQ91" s="7"/>
      <c r="BR91" s="7"/>
      <c r="BS91" s="22"/>
      <c r="BT91" s="88"/>
      <c r="BU91" s="23"/>
      <c r="BV91" s="23"/>
      <c r="BW91" s="23"/>
      <c r="BX91" s="89" t="str">
        <f aca="false">IF(AND(Tasks[[#This Row],[_IsLeaf]]=1,ISNUMBER(Tasks[[#This Row],[Optimistic]]),ISNUMBER(Tasks[[#This Row],[Pessimistic]])),ROUND((Tasks[[#This Row],[Optimistic]]+4*N(Tasks[[#This Row],[_Days]])+Tasks[[#This Row],[Pessimistic]])/6,1),"")</f>
        <v/>
      </c>
      <c r="BY91" s="87"/>
      <c r="BZ91" s="87"/>
      <c r="CA91" s="22"/>
      <c r="CB91" s="43" t="str">
        <f aca="false">IF(Tasks[[#This Row],[Task Name]]="","",MAX(1,N(Tasks[[#This Row],[Level]])))</f>
        <v/>
      </c>
      <c r="CC91" s="43" t="n">
        <f aca="false">ROW()-ROW(Tasks[[#Headers],[ID]])</f>
        <v>86</v>
      </c>
      <c r="CD91" s="43" t="n">
        <f aca="false">IF(OR(Tasks[[#This Row],[Task Name]]="",Tasks[[#This Row],[_Level]]&lt;=1),0,IFERROR(LOOKUP(2,1/(Tasks[[#Headers],[_Level]]:Tasks[[#This Row],[_Level]]=Tasks[[#This Row],[_Level]]-1),ROW(Tasks[[#Headers],[_Level]]:Tasks[[#This Row],[_Level]])),0))</f>
        <v>0</v>
      </c>
      <c r="CE91" s="43" t="n">
        <f aca="false">IFERROR(N(INDEX(Tasks[_Level],Tasks[[#This Row],[_Row]]+1)),0)</f>
        <v>0</v>
      </c>
      <c r="CF91" s="90" t="b">
        <f aca="false">AND(Tasks[[#This Row],[Task Name]]&lt;&gt;"",Tasks[[#This Row],[_NextLevel]]&gt;Tasks[[#This Row],[_Level]])</f>
        <v>0</v>
      </c>
      <c r="CG91" s="43" t="n">
        <f aca="false">IF(Tasks[[#This Row],[_IsSummary]],COUNTIF(Tasks[WBS],Tasks[[#This Row],[WBS]]&amp;".*"),0)</f>
        <v>0</v>
      </c>
      <c r="CH91" s="43" t="n">
        <f aca="false">IF(AND(Tasks[[#This Row],[Task Name]]&lt;&gt;"",NOT(Tasks[[#This Row],[_IsSummary]])),1,0)</f>
        <v>0</v>
      </c>
      <c r="CI91" s="43" t="n">
        <f aca="false">IF(N(Tasks[[#This Row],[_Pred1UID]])=0,0,IFERROR(MATCH(Tasks[[#This Row],[_Pred1UID]],Tasks[UID],0),-1))</f>
        <v>0</v>
      </c>
      <c r="CJ91" s="43" t="n">
        <f aca="false">IF(N(Tasks[[#This Row],[_Pred2UID]])=0,0,IFERROR(MATCH(Tasks[[#This Row],[_Pred2UID]],Tasks[UID],0),-1))</f>
        <v>0</v>
      </c>
      <c r="CK91" s="43" t="n">
        <f aca="false">IF(N(Tasks[[#This Row],[_Pred3UID]])=0,0,IFERROR(MATCH(Tasks[[#This Row],[_Pred3UID]],Tasks[UID],0),-1))</f>
        <v>0</v>
      </c>
      <c r="CL91" s="43" t="n">
        <f aca="false">IF(N(Tasks[[#This Row],[_Pred4UID]])=0,0,IFERROR(MATCH(Tasks[[#This Row],[_Pred4UID]],Tasks[UID],0),-1))</f>
        <v>0</v>
      </c>
      <c r="CM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1" s="91" t="n">
        <f aca="false">IF(OR(Tasks[[#This Row],[_ConstraintCode]]=2,Tasks[[#This Row],[_ConstraintCode]]=3,Tasks[[#This Row],[_ConstraintCode]]=4,Tasks[[#This Row],[_ConstraintCode]]=6),Tasks[[#This Row],[_ConstraintStart]],0)</f>
        <v>0</v>
      </c>
      <c r="CP91" s="91" t="n">
        <f aca="false">IF(OR(Tasks[[#This Row],[_ConstraintCode]]=2,Tasks[[#This Row],[_ConstraintCode]]=3,Tasks[[#This Row],[_ConstraintCode]]=5,Tasks[[#This Row],[_ConstraintCode]]=7),Tasks[[#This Row],[_ConstraintStart]],2958465)</f>
        <v>2958465</v>
      </c>
      <c r="CQ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91" t="str">
        <f aca="false">IF(NOT(Tasks[[#This Row],[_IsLeaf]]=1),"",IF(N(Tasks[[#This Row],[_Days]])&lt;=0,Tasks[[#This Row],[_LeafCalcStart]],WORKDAY.INTL(Tasks[[#This Row],[_LeafCalcStart]],Tasks[[#This Row],[_Days]]-1,WorkWeek,Holidays)))</f>
        <v/>
      </c>
      <c r="CS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3" t="str">
        <f aca="false">IF(Tasks[[#This Row],[_Predecessors]]="","",TRIM(MID(SUBSTITUTE(SUBSTITUTE(SUBSTITUTE(UPPER(Tasks[[#This Row],[_Predecessors]]),";",",")," ",""),",",REPT(" ",99)),1,99)))</f>
        <v/>
      </c>
      <c r="CV91" s="43" t="str">
        <f aca="false">IF(Tasks[[#This Row],[_Pred1Text]]="","",IFERROR(VALUE(LEFT(Tasks[[#This Row],[_Pred1Text]],MIN(FIND("F",Tasks[[#This Row],[_Pred1Text]]&amp;"F"),FIND("S",Tasks[[#This Row],[_Pred1Text]]&amp;"S"),FIND("+",Tasks[[#This Row],[_Pred1Text]]&amp;"+"),FIND("-",Tasks[[#This Row],[_Pred1Text]]&amp;"-"))-1)),""))</f>
        <v/>
      </c>
      <c r="CW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3" t="str">
        <f aca="false">IF(Tasks[[#This Row],[_Pred1Text]]="","",TRIM(MID(SUBSTITUTE(SUBSTITUTE(SUBSTITUTE(UPPER(Tasks[[#This Row],[_Predecessors]]),";",",")," ",""),",",REPT(" ",99)),100,99)))</f>
        <v/>
      </c>
      <c r="CZ91" s="43" t="str">
        <f aca="false">IF(Tasks[[#This Row],[_Pred2Text]]="","",IFERROR(VALUE(LEFT(Tasks[[#This Row],[_Pred2Text]],MIN(FIND("F",Tasks[[#This Row],[_Pred2Text]]&amp;"F"),FIND("S",Tasks[[#This Row],[_Pred2Text]]&amp;"S"),FIND("+",Tasks[[#This Row],[_Pred2Text]]&amp;"+"),FIND("-",Tasks[[#This Row],[_Pred2Text]]&amp;"-"))-1)),""))</f>
        <v/>
      </c>
      <c r="DA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3" t="str">
        <f aca="false">IF(Tasks[[#This Row],[_Pred2Text]]="","",TRIM(MID(SUBSTITUTE(SUBSTITUTE(SUBSTITUTE(UPPER(Tasks[[#This Row],[_Predecessors]]),";",",")," ",""),",",REPT(" ",99)),199,99)))</f>
        <v/>
      </c>
      <c r="DD91" s="43" t="str">
        <f aca="false">IF(Tasks[[#This Row],[_Pred3Text]]="","",IFERROR(VALUE(LEFT(Tasks[[#This Row],[_Pred3Text]],MIN(FIND("F",Tasks[[#This Row],[_Pred3Text]]&amp;"F"),FIND("S",Tasks[[#This Row],[_Pred3Text]]&amp;"S"),FIND("+",Tasks[[#This Row],[_Pred3Text]]&amp;"+"),FIND("-",Tasks[[#This Row],[_Pred3Text]]&amp;"-"))-1)),""))</f>
        <v/>
      </c>
      <c r="DE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3" t="str">
        <f aca="false">IF(Tasks[[#This Row],[_Pred3Text]]="","",TRIM(MID(SUBSTITUTE(SUBSTITUTE(SUBSTITUTE(UPPER(Tasks[[#This Row],[_Predecessors]]),";",",")," ",""),",",REPT(" ",99)),298,99)))</f>
        <v/>
      </c>
      <c r="DH91" s="43" t="str">
        <f aca="false">IF(Tasks[[#This Row],[_Pred4Text]]="","",IFERROR(VALUE(LEFT(Tasks[[#This Row],[_Pred4Text]],MIN(FIND("F",Tasks[[#This Row],[_Pred4Text]]&amp;"F"),FIND("S",Tasks[[#This Row],[_Pred4Text]]&amp;"S"),FIND("+",Tasks[[#This Row],[_Pred4Text]]&amp;"+"),FIND("-",Tasks[[#This Row],[_Pred4Text]]&amp;"-"))-1)),""))</f>
        <v/>
      </c>
      <c r="DI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3" t="str">
        <f aca="false">IF(OR(Tasks[[#This Row],[Task Name]]="",Tasks[[#This Row],[_Resources]]=""),"",TRIM(MID(SUBSTITUTE(Tasks[[#This Row],[_Resources]],",",REPT(" ",99)),1,99)))</f>
        <v/>
      </c>
      <c r="DL91" s="43" t="str">
        <f aca="false">IF(Tasks[[#This Row],[_Res1Text]]="","",TRIM(MID(SUBSTITUTE(Tasks[[#This Row],[_Resources]],",",REPT(" ",99)),100,99)))</f>
        <v/>
      </c>
      <c r="DM91" s="43" t="str">
        <f aca="false">IF(Tasks[[#This Row],[_Res2Text]]="","",TRIM(MID(SUBSTITUTE(Tasks[[#This Row],[_Resources]],",",REPT(" ",99)),199,99)))</f>
        <v/>
      </c>
      <c r="DN91" s="43" t="str">
        <f aca="false">IF(Tasks[[#This Row],[_Res3Text]]="","",TRIM(MID(SUBSTITUTE(Tasks[[#This Row],[_Resources]],",",REPT(" ",99)),298,99)))</f>
        <v/>
      </c>
      <c r="DO91" s="43" t="n">
        <f aca="false">IF(Tasks[[#This Row],[_Res1Text]]="",0,IFERROR(MATCH(TRIM(LEFT(Tasks[[#This Row],[_Res1Text]],FIND("[",Tasks[[#This Row],[_Res1Text]]&amp;"[")-1)),res_Name,0),IFERROR(MATCH(TRIM(LEFT(Tasks[[#This Row],[_Res1Text]],FIND("[",Tasks[[#This Row],[_Res1Text]]&amp;"[")-1)),res_Initials,0),0)))</f>
        <v>0</v>
      </c>
      <c r="DP91" s="43" t="n">
        <f aca="false">IF(Tasks[[#This Row],[_Res2Text]]="",0,IFERROR(MATCH(TRIM(LEFT(Tasks[[#This Row],[_Res2Text]],FIND("[",Tasks[[#This Row],[_Res2Text]]&amp;"[")-1)),res_Name,0),IFERROR(MATCH(TRIM(LEFT(Tasks[[#This Row],[_Res2Text]],FIND("[",Tasks[[#This Row],[_Res2Text]]&amp;"[")-1)),res_Initials,0),0)))</f>
        <v>0</v>
      </c>
      <c r="DQ91" s="43" t="n">
        <f aca="false">IF(Tasks[[#This Row],[_Res3Text]]="",0,IFERROR(MATCH(TRIM(LEFT(Tasks[[#This Row],[_Res3Text]],FIND("[",Tasks[[#This Row],[_Res3Text]]&amp;"[")-1)),res_Name,0),IFERROR(MATCH(TRIM(LEFT(Tasks[[#This Row],[_Res3Text]],FIND("[",Tasks[[#This Row],[_Res3Text]]&amp;"[")-1)),res_Initials,0),0)))</f>
        <v>0</v>
      </c>
      <c r="DR91" s="43" t="n">
        <f aca="false">IF(Tasks[[#This Row],[_Res4Text]]="",0,IFERROR(MATCH(TRIM(LEFT(Tasks[[#This Row],[_Res4Text]],FIND("[",Tasks[[#This Row],[_Res4Text]]&amp;"[")-1)),res_Name,0),IFERROR(MATCH(TRIM(LEFT(Tasks[[#This Row],[_Res4Text]],FIND("[",Tasks[[#This Row],[_Res4Text]]&amp;"[")-1)),res_Initials,0),0)))</f>
        <v>0</v>
      </c>
      <c r="DS91" s="43" t="str">
        <f aca="false">IF(Tasks[[#This Row],[_Res1Text]]="","",IF(Tasks[[#This Row],[_Res1Row]]&gt;0,INDEX(res_Name,Tasks[[#This Row],[_Res1Row]]),TRIM(LEFT(Tasks[[#This Row],[_Res1Text]],FIND("[",Tasks[[#This Row],[_Res1Text]]&amp;"[")-1))))</f>
        <v/>
      </c>
      <c r="DT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3" t="n">
        <f aca="false">IF(NOT(Tasks[[#This Row],[_IsLeaf]]=1),0,(Tasks[[#This Row],[_Resource1]]&lt;&gt;"")+(Tasks[[#This Row],[_Res2]]&lt;&gt;"")+(Tasks[[#This Row],[_Res3]]&lt;&gt;"")+(Tasks[[#This Row],[_Res4]]&lt;&gt;""))</f>
        <v>0</v>
      </c>
      <c r="DV91" s="43" t="str">
        <f aca="false">IF(Tasks[[#This Row],[_Res2Text]]="","",IF(Tasks[[#This Row],[_Res2Row]]&gt;0,INDEX(res_Name,Tasks[[#This Row],[_Res2Row]]),TRIM(LEFT(Tasks[[#This Row],[_Res2Text]],FIND("[",Tasks[[#This Row],[_Res2Text]]&amp;"[")-1))))</f>
        <v/>
      </c>
      <c r="DW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3" t="n">
        <f aca="false">IF(OR(NOT(Tasks[[#This Row],[_IsLeaf]]=1),Tasks[[#This Row],[_Res2Row]]=0),0,N(Tasks[[#This Row],[_Days]])*HoursPerDay*IF(Tasks[[#This Row],[_Res2Units]]="",DefaultUnits,Tasks[[#This Row],[_Res2Units]]))</f>
        <v>0</v>
      </c>
      <c r="DY91" s="43" t="n">
        <f aca="false">IF(AND(AND(Tasks[[#This Row],[_IsLeaf]]=1,Tasks[[#This Row],[_LeafTotalWork]]&gt;0),Tasks[[#This Row],[_Res2Work]]&gt;0),Tasks[[#This Row],[_Res2Work]]/(Tasks[[#This Row],[_FinishWorkday]]-Tasks[[#This Row],[_StartWorkday]]+1),0)</f>
        <v>0</v>
      </c>
      <c r="DZ91" s="43" t="n">
        <f aca="false">Tasks[[#This Row],[_Res2WorkPerWD]]*MAX(0,Tasks[[#This Row],[_StartWorkday]]-1)</f>
        <v>0</v>
      </c>
      <c r="EA91" s="43" t="n">
        <f aca="false">Tasks[[#This Row],[_Res2Work]]*Tasks[[#This Row],[_LeafProgress]]</f>
        <v>0</v>
      </c>
      <c r="EB91" s="43" t="str">
        <f aca="false">IF(Tasks[[#This Row],[_Res3Text]]="","",IF(Tasks[[#This Row],[_Res3Row]]&gt;0,INDEX(res_Name,Tasks[[#This Row],[_Res3Row]]),TRIM(LEFT(Tasks[[#This Row],[_Res3Text]],FIND("[",Tasks[[#This Row],[_Res3Text]]&amp;"[")-1))))</f>
        <v/>
      </c>
      <c r="EC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3" t="n">
        <f aca="false">IF(OR(NOT(Tasks[[#This Row],[_IsLeaf]]=1),Tasks[[#This Row],[_Res3Row]]=0),0,N(Tasks[[#This Row],[_Days]])*HoursPerDay*IF(Tasks[[#This Row],[_Res3Units]]="",DefaultUnits,Tasks[[#This Row],[_Res3Units]]))</f>
        <v>0</v>
      </c>
      <c r="EE91" s="43" t="n">
        <f aca="false">IF(AND(AND(Tasks[[#This Row],[_IsLeaf]]=1,Tasks[[#This Row],[_LeafTotalWork]]&gt;0),Tasks[[#This Row],[_Res3Work]]&gt;0),Tasks[[#This Row],[_Res3Work]]/(Tasks[[#This Row],[_FinishWorkday]]-Tasks[[#This Row],[_StartWorkday]]+1),0)</f>
        <v>0</v>
      </c>
      <c r="EF91" s="43" t="n">
        <f aca="false">Tasks[[#This Row],[_Res3WorkPerWD]]*MAX(0,Tasks[[#This Row],[_StartWorkday]]-1)</f>
        <v>0</v>
      </c>
      <c r="EG91" s="43" t="n">
        <f aca="false">Tasks[[#This Row],[_Res3Work]]*Tasks[[#This Row],[_LeafProgress]]</f>
        <v>0</v>
      </c>
      <c r="EH91" s="43" t="str">
        <f aca="false">IF(Tasks[[#This Row],[_Res4Text]]="","",IF(Tasks[[#This Row],[_Res4Row]]&gt;0,INDEX(res_Name,Tasks[[#This Row],[_Res4Row]]),TRIM(LEFT(Tasks[[#This Row],[_Res4Text]],FIND("[",Tasks[[#This Row],[_Res4Text]]&amp;"[")-1))))</f>
        <v/>
      </c>
      <c r="EI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3" t="n">
        <f aca="false">IF(OR(NOT(Tasks[[#This Row],[_IsLeaf]]=1),Tasks[[#This Row],[_Res4Row]]=0),0,N(Tasks[[#This Row],[_Days]])*HoursPerDay*IF(Tasks[[#This Row],[_Res4Units]]="",DefaultUnits,Tasks[[#This Row],[_Res4Units]]))</f>
        <v>0</v>
      </c>
      <c r="EK91" s="43" t="n">
        <f aca="false">IF(AND(AND(Tasks[[#This Row],[_IsLeaf]]=1,Tasks[[#This Row],[_LeafTotalWork]]&gt;0),Tasks[[#This Row],[_Res4Work]]&gt;0),Tasks[[#This Row],[_Res4Work]]/(Tasks[[#This Row],[_FinishWorkday]]-Tasks[[#This Row],[_StartWorkday]]+1),0)</f>
        <v>0</v>
      </c>
      <c r="EL91" s="43" t="n">
        <f aca="false">Tasks[[#This Row],[_Res4WorkPerWD]]*MAX(0,Tasks[[#This Row],[_StartWorkday]]-1)</f>
        <v>0</v>
      </c>
      <c r="EM91" s="43" t="n">
        <f aca="false">Tasks[[#This Row],[_Res4Work]]*Tasks[[#This Row],[_LeafProgress]]</f>
        <v>0</v>
      </c>
      <c r="EN91" s="43" t="n">
        <f aca="false">IF(ISNUMBER(Tasks[[#This Row],[% Complete]]),Tasks[[#This Row],[% Complete]],IF(Tasks[[#This Row],[Stage]]="",0,IFERROR(INDEX(stg_Pct,MATCH(Tasks[[#This Row],[Stage]],stg_Name,0)),0)))</f>
        <v>0</v>
      </c>
      <c r="EO91" s="43" t="n">
        <f aca="false">IF(NOT(Tasks[[#This Row],[_IsLeaf]]=1),0,IF(N(Tasks[[#This Row],[Actual Finish]])&gt;0,1,MIN(1,Tasks[[#This Row],[_Pct]])))</f>
        <v>0</v>
      </c>
      <c r="EP91" s="43" t="n">
        <f aca="false">IF(OR(NOT(Tasks[[#This Row],[_IsLeaf]]=1),Tasks[[#This Row],[_Res1Row]]=0),0,N(Tasks[[#This Row],[_Days]])*HoursPerDay*IF(Tasks[[#This Row],[_Units1]]="",DefaultUnits,Tasks[[#This Row],[_Units1]]))</f>
        <v>0</v>
      </c>
      <c r="EQ91" s="43" t="n">
        <f aca="false">Tasks[[#This Row],[_LeafWork]]+Tasks[[#This Row],[_Res2Work]]+Tasks[[#This Row],[_Res3Work]]+Tasks[[#This Row],[_Res4Work]]</f>
        <v>0</v>
      </c>
      <c r="ER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3" t="n">
        <f aca="false">IF(NOT(Tasks[[#This Row],[_IsLeaf]]=1),0,MAX(_xlfn.MAXIFS(Tasks[_Row],Tasks[_Pred1UID],Tasks[[#This Row],[UID]]),_xlfn.MAXIFS(Tasks[_Row],Tasks[_Pred2UID],Tasks[[#This Row],[UID]]),_xlfn.MAXIFS(Tasks[_Row],Tasks[_Pred3UID],Tasks[[#This Row],[UID]]),_xlfn.MAXIFS(Tasks[_Row],Tasks[_Pred4UID],Tasks[[#This Row],[UID]])))</f>
        <v>0</v>
      </c>
      <c r="FA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91" t="str">
        <f aca="false">IF(NOT(Tasks[[#This Row],[_IsLeaf]]=1),"",IF(N(Tasks[[#This Row],[_Days]])&lt;=0,Tasks[[#This Row],[_LeafLateFinish]],WORKDAY.INTL(Tasks[[#This Row],[_LeafLateFinish]],-(Tasks[[#This Row],[_Days]]-1),WorkWeek,Holidays)))</f>
        <v/>
      </c>
      <c r="FD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1" s="90" t="b">
        <f aca="false">AND(Tasks[[#This Row],[_IsLeaf]]=1,Tasks[[#This Row],[_LeafProgress]]&lt;1,N(Tasks[[#This Row],[_LeafTotalSlack]])&lt;=CriticalSlackDays)</f>
        <v>0</v>
      </c>
      <c r="FF91" s="43" t="n">
        <f aca="false">IF(AND(Tasks[[#This Row],[_IsLeaf]]=1,Tasks[[#This Row],[_ConstraintCode]]=1,Tasks[[#This Row],[Mode]]&lt;&gt;"Manual",N(Tasks[[#This Row],[Actual Start]])=0),MAX(0,N(Tasks[[#This Row],[Free Slack]])),0)</f>
        <v>0</v>
      </c>
      <c r="FG91" s="91" t="str">
        <f aca="false">IF(NOT(Tasks[[#This Row],[_IsLeaf]]=1),"",IF(Tasks[[#This Row],[_AlapShift]]=0,Tasks[[#This Row],[_LeafCalcStart]],WORKDAY.INTL(Tasks[[#This Row],[_LeafCalcStart]],Tasks[[#This Row],[_AlapShift]],WorkWeek,Holidays)))</f>
        <v/>
      </c>
      <c r="FH91" s="91" t="str">
        <f aca="false">IF(NOT(Tasks[[#This Row],[_IsLeaf]]=1),"",IF(Tasks[[#This Row],[_AlapShift]]=0,Tasks[[#This Row],[_LeafCalcFinish]],WORKDAY.INTL(Tasks[[#This Row],[_LeafCalcFinish]],Tasks[[#This Row],[_AlapShift]],WorkWeek,Holidays)))</f>
        <v/>
      </c>
      <c r="FI91" s="91" t="str">
        <f aca="false">IF(NOT(Tasks[[#This Row],[_IsLeaf]]=1),"",IF(Tasks[[#This Row],[_AlapShift]]=0,Tasks[[#This Row],[_LeafFcstStart]],WORKDAY.INTL(Tasks[[#This Row],[_LeafFcstStart]],Tasks[[#This Row],[_AlapShift]],WorkWeek,Holidays)))</f>
        <v/>
      </c>
      <c r="FJ91" s="91" t="str">
        <f aca="false">IF(NOT(Tasks[[#This Row],[_IsLeaf]]=1),"",IF(Tasks[[#This Row],[_AlapShift]]=0,Tasks[[#This Row],[_LeafFcstFinish]],WORKDAY.INTL(Tasks[[#This Row],[_LeafFcstFinish]],Tasks[[#This Row],[_AlapShift]],WorkWeek,Holidays)))</f>
        <v/>
      </c>
      <c r="FK91" s="91" t="str">
        <f aca="false">IF(Tasks[[#This Row],[Task Name]]="","",IF(Tasks[[#This Row],[_IsSummary]],MIN(INDEX(Tasks[_ShownCalcStart],Tasks[[#This Row],[_Row]]+1):INDEX(Tasks[_ShownCalcStart],Tasks[[#This Row],[_Row]]+Tasks[[#This Row],[_Descendants]])),Tasks[[#This Row],[_ShownCalcStart]]))</f>
        <v/>
      </c>
      <c r="FL91" s="91" t="str">
        <f aca="false">IF(Tasks[[#This Row],[Task Name]]="","",IF(Tasks[[#This Row],[_IsSummary]],MAX(INDEX(Tasks[_ShownCalcFinish],Tasks[[#This Row],[_Row]]+1):INDEX(Tasks[_ShownCalcFinish],Tasks[[#This Row],[_Row]]+Tasks[[#This Row],[_Descendants]])),Tasks[[#This Row],[_ShownCalcFinish]]))</f>
        <v/>
      </c>
      <c r="FM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1" s="43" t="n">
        <f aca="false">IF(AND(Tasks[[#This Row],[_IsLeaf]]=1,Tasks[[#This Row],[_LeafTotalWork]]&gt;0),NETWORKDAYS.INTL(ProjectStart,Tasks[[#This Row],[_ShownFcstStart]],WorkWeek,Holidays),0)</f>
        <v>0</v>
      </c>
      <c r="FZ91" s="43" t="n">
        <f aca="false">IF(AND(Tasks[[#This Row],[_IsLeaf]]=1,Tasks[[#This Row],[_LeafTotalWork]]&gt;0),MAX(Tasks[[#This Row],[_StartWorkday]],NETWORKDAYS.INTL(ProjectStart,Tasks[[#This Row],[_ShownFcstFinish]],WorkWeek,Holidays)),0)</f>
        <v>0</v>
      </c>
      <c r="GA91" s="43" t="n">
        <f aca="false">IF(AND(Tasks[[#This Row],[_IsLeaf]]=1,Tasks[[#This Row],[_LeafTotalWork]]&gt;0),Tasks[[#This Row],[_LeafWork]]/(Tasks[[#This Row],[_FinishWorkday]]-Tasks[[#This Row],[_StartWorkday]]+1),0)</f>
        <v>0</v>
      </c>
      <c r="GB91" s="43" t="n">
        <f aca="false">Tasks[[#This Row],[_WorkPerWorkday]]*(Tasks[[#This Row],[_StartWorkday]]-1)</f>
        <v>-0</v>
      </c>
      <c r="GC91" s="43" t="n">
        <f aca="false">IF(Tasks[[#This Row],[_IsLeaf]]=1,MAX(N(Tasks[[#This Row],[_Days]]),0.1),0)</f>
        <v>0</v>
      </c>
      <c r="GD91" s="43" t="n">
        <f aca="false">Tasks[[#This Row],[_WeightDur]]*Tasks[[#This Row],[_LeafProgress]]</f>
        <v>0</v>
      </c>
      <c r="GE91" s="43" t="n">
        <f aca="false">Tasks[[#This Row],[_WeightDur]]*Tasks[[#This Row],[_PlannedPct]]</f>
        <v>0</v>
      </c>
      <c r="GF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3" t="str">
        <f aca="false">IF(AND(Tasks[[#This Row],[_IsLeaf]]=1,N(Tasks[[#This Row],[_Days]])=0,Tasks[[#This Row],[_LeafProgress]]&lt;1),Tasks[[#This Row],[_ShownFcstFinish]]+Tasks[[#This Row],[_Row]]/100000,"")</f>
        <v/>
      </c>
      <c r="GH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1" s="43" t="str">
        <f aca="false">IF(Tasks[[#This Row],[Task Name]]="","",LEFT(Tasks[[#This Row],[WBS]],FIND(".",Tasks[[#This Row],[WBS]]&amp;".")-1))</f>
        <v/>
      </c>
      <c r="GJ91" s="43" t="str">
        <f aca="false">IF(AND(Tasks[[#This Row],[Task Name]]&lt;&gt;"",Tasks[[#This Row],[_Level]]=1),Tasks[[#This Row],[_Row]],"")</f>
        <v/>
      </c>
      <c r="GK91" s="43" t="str">
        <f aca="false">IF(AND(Tasks[[#This Row],[_IsLeaf]]=1,N(Tasks[[#This Row],[_Days]])=0),Tasks[[#This Row],[Planned Finish]]+Tasks[[#This Row],[_Row]]/100000,"")</f>
        <v/>
      </c>
      <c r="GL91" s="43" t="str">
        <f aca="false">IF(AND(Tasks[[#This Row],[_IsLeaf]]=1,Tasks[[#This Row],[_LeafProgress]]&lt;1,OR(N(Tasks[[#This Row],[Finish Var]])&gt;0,Tasks[[#This Row],[Status]]="Late Start")),MAX(0,Tasks[[#This Row],[Finish Var]])+1-Tasks[[#This Row],[_Row]]/1000000,"")</f>
        <v/>
      </c>
      <c r="GM91" s="43" t="str">
        <f aca="false">IF(AND(Tasks[[#This Row],[_IsLeaf]]=1,N(Tasks[[#This Row],[Actual Start]])=0,Tasks[[#This Row],[_ShownFcstStart]]&gt;=StatusDate,Tasks[[#This Row],[_ShownFcstStart]]&lt;=LookaheadEnd),Tasks[[#This Row],[_ShownFcstStart]]+Tasks[[#This Row],[_Row]]/100000,"")</f>
        <v/>
      </c>
      <c r="GN91" s="43" t="str">
        <f aca="false">IF(AND(Tasks[[#This Row],[_IsLeaf]]=1,Tasks[[#This Row],[_LeafProgress]]&lt;1,Tasks[[#This Row],[_ShownFcstFinish]]&gt;=StatusDate,Tasks[[#This Row],[_ShownFcstFinish]]&lt;=LookaheadEnd),Tasks[[#This Row],[_ShownFcstFinish]]+Tasks[[#This Row],[_Row]]/100000,"")</f>
        <v/>
      </c>
      <c r="GO91" s="43" t="str">
        <f aca="false">IF(Tasks[[#This Row],[_LeafCritical]],Tasks[[#This Row],[_ShownFcstStart]]+Tasks[[#This Row],[_Row]]/100000,"")</f>
        <v/>
      </c>
      <c r="GP91" s="43" t="n">
        <f aca="false">Tasks[[#This Row],[_LeafWork]]*Tasks[[#This Row],[_LeafProgress]]</f>
        <v>0</v>
      </c>
      <c r="GQ91" s="91" t="str">
        <f aca="false">IF(AND(Tasks[[#This Row],[_IsLeaf]]=1,Tasks[[#This Row],[_LeafProgress]]&gt;=1),IF(N(Tasks[[#This Row],[Actual Finish]])&gt;0,Tasks[[#This Row],[Actual Finish]],Tasks[[#This Row],[_ShownFcstFinish]]),"")</f>
        <v/>
      </c>
      <c r="GR91" s="43" t="n">
        <f aca="false">IF(Tasks[[#This Row],[_IsLeaf]]=1,N(Tasks[[#This Row],[Story Points]]),0)</f>
        <v>0</v>
      </c>
      <c r="GS91" s="43" t="str">
        <f aca="false">""</f>
        <v/>
      </c>
      <c r="GT91" s="90" t="b">
        <f aca="false">IF(Tasks[[#This Row],[Task Name]]="",FALSE(),AND(Tasks[[#This Row],[_IsLeaf]]=1,N(Tasks[[#This Row],[_Days]])=0))</f>
        <v>0</v>
      </c>
      <c r="GU91" s="91" t="n">
        <f aca="false">IF(Tasks[[#This Row],[Task Name]]="",0,IF(AND(Tasks[[#This Row],[_IsLeaf]]=1,NOT(Tasks[[#This Row],[_IsMilestone]]),N(Tasks[[#This Row],[Progress]])&gt;0),Tasks[[#This Row],[Start]],0))</f>
        <v>0</v>
      </c>
      <c r="GV91" s="91" t="n">
        <f aca="false">IF(Tasks[[#This Row],[_DoneFrom]]=0,0,IF(Tasks[[#This Row],[Progress]]&gt;=1,Tasks[[#This Row],[Finish]],MAX(Tasks[[#This Row],[_DoneFrom]],Tasks[[#This Row],[Start]]+ROUND((Tasks[[#This Row],[Finish]]-Tasks[[#This Row],[Start]]+1)*Tasks[[#This Row],[Progress]],0)-1)))</f>
        <v>0</v>
      </c>
      <c r="GW91" s="91" t="n">
        <f aca="false">IF(Tasks[[#This Row],[Task Name]]="",0,IF(OR(NOT(Tasks[[#This Row],[_IsLeaf]]=1),Tasks[[#This Row],[_IsMilestone]],N(Tasks[[#This Row],[Progress]])&gt;=1),0,IF(Tasks[[#This Row],[_DoneTo]]&gt;0,Tasks[[#This Row],[_DoneTo]]+1,Tasks[[#This Row],[Start]])))</f>
        <v>0</v>
      </c>
      <c r="GX91" s="91" t="n">
        <f aca="false">IF(Tasks[[#This Row],[_RemFrom]]=0,0,Tasks[[#This Row],[Finish]])</f>
        <v>0</v>
      </c>
      <c r="GY91" s="90" t="b">
        <f aca="false">IF(Tasks[[#This Row],[Task Name]]="",FALSE(),OR(NOT(BaselineSet),N(Tasks[[#This Row],[Baseline Start]])&gt;0))</f>
        <v>0</v>
      </c>
      <c r="GZ9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92" t="str">
        <f aca="false">IF(Tasks[[#This Row],[_IsLeaf]]=1,Tasks[[#This Row],[_Row]],"")</f>
        <v/>
      </c>
      <c r="HD91" s="92" t="str">
        <f aca="false">IFERROR(INDEX(Tasks[UID],SMALL(Tasks[_PickKey],Tasks[[#This Row],[_Row]]))&amp;" "&amp;INDEX(Tasks[Task Name],SMALL(Tasks[_PickKey],Tasks[[#This Row],[_Row]])),"")</f>
        <v/>
      </c>
      <c r="HE91" s="43" t="str">
        <f aca="false">IF(Tasks[[#This Row],[Task Name]]="","",IF(Tasks[[#This Row],[_IsSummary]],NETWORKDAYS.INTL(Tasks[[#This Row],[Start]],Tasks[[#This Row],[Finish]],WorkWeek,Holidays),N(Tasks[[#This Row],[_Days]])))</f>
        <v/>
      </c>
      <c r="HF91" s="43" t="n">
        <f aca="false">IF(Tasks[[#This Row],[Expected]]="",0,((Tasks[[#This Row],[Pessimistic]]-Tasks[[#This Row],[Optimistic]])/6)^2)</f>
        <v>0</v>
      </c>
      <c r="HG91" s="43" t="n">
        <f aca="false">IF(Tasks[[#This Row],[Expected]]="",0,Tasks[[#This Row],[Expected]]-N(Tasks[[#This Row],[_Days]]))</f>
        <v>0</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4"/>
      <c r="U92" s="23"/>
      <c r="V92" s="84"/>
      <c r="W92" s="23"/>
      <c r="X92" s="84"/>
      <c r="Y92" s="23"/>
      <c r="Z92" s="84"/>
      <c r="AA92" s="23"/>
      <c r="AB92" s="23"/>
      <c r="AC92" s="7"/>
      <c r="AD92" s="7"/>
      <c r="AE92" s="63" t="str">
        <f aca="false">IF(Tasks[[#This Row],[Task Name]]="","",IF(Tasks[[#This Row],[_IsSummary]],MIN(INDEX(Tasks[_ShownFcstStart],Tasks[[#This Row],[_Row]]+1):INDEX(Tasks[_ShownFcstStart],Tasks[[#This Row],[_Row]]+Tasks[[#This Row],[_Descendants]])),Tasks[[#This Row],[_ShownFcstStart]]))</f>
        <v/>
      </c>
      <c r="AF92" s="63"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2" s="7"/>
      <c r="AK92" s="22"/>
      <c r="AL92" s="23"/>
      <c r="AM92" s="7"/>
      <c r="AN92" s="47"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3" t="str">
        <f aca="false">IF(Tasks[[#This Row],[Task Name]]="","",IF(N(Tasks[[#This Row],[Baseline Start]])&gt;0,Tasks[[#This Row],[Baseline Start]],Tasks[[#This Row],[_CalcStart]]))</f>
        <v/>
      </c>
      <c r="AR92" s="63" t="str">
        <f aca="false">IF(Tasks[[#This Row],[Task Name]]="","",IF(N(Tasks[[#This Row],[Baseline Finish]])&gt;0,Tasks[[#This Row],[Baseline Finish]],Tasks[[#This Row],[_CalcFinish]]))</f>
        <v/>
      </c>
      <c r="AS92" s="47" t="str">
        <f aca="false">IF(Tasks[[#This Row],[Task Name]]="","",IF(Tasks[[#This Row],[Start]]&gt;=Tasks[[#This Row],[Planned Start]],NETWORKDAYS.INTL(Tasks[[#This Row],[Planned Start]],Tasks[[#This Row],[Start]],WorkWeek,Holidays)-1,1-NETWORKDAYS.INTL(Tasks[[#This Row],[Start]],Tasks[[#This Row],[Planned Start]],WorkWeek,Holidays)))</f>
        <v/>
      </c>
      <c r="AT92" s="63" t="str">
        <f aca="false">IF(Tasks[[#This Row],[Task Name]]="","",IF(Tasks[[#This Row],[_IsSummary]],MIN(INDEX(Tasks[_LeafLateStart],Tasks[[#This Row],[_Row]]+1):INDEX(Tasks[_LeafLateStart],Tasks[[#This Row],[_Row]]+Tasks[[#This Row],[_Descendants]])),Tasks[[#This Row],[_LeafLateStart]]))</f>
        <v/>
      </c>
      <c r="AU92" s="63" t="str">
        <f aca="false">IF(Tasks[[#This Row],[Task Name]]="","",IF(Tasks[[#This Row],[_IsSummary]],MAX(INDEX(Tasks[_LeafLateFinish],Tasks[[#This Row],[_Row]]+1):INDEX(Tasks[_LeafLateFinish],Tasks[[#This Row],[_Row]]+Tasks[[#This Row],[_Descendants]])),Tasks[[#This Row],[_LeafLateFinish]]))</f>
        <v/>
      </c>
      <c r="AV92" s="47"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5"/>
      <c r="BA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6"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7"/>
      <c r="BJ92" s="22"/>
      <c r="BK92" s="47" t="str">
        <f aca="false">IF(OR(Tasks[[#This Row],[Task Name]]="",Tasks[[#This Row],[Baseline Duration]]=""),"",Tasks[[#This Row],[_SpanDays]]-N(Tasks[[#This Row],[Baseline Duration]]))</f>
        <v/>
      </c>
      <c r="BL92" s="86" t="str">
        <f aca="false">IF(OR(Tasks[[#This Row],[Task Name]]="",Tasks[[#This Row],[Baseline Work]]=""),"",Tasks[[#This Row],[Work]]-N(Tasks[[#This Row],[Baseline Work]]))</f>
        <v/>
      </c>
      <c r="BM92" s="63" t="str">
        <f aca="false">IF(Tasks[[#This Row],[Task Name]]="","",IF(OR(TakeBaseline="Yes",N(Tasks[[#This Row],[Baseline Start]])=0),Tasks[[#This Row],[Start]],Tasks[[#This Row],[Baseline Start]]))</f>
        <v/>
      </c>
      <c r="BN92" s="63" t="str">
        <f aca="false">IF(Tasks[[#This Row],[Task Name]]="","",IF(OR(TakeBaseline="Yes",N(Tasks[[#This Row],[Baseline Finish]])=0),Tasks[[#This Row],[Finish]],Tasks[[#This Row],[Baseline Finish]]))</f>
        <v/>
      </c>
      <c r="BO92" s="21" t="str">
        <f aca="false">IF(Tasks[[#This Row],[Task Name]]="","",IF(OR(TakeBaseline="Yes",N(Tasks[[#This Row],[Baseline Duration]])=0),Tasks[[#This Row],[_SpanDays]],Tasks[[#This Row],[Baseline Duration]]))</f>
        <v/>
      </c>
      <c r="BP92" s="86" t="str">
        <f aca="false">IF(Tasks[[#This Row],[Task Name]]="","",IF(OR(TakeBaseline="Yes",N(Tasks[[#This Row],[Baseline Work]])=0),Tasks[[#This Row],[Work]],Tasks[[#This Row],[Baseline Work]]))</f>
        <v/>
      </c>
      <c r="BQ92" s="7"/>
      <c r="BR92" s="7"/>
      <c r="BS92" s="22"/>
      <c r="BT92" s="88"/>
      <c r="BU92" s="23"/>
      <c r="BV92" s="23"/>
      <c r="BW92" s="23"/>
      <c r="BX92" s="89" t="str">
        <f aca="false">IF(AND(Tasks[[#This Row],[_IsLeaf]]=1,ISNUMBER(Tasks[[#This Row],[Optimistic]]),ISNUMBER(Tasks[[#This Row],[Pessimistic]])),ROUND((Tasks[[#This Row],[Optimistic]]+4*N(Tasks[[#This Row],[_Days]])+Tasks[[#This Row],[Pessimistic]])/6,1),"")</f>
        <v/>
      </c>
      <c r="BY92" s="87"/>
      <c r="BZ92" s="87"/>
      <c r="CA92" s="22"/>
      <c r="CB92" s="43" t="str">
        <f aca="false">IF(Tasks[[#This Row],[Task Name]]="","",MAX(1,N(Tasks[[#This Row],[Level]])))</f>
        <v/>
      </c>
      <c r="CC92" s="43" t="n">
        <f aca="false">ROW()-ROW(Tasks[[#Headers],[ID]])</f>
        <v>87</v>
      </c>
      <c r="CD92" s="43" t="n">
        <f aca="false">IF(OR(Tasks[[#This Row],[Task Name]]="",Tasks[[#This Row],[_Level]]&lt;=1),0,IFERROR(LOOKUP(2,1/(Tasks[[#Headers],[_Level]]:Tasks[[#This Row],[_Level]]=Tasks[[#This Row],[_Level]]-1),ROW(Tasks[[#Headers],[_Level]]:Tasks[[#This Row],[_Level]])),0))</f>
        <v>0</v>
      </c>
      <c r="CE92" s="43" t="n">
        <f aca="false">IFERROR(N(INDEX(Tasks[_Level],Tasks[[#This Row],[_Row]]+1)),0)</f>
        <v>0</v>
      </c>
      <c r="CF92" s="90" t="b">
        <f aca="false">AND(Tasks[[#This Row],[Task Name]]&lt;&gt;"",Tasks[[#This Row],[_NextLevel]]&gt;Tasks[[#This Row],[_Level]])</f>
        <v>0</v>
      </c>
      <c r="CG92" s="43" t="n">
        <f aca="false">IF(Tasks[[#This Row],[_IsSummary]],COUNTIF(Tasks[WBS],Tasks[[#This Row],[WBS]]&amp;".*"),0)</f>
        <v>0</v>
      </c>
      <c r="CH92" s="43" t="n">
        <f aca="false">IF(AND(Tasks[[#This Row],[Task Name]]&lt;&gt;"",NOT(Tasks[[#This Row],[_IsSummary]])),1,0)</f>
        <v>0</v>
      </c>
      <c r="CI92" s="43" t="n">
        <f aca="false">IF(N(Tasks[[#This Row],[_Pred1UID]])=0,0,IFERROR(MATCH(Tasks[[#This Row],[_Pred1UID]],Tasks[UID],0),-1))</f>
        <v>0</v>
      </c>
      <c r="CJ92" s="43" t="n">
        <f aca="false">IF(N(Tasks[[#This Row],[_Pred2UID]])=0,0,IFERROR(MATCH(Tasks[[#This Row],[_Pred2UID]],Tasks[UID],0),-1))</f>
        <v>0</v>
      </c>
      <c r="CK92" s="43" t="n">
        <f aca="false">IF(N(Tasks[[#This Row],[_Pred3UID]])=0,0,IFERROR(MATCH(Tasks[[#This Row],[_Pred3UID]],Tasks[UID],0),-1))</f>
        <v>0</v>
      </c>
      <c r="CL92" s="43" t="n">
        <f aca="false">IF(N(Tasks[[#This Row],[_Pred4UID]])=0,0,IFERROR(MATCH(Tasks[[#This Row],[_Pred4UID]],Tasks[UID],0),-1))</f>
        <v>0</v>
      </c>
      <c r="CM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2" s="91" t="n">
        <f aca="false">IF(OR(Tasks[[#This Row],[_ConstraintCode]]=2,Tasks[[#This Row],[_ConstraintCode]]=3,Tasks[[#This Row],[_ConstraintCode]]=4,Tasks[[#This Row],[_ConstraintCode]]=6),Tasks[[#This Row],[_ConstraintStart]],0)</f>
        <v>0</v>
      </c>
      <c r="CP92" s="91" t="n">
        <f aca="false">IF(OR(Tasks[[#This Row],[_ConstraintCode]]=2,Tasks[[#This Row],[_ConstraintCode]]=3,Tasks[[#This Row],[_ConstraintCode]]=5,Tasks[[#This Row],[_ConstraintCode]]=7),Tasks[[#This Row],[_ConstraintStart]],2958465)</f>
        <v>2958465</v>
      </c>
      <c r="CQ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91" t="str">
        <f aca="false">IF(NOT(Tasks[[#This Row],[_IsLeaf]]=1),"",IF(N(Tasks[[#This Row],[_Days]])&lt;=0,Tasks[[#This Row],[_LeafCalcStart]],WORKDAY.INTL(Tasks[[#This Row],[_LeafCalcStart]],Tasks[[#This Row],[_Days]]-1,WorkWeek,Holidays)))</f>
        <v/>
      </c>
      <c r="CS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3" t="str">
        <f aca="false">IF(Tasks[[#This Row],[_Predecessors]]="","",TRIM(MID(SUBSTITUTE(SUBSTITUTE(SUBSTITUTE(UPPER(Tasks[[#This Row],[_Predecessors]]),";",",")," ",""),",",REPT(" ",99)),1,99)))</f>
        <v/>
      </c>
      <c r="CV92" s="43" t="str">
        <f aca="false">IF(Tasks[[#This Row],[_Pred1Text]]="","",IFERROR(VALUE(LEFT(Tasks[[#This Row],[_Pred1Text]],MIN(FIND("F",Tasks[[#This Row],[_Pred1Text]]&amp;"F"),FIND("S",Tasks[[#This Row],[_Pred1Text]]&amp;"S"),FIND("+",Tasks[[#This Row],[_Pred1Text]]&amp;"+"),FIND("-",Tasks[[#This Row],[_Pred1Text]]&amp;"-"))-1)),""))</f>
        <v/>
      </c>
      <c r="CW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3" t="str">
        <f aca="false">IF(Tasks[[#This Row],[_Pred1Text]]="","",TRIM(MID(SUBSTITUTE(SUBSTITUTE(SUBSTITUTE(UPPER(Tasks[[#This Row],[_Predecessors]]),";",",")," ",""),",",REPT(" ",99)),100,99)))</f>
        <v/>
      </c>
      <c r="CZ92" s="43" t="str">
        <f aca="false">IF(Tasks[[#This Row],[_Pred2Text]]="","",IFERROR(VALUE(LEFT(Tasks[[#This Row],[_Pred2Text]],MIN(FIND("F",Tasks[[#This Row],[_Pred2Text]]&amp;"F"),FIND("S",Tasks[[#This Row],[_Pred2Text]]&amp;"S"),FIND("+",Tasks[[#This Row],[_Pred2Text]]&amp;"+"),FIND("-",Tasks[[#This Row],[_Pred2Text]]&amp;"-"))-1)),""))</f>
        <v/>
      </c>
      <c r="DA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3" t="str">
        <f aca="false">IF(Tasks[[#This Row],[_Pred2Text]]="","",TRIM(MID(SUBSTITUTE(SUBSTITUTE(SUBSTITUTE(UPPER(Tasks[[#This Row],[_Predecessors]]),";",",")," ",""),",",REPT(" ",99)),199,99)))</f>
        <v/>
      </c>
      <c r="DD92" s="43" t="str">
        <f aca="false">IF(Tasks[[#This Row],[_Pred3Text]]="","",IFERROR(VALUE(LEFT(Tasks[[#This Row],[_Pred3Text]],MIN(FIND("F",Tasks[[#This Row],[_Pred3Text]]&amp;"F"),FIND("S",Tasks[[#This Row],[_Pred3Text]]&amp;"S"),FIND("+",Tasks[[#This Row],[_Pred3Text]]&amp;"+"),FIND("-",Tasks[[#This Row],[_Pred3Text]]&amp;"-"))-1)),""))</f>
        <v/>
      </c>
      <c r="DE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3" t="str">
        <f aca="false">IF(Tasks[[#This Row],[_Pred3Text]]="","",TRIM(MID(SUBSTITUTE(SUBSTITUTE(SUBSTITUTE(UPPER(Tasks[[#This Row],[_Predecessors]]),";",",")," ",""),",",REPT(" ",99)),298,99)))</f>
        <v/>
      </c>
      <c r="DH92" s="43" t="str">
        <f aca="false">IF(Tasks[[#This Row],[_Pred4Text]]="","",IFERROR(VALUE(LEFT(Tasks[[#This Row],[_Pred4Text]],MIN(FIND("F",Tasks[[#This Row],[_Pred4Text]]&amp;"F"),FIND("S",Tasks[[#This Row],[_Pred4Text]]&amp;"S"),FIND("+",Tasks[[#This Row],[_Pred4Text]]&amp;"+"),FIND("-",Tasks[[#This Row],[_Pred4Text]]&amp;"-"))-1)),""))</f>
        <v/>
      </c>
      <c r="DI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3" t="str">
        <f aca="false">IF(OR(Tasks[[#This Row],[Task Name]]="",Tasks[[#This Row],[_Resources]]=""),"",TRIM(MID(SUBSTITUTE(Tasks[[#This Row],[_Resources]],",",REPT(" ",99)),1,99)))</f>
        <v/>
      </c>
      <c r="DL92" s="43" t="str">
        <f aca="false">IF(Tasks[[#This Row],[_Res1Text]]="","",TRIM(MID(SUBSTITUTE(Tasks[[#This Row],[_Resources]],",",REPT(" ",99)),100,99)))</f>
        <v/>
      </c>
      <c r="DM92" s="43" t="str">
        <f aca="false">IF(Tasks[[#This Row],[_Res2Text]]="","",TRIM(MID(SUBSTITUTE(Tasks[[#This Row],[_Resources]],",",REPT(" ",99)),199,99)))</f>
        <v/>
      </c>
      <c r="DN92" s="43" t="str">
        <f aca="false">IF(Tasks[[#This Row],[_Res3Text]]="","",TRIM(MID(SUBSTITUTE(Tasks[[#This Row],[_Resources]],",",REPT(" ",99)),298,99)))</f>
        <v/>
      </c>
      <c r="DO92" s="43" t="n">
        <f aca="false">IF(Tasks[[#This Row],[_Res1Text]]="",0,IFERROR(MATCH(TRIM(LEFT(Tasks[[#This Row],[_Res1Text]],FIND("[",Tasks[[#This Row],[_Res1Text]]&amp;"[")-1)),res_Name,0),IFERROR(MATCH(TRIM(LEFT(Tasks[[#This Row],[_Res1Text]],FIND("[",Tasks[[#This Row],[_Res1Text]]&amp;"[")-1)),res_Initials,0),0)))</f>
        <v>0</v>
      </c>
      <c r="DP92" s="43" t="n">
        <f aca="false">IF(Tasks[[#This Row],[_Res2Text]]="",0,IFERROR(MATCH(TRIM(LEFT(Tasks[[#This Row],[_Res2Text]],FIND("[",Tasks[[#This Row],[_Res2Text]]&amp;"[")-1)),res_Name,0),IFERROR(MATCH(TRIM(LEFT(Tasks[[#This Row],[_Res2Text]],FIND("[",Tasks[[#This Row],[_Res2Text]]&amp;"[")-1)),res_Initials,0),0)))</f>
        <v>0</v>
      </c>
      <c r="DQ92" s="43" t="n">
        <f aca="false">IF(Tasks[[#This Row],[_Res3Text]]="",0,IFERROR(MATCH(TRIM(LEFT(Tasks[[#This Row],[_Res3Text]],FIND("[",Tasks[[#This Row],[_Res3Text]]&amp;"[")-1)),res_Name,0),IFERROR(MATCH(TRIM(LEFT(Tasks[[#This Row],[_Res3Text]],FIND("[",Tasks[[#This Row],[_Res3Text]]&amp;"[")-1)),res_Initials,0),0)))</f>
        <v>0</v>
      </c>
      <c r="DR92" s="43" t="n">
        <f aca="false">IF(Tasks[[#This Row],[_Res4Text]]="",0,IFERROR(MATCH(TRIM(LEFT(Tasks[[#This Row],[_Res4Text]],FIND("[",Tasks[[#This Row],[_Res4Text]]&amp;"[")-1)),res_Name,0),IFERROR(MATCH(TRIM(LEFT(Tasks[[#This Row],[_Res4Text]],FIND("[",Tasks[[#This Row],[_Res4Text]]&amp;"[")-1)),res_Initials,0),0)))</f>
        <v>0</v>
      </c>
      <c r="DS92" s="43" t="str">
        <f aca="false">IF(Tasks[[#This Row],[_Res1Text]]="","",IF(Tasks[[#This Row],[_Res1Row]]&gt;0,INDEX(res_Name,Tasks[[#This Row],[_Res1Row]]),TRIM(LEFT(Tasks[[#This Row],[_Res1Text]],FIND("[",Tasks[[#This Row],[_Res1Text]]&amp;"[")-1))))</f>
        <v/>
      </c>
      <c r="DT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3" t="n">
        <f aca="false">IF(NOT(Tasks[[#This Row],[_IsLeaf]]=1),0,(Tasks[[#This Row],[_Resource1]]&lt;&gt;"")+(Tasks[[#This Row],[_Res2]]&lt;&gt;"")+(Tasks[[#This Row],[_Res3]]&lt;&gt;"")+(Tasks[[#This Row],[_Res4]]&lt;&gt;""))</f>
        <v>0</v>
      </c>
      <c r="DV92" s="43" t="str">
        <f aca="false">IF(Tasks[[#This Row],[_Res2Text]]="","",IF(Tasks[[#This Row],[_Res2Row]]&gt;0,INDEX(res_Name,Tasks[[#This Row],[_Res2Row]]),TRIM(LEFT(Tasks[[#This Row],[_Res2Text]],FIND("[",Tasks[[#This Row],[_Res2Text]]&amp;"[")-1))))</f>
        <v/>
      </c>
      <c r="DW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3" t="n">
        <f aca="false">IF(OR(NOT(Tasks[[#This Row],[_IsLeaf]]=1),Tasks[[#This Row],[_Res2Row]]=0),0,N(Tasks[[#This Row],[_Days]])*HoursPerDay*IF(Tasks[[#This Row],[_Res2Units]]="",DefaultUnits,Tasks[[#This Row],[_Res2Units]]))</f>
        <v>0</v>
      </c>
      <c r="DY92" s="43" t="n">
        <f aca="false">IF(AND(AND(Tasks[[#This Row],[_IsLeaf]]=1,Tasks[[#This Row],[_LeafTotalWork]]&gt;0),Tasks[[#This Row],[_Res2Work]]&gt;0),Tasks[[#This Row],[_Res2Work]]/(Tasks[[#This Row],[_FinishWorkday]]-Tasks[[#This Row],[_StartWorkday]]+1),0)</f>
        <v>0</v>
      </c>
      <c r="DZ92" s="43" t="n">
        <f aca="false">Tasks[[#This Row],[_Res2WorkPerWD]]*MAX(0,Tasks[[#This Row],[_StartWorkday]]-1)</f>
        <v>0</v>
      </c>
      <c r="EA92" s="43" t="n">
        <f aca="false">Tasks[[#This Row],[_Res2Work]]*Tasks[[#This Row],[_LeafProgress]]</f>
        <v>0</v>
      </c>
      <c r="EB92" s="43" t="str">
        <f aca="false">IF(Tasks[[#This Row],[_Res3Text]]="","",IF(Tasks[[#This Row],[_Res3Row]]&gt;0,INDEX(res_Name,Tasks[[#This Row],[_Res3Row]]),TRIM(LEFT(Tasks[[#This Row],[_Res3Text]],FIND("[",Tasks[[#This Row],[_Res3Text]]&amp;"[")-1))))</f>
        <v/>
      </c>
      <c r="EC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3" t="n">
        <f aca="false">IF(OR(NOT(Tasks[[#This Row],[_IsLeaf]]=1),Tasks[[#This Row],[_Res3Row]]=0),0,N(Tasks[[#This Row],[_Days]])*HoursPerDay*IF(Tasks[[#This Row],[_Res3Units]]="",DefaultUnits,Tasks[[#This Row],[_Res3Units]]))</f>
        <v>0</v>
      </c>
      <c r="EE92" s="43" t="n">
        <f aca="false">IF(AND(AND(Tasks[[#This Row],[_IsLeaf]]=1,Tasks[[#This Row],[_LeafTotalWork]]&gt;0),Tasks[[#This Row],[_Res3Work]]&gt;0),Tasks[[#This Row],[_Res3Work]]/(Tasks[[#This Row],[_FinishWorkday]]-Tasks[[#This Row],[_StartWorkday]]+1),0)</f>
        <v>0</v>
      </c>
      <c r="EF92" s="43" t="n">
        <f aca="false">Tasks[[#This Row],[_Res3WorkPerWD]]*MAX(0,Tasks[[#This Row],[_StartWorkday]]-1)</f>
        <v>0</v>
      </c>
      <c r="EG92" s="43" t="n">
        <f aca="false">Tasks[[#This Row],[_Res3Work]]*Tasks[[#This Row],[_LeafProgress]]</f>
        <v>0</v>
      </c>
      <c r="EH92" s="43" t="str">
        <f aca="false">IF(Tasks[[#This Row],[_Res4Text]]="","",IF(Tasks[[#This Row],[_Res4Row]]&gt;0,INDEX(res_Name,Tasks[[#This Row],[_Res4Row]]),TRIM(LEFT(Tasks[[#This Row],[_Res4Text]],FIND("[",Tasks[[#This Row],[_Res4Text]]&amp;"[")-1))))</f>
        <v/>
      </c>
      <c r="EI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3" t="n">
        <f aca="false">IF(OR(NOT(Tasks[[#This Row],[_IsLeaf]]=1),Tasks[[#This Row],[_Res4Row]]=0),0,N(Tasks[[#This Row],[_Days]])*HoursPerDay*IF(Tasks[[#This Row],[_Res4Units]]="",DefaultUnits,Tasks[[#This Row],[_Res4Units]]))</f>
        <v>0</v>
      </c>
      <c r="EK92" s="43" t="n">
        <f aca="false">IF(AND(AND(Tasks[[#This Row],[_IsLeaf]]=1,Tasks[[#This Row],[_LeafTotalWork]]&gt;0),Tasks[[#This Row],[_Res4Work]]&gt;0),Tasks[[#This Row],[_Res4Work]]/(Tasks[[#This Row],[_FinishWorkday]]-Tasks[[#This Row],[_StartWorkday]]+1),0)</f>
        <v>0</v>
      </c>
      <c r="EL92" s="43" t="n">
        <f aca="false">Tasks[[#This Row],[_Res4WorkPerWD]]*MAX(0,Tasks[[#This Row],[_StartWorkday]]-1)</f>
        <v>0</v>
      </c>
      <c r="EM92" s="43" t="n">
        <f aca="false">Tasks[[#This Row],[_Res4Work]]*Tasks[[#This Row],[_LeafProgress]]</f>
        <v>0</v>
      </c>
      <c r="EN92" s="43" t="n">
        <f aca="false">IF(ISNUMBER(Tasks[[#This Row],[% Complete]]),Tasks[[#This Row],[% Complete]],IF(Tasks[[#This Row],[Stage]]="",0,IFERROR(INDEX(stg_Pct,MATCH(Tasks[[#This Row],[Stage]],stg_Name,0)),0)))</f>
        <v>0</v>
      </c>
      <c r="EO92" s="43" t="n">
        <f aca="false">IF(NOT(Tasks[[#This Row],[_IsLeaf]]=1),0,IF(N(Tasks[[#This Row],[Actual Finish]])&gt;0,1,MIN(1,Tasks[[#This Row],[_Pct]])))</f>
        <v>0</v>
      </c>
      <c r="EP92" s="43" t="n">
        <f aca="false">IF(OR(NOT(Tasks[[#This Row],[_IsLeaf]]=1),Tasks[[#This Row],[_Res1Row]]=0),0,N(Tasks[[#This Row],[_Days]])*HoursPerDay*IF(Tasks[[#This Row],[_Units1]]="",DefaultUnits,Tasks[[#This Row],[_Units1]]))</f>
        <v>0</v>
      </c>
      <c r="EQ92" s="43" t="n">
        <f aca="false">Tasks[[#This Row],[_LeafWork]]+Tasks[[#This Row],[_Res2Work]]+Tasks[[#This Row],[_Res3Work]]+Tasks[[#This Row],[_Res4Work]]</f>
        <v>0</v>
      </c>
      <c r="ER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3" t="n">
        <f aca="false">IF(NOT(Tasks[[#This Row],[_IsLeaf]]=1),0,MAX(_xlfn.MAXIFS(Tasks[_Row],Tasks[_Pred1UID],Tasks[[#This Row],[UID]]),_xlfn.MAXIFS(Tasks[_Row],Tasks[_Pred2UID],Tasks[[#This Row],[UID]]),_xlfn.MAXIFS(Tasks[_Row],Tasks[_Pred3UID],Tasks[[#This Row],[UID]]),_xlfn.MAXIFS(Tasks[_Row],Tasks[_Pred4UID],Tasks[[#This Row],[UID]])))</f>
        <v>0</v>
      </c>
      <c r="FA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91" t="str">
        <f aca="false">IF(NOT(Tasks[[#This Row],[_IsLeaf]]=1),"",IF(N(Tasks[[#This Row],[_Days]])&lt;=0,Tasks[[#This Row],[_LeafLateFinish]],WORKDAY.INTL(Tasks[[#This Row],[_LeafLateFinish]],-(Tasks[[#This Row],[_Days]]-1),WorkWeek,Holidays)))</f>
        <v/>
      </c>
      <c r="FD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2" s="90" t="b">
        <f aca="false">AND(Tasks[[#This Row],[_IsLeaf]]=1,Tasks[[#This Row],[_LeafProgress]]&lt;1,N(Tasks[[#This Row],[_LeafTotalSlack]])&lt;=CriticalSlackDays)</f>
        <v>0</v>
      </c>
      <c r="FF92" s="43" t="n">
        <f aca="false">IF(AND(Tasks[[#This Row],[_IsLeaf]]=1,Tasks[[#This Row],[_ConstraintCode]]=1,Tasks[[#This Row],[Mode]]&lt;&gt;"Manual",N(Tasks[[#This Row],[Actual Start]])=0),MAX(0,N(Tasks[[#This Row],[Free Slack]])),0)</f>
        <v>0</v>
      </c>
      <c r="FG92" s="91" t="str">
        <f aca="false">IF(NOT(Tasks[[#This Row],[_IsLeaf]]=1),"",IF(Tasks[[#This Row],[_AlapShift]]=0,Tasks[[#This Row],[_LeafCalcStart]],WORKDAY.INTL(Tasks[[#This Row],[_LeafCalcStart]],Tasks[[#This Row],[_AlapShift]],WorkWeek,Holidays)))</f>
        <v/>
      </c>
      <c r="FH92" s="91" t="str">
        <f aca="false">IF(NOT(Tasks[[#This Row],[_IsLeaf]]=1),"",IF(Tasks[[#This Row],[_AlapShift]]=0,Tasks[[#This Row],[_LeafCalcFinish]],WORKDAY.INTL(Tasks[[#This Row],[_LeafCalcFinish]],Tasks[[#This Row],[_AlapShift]],WorkWeek,Holidays)))</f>
        <v/>
      </c>
      <c r="FI92" s="91" t="str">
        <f aca="false">IF(NOT(Tasks[[#This Row],[_IsLeaf]]=1),"",IF(Tasks[[#This Row],[_AlapShift]]=0,Tasks[[#This Row],[_LeafFcstStart]],WORKDAY.INTL(Tasks[[#This Row],[_LeafFcstStart]],Tasks[[#This Row],[_AlapShift]],WorkWeek,Holidays)))</f>
        <v/>
      </c>
      <c r="FJ92" s="91" t="str">
        <f aca="false">IF(NOT(Tasks[[#This Row],[_IsLeaf]]=1),"",IF(Tasks[[#This Row],[_AlapShift]]=0,Tasks[[#This Row],[_LeafFcstFinish]],WORKDAY.INTL(Tasks[[#This Row],[_LeafFcstFinish]],Tasks[[#This Row],[_AlapShift]],WorkWeek,Holidays)))</f>
        <v/>
      </c>
      <c r="FK92" s="91" t="str">
        <f aca="false">IF(Tasks[[#This Row],[Task Name]]="","",IF(Tasks[[#This Row],[_IsSummary]],MIN(INDEX(Tasks[_ShownCalcStart],Tasks[[#This Row],[_Row]]+1):INDEX(Tasks[_ShownCalcStart],Tasks[[#This Row],[_Row]]+Tasks[[#This Row],[_Descendants]])),Tasks[[#This Row],[_ShownCalcStart]]))</f>
        <v/>
      </c>
      <c r="FL92" s="91" t="str">
        <f aca="false">IF(Tasks[[#This Row],[Task Name]]="","",IF(Tasks[[#This Row],[_IsSummary]],MAX(INDEX(Tasks[_ShownCalcFinish],Tasks[[#This Row],[_Row]]+1):INDEX(Tasks[_ShownCalcFinish],Tasks[[#This Row],[_Row]]+Tasks[[#This Row],[_Descendants]])),Tasks[[#This Row],[_ShownCalcFinish]]))</f>
        <v/>
      </c>
      <c r="FM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2" s="43" t="n">
        <f aca="false">IF(AND(Tasks[[#This Row],[_IsLeaf]]=1,Tasks[[#This Row],[_LeafTotalWork]]&gt;0),NETWORKDAYS.INTL(ProjectStart,Tasks[[#This Row],[_ShownFcstStart]],WorkWeek,Holidays),0)</f>
        <v>0</v>
      </c>
      <c r="FZ92" s="43" t="n">
        <f aca="false">IF(AND(Tasks[[#This Row],[_IsLeaf]]=1,Tasks[[#This Row],[_LeafTotalWork]]&gt;0),MAX(Tasks[[#This Row],[_StartWorkday]],NETWORKDAYS.INTL(ProjectStart,Tasks[[#This Row],[_ShownFcstFinish]],WorkWeek,Holidays)),0)</f>
        <v>0</v>
      </c>
      <c r="GA92" s="43" t="n">
        <f aca="false">IF(AND(Tasks[[#This Row],[_IsLeaf]]=1,Tasks[[#This Row],[_LeafTotalWork]]&gt;0),Tasks[[#This Row],[_LeafWork]]/(Tasks[[#This Row],[_FinishWorkday]]-Tasks[[#This Row],[_StartWorkday]]+1),0)</f>
        <v>0</v>
      </c>
      <c r="GB92" s="43" t="n">
        <f aca="false">Tasks[[#This Row],[_WorkPerWorkday]]*(Tasks[[#This Row],[_StartWorkday]]-1)</f>
        <v>-0</v>
      </c>
      <c r="GC92" s="43" t="n">
        <f aca="false">IF(Tasks[[#This Row],[_IsLeaf]]=1,MAX(N(Tasks[[#This Row],[_Days]]),0.1),0)</f>
        <v>0</v>
      </c>
      <c r="GD92" s="43" t="n">
        <f aca="false">Tasks[[#This Row],[_WeightDur]]*Tasks[[#This Row],[_LeafProgress]]</f>
        <v>0</v>
      </c>
      <c r="GE92" s="43" t="n">
        <f aca="false">Tasks[[#This Row],[_WeightDur]]*Tasks[[#This Row],[_PlannedPct]]</f>
        <v>0</v>
      </c>
      <c r="GF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3" t="str">
        <f aca="false">IF(AND(Tasks[[#This Row],[_IsLeaf]]=1,N(Tasks[[#This Row],[_Days]])=0,Tasks[[#This Row],[_LeafProgress]]&lt;1),Tasks[[#This Row],[_ShownFcstFinish]]+Tasks[[#This Row],[_Row]]/100000,"")</f>
        <v/>
      </c>
      <c r="GH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2" s="43" t="str">
        <f aca="false">IF(Tasks[[#This Row],[Task Name]]="","",LEFT(Tasks[[#This Row],[WBS]],FIND(".",Tasks[[#This Row],[WBS]]&amp;".")-1))</f>
        <v/>
      </c>
      <c r="GJ92" s="43" t="str">
        <f aca="false">IF(AND(Tasks[[#This Row],[Task Name]]&lt;&gt;"",Tasks[[#This Row],[_Level]]=1),Tasks[[#This Row],[_Row]],"")</f>
        <v/>
      </c>
      <c r="GK92" s="43" t="str">
        <f aca="false">IF(AND(Tasks[[#This Row],[_IsLeaf]]=1,N(Tasks[[#This Row],[_Days]])=0),Tasks[[#This Row],[Planned Finish]]+Tasks[[#This Row],[_Row]]/100000,"")</f>
        <v/>
      </c>
      <c r="GL92" s="43" t="str">
        <f aca="false">IF(AND(Tasks[[#This Row],[_IsLeaf]]=1,Tasks[[#This Row],[_LeafProgress]]&lt;1,OR(N(Tasks[[#This Row],[Finish Var]])&gt;0,Tasks[[#This Row],[Status]]="Late Start")),MAX(0,Tasks[[#This Row],[Finish Var]])+1-Tasks[[#This Row],[_Row]]/1000000,"")</f>
        <v/>
      </c>
      <c r="GM92" s="43" t="str">
        <f aca="false">IF(AND(Tasks[[#This Row],[_IsLeaf]]=1,N(Tasks[[#This Row],[Actual Start]])=0,Tasks[[#This Row],[_ShownFcstStart]]&gt;=StatusDate,Tasks[[#This Row],[_ShownFcstStart]]&lt;=LookaheadEnd),Tasks[[#This Row],[_ShownFcstStart]]+Tasks[[#This Row],[_Row]]/100000,"")</f>
        <v/>
      </c>
      <c r="GN92" s="43" t="str">
        <f aca="false">IF(AND(Tasks[[#This Row],[_IsLeaf]]=1,Tasks[[#This Row],[_LeafProgress]]&lt;1,Tasks[[#This Row],[_ShownFcstFinish]]&gt;=StatusDate,Tasks[[#This Row],[_ShownFcstFinish]]&lt;=LookaheadEnd),Tasks[[#This Row],[_ShownFcstFinish]]+Tasks[[#This Row],[_Row]]/100000,"")</f>
        <v/>
      </c>
      <c r="GO92" s="43" t="str">
        <f aca="false">IF(Tasks[[#This Row],[_LeafCritical]],Tasks[[#This Row],[_ShownFcstStart]]+Tasks[[#This Row],[_Row]]/100000,"")</f>
        <v/>
      </c>
      <c r="GP92" s="43" t="n">
        <f aca="false">Tasks[[#This Row],[_LeafWork]]*Tasks[[#This Row],[_LeafProgress]]</f>
        <v>0</v>
      </c>
      <c r="GQ92" s="91" t="str">
        <f aca="false">IF(AND(Tasks[[#This Row],[_IsLeaf]]=1,Tasks[[#This Row],[_LeafProgress]]&gt;=1),IF(N(Tasks[[#This Row],[Actual Finish]])&gt;0,Tasks[[#This Row],[Actual Finish]],Tasks[[#This Row],[_ShownFcstFinish]]),"")</f>
        <v/>
      </c>
      <c r="GR92" s="43" t="n">
        <f aca="false">IF(Tasks[[#This Row],[_IsLeaf]]=1,N(Tasks[[#This Row],[Story Points]]),0)</f>
        <v>0</v>
      </c>
      <c r="GS92" s="43" t="str">
        <f aca="false">""</f>
        <v/>
      </c>
      <c r="GT92" s="90" t="b">
        <f aca="false">IF(Tasks[[#This Row],[Task Name]]="",FALSE(),AND(Tasks[[#This Row],[_IsLeaf]]=1,N(Tasks[[#This Row],[_Days]])=0))</f>
        <v>0</v>
      </c>
      <c r="GU92" s="91" t="n">
        <f aca="false">IF(Tasks[[#This Row],[Task Name]]="",0,IF(AND(Tasks[[#This Row],[_IsLeaf]]=1,NOT(Tasks[[#This Row],[_IsMilestone]]),N(Tasks[[#This Row],[Progress]])&gt;0),Tasks[[#This Row],[Start]],0))</f>
        <v>0</v>
      </c>
      <c r="GV92" s="91" t="n">
        <f aca="false">IF(Tasks[[#This Row],[_DoneFrom]]=0,0,IF(Tasks[[#This Row],[Progress]]&gt;=1,Tasks[[#This Row],[Finish]],MAX(Tasks[[#This Row],[_DoneFrom]],Tasks[[#This Row],[Start]]+ROUND((Tasks[[#This Row],[Finish]]-Tasks[[#This Row],[Start]]+1)*Tasks[[#This Row],[Progress]],0)-1)))</f>
        <v>0</v>
      </c>
      <c r="GW92" s="91" t="n">
        <f aca="false">IF(Tasks[[#This Row],[Task Name]]="",0,IF(OR(NOT(Tasks[[#This Row],[_IsLeaf]]=1),Tasks[[#This Row],[_IsMilestone]],N(Tasks[[#This Row],[Progress]])&gt;=1),0,IF(Tasks[[#This Row],[_DoneTo]]&gt;0,Tasks[[#This Row],[_DoneTo]]+1,Tasks[[#This Row],[Start]])))</f>
        <v>0</v>
      </c>
      <c r="GX92" s="91" t="n">
        <f aca="false">IF(Tasks[[#This Row],[_RemFrom]]=0,0,Tasks[[#This Row],[Finish]])</f>
        <v>0</v>
      </c>
      <c r="GY92" s="90" t="b">
        <f aca="false">IF(Tasks[[#This Row],[Task Name]]="",FALSE(),OR(NOT(BaselineSet),N(Tasks[[#This Row],[Baseline Start]])&gt;0))</f>
        <v>0</v>
      </c>
      <c r="GZ9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92" t="str">
        <f aca="false">IF(Tasks[[#This Row],[_IsLeaf]]=1,Tasks[[#This Row],[_Row]],"")</f>
        <v/>
      </c>
      <c r="HD92" s="92" t="str">
        <f aca="false">IFERROR(INDEX(Tasks[UID],SMALL(Tasks[_PickKey],Tasks[[#This Row],[_Row]]))&amp;" "&amp;INDEX(Tasks[Task Name],SMALL(Tasks[_PickKey],Tasks[[#This Row],[_Row]])),"")</f>
        <v/>
      </c>
      <c r="HE92" s="43" t="str">
        <f aca="false">IF(Tasks[[#This Row],[Task Name]]="","",IF(Tasks[[#This Row],[_IsSummary]],NETWORKDAYS.INTL(Tasks[[#This Row],[Start]],Tasks[[#This Row],[Finish]],WorkWeek,Holidays),N(Tasks[[#This Row],[_Days]])))</f>
        <v/>
      </c>
      <c r="HF92" s="43" t="n">
        <f aca="false">IF(Tasks[[#This Row],[Expected]]="",0,((Tasks[[#This Row],[Pessimistic]]-Tasks[[#This Row],[Optimistic]])/6)^2)</f>
        <v>0</v>
      </c>
      <c r="HG92" s="43" t="n">
        <f aca="false">IF(Tasks[[#This Row],[Expected]]="",0,Tasks[[#This Row],[Expected]]-N(Tasks[[#This Row],[_Days]]))</f>
        <v>0</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4"/>
      <c r="U93" s="23"/>
      <c r="V93" s="84"/>
      <c r="W93" s="23"/>
      <c r="X93" s="84"/>
      <c r="Y93" s="23"/>
      <c r="Z93" s="84"/>
      <c r="AA93" s="23"/>
      <c r="AB93" s="23"/>
      <c r="AC93" s="7"/>
      <c r="AD93" s="7"/>
      <c r="AE93" s="63" t="str">
        <f aca="false">IF(Tasks[[#This Row],[Task Name]]="","",IF(Tasks[[#This Row],[_IsSummary]],MIN(INDEX(Tasks[_ShownFcstStart],Tasks[[#This Row],[_Row]]+1):INDEX(Tasks[_ShownFcstStart],Tasks[[#This Row],[_Row]]+Tasks[[#This Row],[_Descendants]])),Tasks[[#This Row],[_ShownFcstStart]]))</f>
        <v/>
      </c>
      <c r="AF93" s="63"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3" s="7"/>
      <c r="AK93" s="22"/>
      <c r="AL93" s="23"/>
      <c r="AM93" s="7"/>
      <c r="AN93" s="47"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3" t="str">
        <f aca="false">IF(Tasks[[#This Row],[Task Name]]="","",IF(N(Tasks[[#This Row],[Baseline Start]])&gt;0,Tasks[[#This Row],[Baseline Start]],Tasks[[#This Row],[_CalcStart]]))</f>
        <v/>
      </c>
      <c r="AR93" s="63" t="str">
        <f aca="false">IF(Tasks[[#This Row],[Task Name]]="","",IF(N(Tasks[[#This Row],[Baseline Finish]])&gt;0,Tasks[[#This Row],[Baseline Finish]],Tasks[[#This Row],[_CalcFinish]]))</f>
        <v/>
      </c>
      <c r="AS93" s="47" t="str">
        <f aca="false">IF(Tasks[[#This Row],[Task Name]]="","",IF(Tasks[[#This Row],[Start]]&gt;=Tasks[[#This Row],[Planned Start]],NETWORKDAYS.INTL(Tasks[[#This Row],[Planned Start]],Tasks[[#This Row],[Start]],WorkWeek,Holidays)-1,1-NETWORKDAYS.INTL(Tasks[[#This Row],[Start]],Tasks[[#This Row],[Planned Start]],WorkWeek,Holidays)))</f>
        <v/>
      </c>
      <c r="AT93" s="63" t="str">
        <f aca="false">IF(Tasks[[#This Row],[Task Name]]="","",IF(Tasks[[#This Row],[_IsSummary]],MIN(INDEX(Tasks[_LeafLateStart],Tasks[[#This Row],[_Row]]+1):INDEX(Tasks[_LeafLateStart],Tasks[[#This Row],[_Row]]+Tasks[[#This Row],[_Descendants]])),Tasks[[#This Row],[_LeafLateStart]]))</f>
        <v/>
      </c>
      <c r="AU93" s="63" t="str">
        <f aca="false">IF(Tasks[[#This Row],[Task Name]]="","",IF(Tasks[[#This Row],[_IsSummary]],MAX(INDEX(Tasks[_LeafLateFinish],Tasks[[#This Row],[_Row]]+1):INDEX(Tasks[_LeafLateFinish],Tasks[[#This Row],[_Row]]+Tasks[[#This Row],[_Descendants]])),Tasks[[#This Row],[_LeafLateFinish]]))</f>
        <v/>
      </c>
      <c r="AV93" s="47"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5"/>
      <c r="BA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6"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7"/>
      <c r="BJ93" s="22"/>
      <c r="BK93" s="47" t="str">
        <f aca="false">IF(OR(Tasks[[#This Row],[Task Name]]="",Tasks[[#This Row],[Baseline Duration]]=""),"",Tasks[[#This Row],[_SpanDays]]-N(Tasks[[#This Row],[Baseline Duration]]))</f>
        <v/>
      </c>
      <c r="BL93" s="86" t="str">
        <f aca="false">IF(OR(Tasks[[#This Row],[Task Name]]="",Tasks[[#This Row],[Baseline Work]]=""),"",Tasks[[#This Row],[Work]]-N(Tasks[[#This Row],[Baseline Work]]))</f>
        <v/>
      </c>
      <c r="BM93" s="63" t="str">
        <f aca="false">IF(Tasks[[#This Row],[Task Name]]="","",IF(OR(TakeBaseline="Yes",N(Tasks[[#This Row],[Baseline Start]])=0),Tasks[[#This Row],[Start]],Tasks[[#This Row],[Baseline Start]]))</f>
        <v/>
      </c>
      <c r="BN93" s="63" t="str">
        <f aca="false">IF(Tasks[[#This Row],[Task Name]]="","",IF(OR(TakeBaseline="Yes",N(Tasks[[#This Row],[Baseline Finish]])=0),Tasks[[#This Row],[Finish]],Tasks[[#This Row],[Baseline Finish]]))</f>
        <v/>
      </c>
      <c r="BO93" s="21" t="str">
        <f aca="false">IF(Tasks[[#This Row],[Task Name]]="","",IF(OR(TakeBaseline="Yes",N(Tasks[[#This Row],[Baseline Duration]])=0),Tasks[[#This Row],[_SpanDays]],Tasks[[#This Row],[Baseline Duration]]))</f>
        <v/>
      </c>
      <c r="BP93" s="86" t="str">
        <f aca="false">IF(Tasks[[#This Row],[Task Name]]="","",IF(OR(TakeBaseline="Yes",N(Tasks[[#This Row],[Baseline Work]])=0),Tasks[[#This Row],[Work]],Tasks[[#This Row],[Baseline Work]]))</f>
        <v/>
      </c>
      <c r="BQ93" s="7"/>
      <c r="BR93" s="7"/>
      <c r="BS93" s="22"/>
      <c r="BT93" s="88"/>
      <c r="BU93" s="23"/>
      <c r="BV93" s="23"/>
      <c r="BW93" s="23"/>
      <c r="BX93" s="89" t="str">
        <f aca="false">IF(AND(Tasks[[#This Row],[_IsLeaf]]=1,ISNUMBER(Tasks[[#This Row],[Optimistic]]),ISNUMBER(Tasks[[#This Row],[Pessimistic]])),ROUND((Tasks[[#This Row],[Optimistic]]+4*N(Tasks[[#This Row],[_Days]])+Tasks[[#This Row],[Pessimistic]])/6,1),"")</f>
        <v/>
      </c>
      <c r="BY93" s="87"/>
      <c r="BZ93" s="87"/>
      <c r="CA93" s="22"/>
      <c r="CB93" s="43" t="str">
        <f aca="false">IF(Tasks[[#This Row],[Task Name]]="","",MAX(1,N(Tasks[[#This Row],[Level]])))</f>
        <v/>
      </c>
      <c r="CC93" s="43" t="n">
        <f aca="false">ROW()-ROW(Tasks[[#Headers],[ID]])</f>
        <v>88</v>
      </c>
      <c r="CD93" s="43" t="n">
        <f aca="false">IF(OR(Tasks[[#This Row],[Task Name]]="",Tasks[[#This Row],[_Level]]&lt;=1),0,IFERROR(LOOKUP(2,1/(Tasks[[#Headers],[_Level]]:Tasks[[#This Row],[_Level]]=Tasks[[#This Row],[_Level]]-1),ROW(Tasks[[#Headers],[_Level]]:Tasks[[#This Row],[_Level]])),0))</f>
        <v>0</v>
      </c>
      <c r="CE93" s="43" t="n">
        <f aca="false">IFERROR(N(INDEX(Tasks[_Level],Tasks[[#This Row],[_Row]]+1)),0)</f>
        <v>0</v>
      </c>
      <c r="CF93" s="90" t="b">
        <f aca="false">AND(Tasks[[#This Row],[Task Name]]&lt;&gt;"",Tasks[[#This Row],[_NextLevel]]&gt;Tasks[[#This Row],[_Level]])</f>
        <v>0</v>
      </c>
      <c r="CG93" s="43" t="n">
        <f aca="false">IF(Tasks[[#This Row],[_IsSummary]],COUNTIF(Tasks[WBS],Tasks[[#This Row],[WBS]]&amp;".*"),0)</f>
        <v>0</v>
      </c>
      <c r="CH93" s="43" t="n">
        <f aca="false">IF(AND(Tasks[[#This Row],[Task Name]]&lt;&gt;"",NOT(Tasks[[#This Row],[_IsSummary]])),1,0)</f>
        <v>0</v>
      </c>
      <c r="CI93" s="43" t="n">
        <f aca="false">IF(N(Tasks[[#This Row],[_Pred1UID]])=0,0,IFERROR(MATCH(Tasks[[#This Row],[_Pred1UID]],Tasks[UID],0),-1))</f>
        <v>0</v>
      </c>
      <c r="CJ93" s="43" t="n">
        <f aca="false">IF(N(Tasks[[#This Row],[_Pred2UID]])=0,0,IFERROR(MATCH(Tasks[[#This Row],[_Pred2UID]],Tasks[UID],0),-1))</f>
        <v>0</v>
      </c>
      <c r="CK93" s="43" t="n">
        <f aca="false">IF(N(Tasks[[#This Row],[_Pred3UID]])=0,0,IFERROR(MATCH(Tasks[[#This Row],[_Pred3UID]],Tasks[UID],0),-1))</f>
        <v>0</v>
      </c>
      <c r="CL93" s="43" t="n">
        <f aca="false">IF(N(Tasks[[#This Row],[_Pred4UID]])=0,0,IFERROR(MATCH(Tasks[[#This Row],[_Pred4UID]],Tasks[UID],0),-1))</f>
        <v>0</v>
      </c>
      <c r="CM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3" s="91" t="n">
        <f aca="false">IF(OR(Tasks[[#This Row],[_ConstraintCode]]=2,Tasks[[#This Row],[_ConstraintCode]]=3,Tasks[[#This Row],[_ConstraintCode]]=4,Tasks[[#This Row],[_ConstraintCode]]=6),Tasks[[#This Row],[_ConstraintStart]],0)</f>
        <v>0</v>
      </c>
      <c r="CP93" s="91" t="n">
        <f aca="false">IF(OR(Tasks[[#This Row],[_ConstraintCode]]=2,Tasks[[#This Row],[_ConstraintCode]]=3,Tasks[[#This Row],[_ConstraintCode]]=5,Tasks[[#This Row],[_ConstraintCode]]=7),Tasks[[#This Row],[_ConstraintStart]],2958465)</f>
        <v>2958465</v>
      </c>
      <c r="CQ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91" t="str">
        <f aca="false">IF(NOT(Tasks[[#This Row],[_IsLeaf]]=1),"",IF(N(Tasks[[#This Row],[_Days]])&lt;=0,Tasks[[#This Row],[_LeafCalcStart]],WORKDAY.INTL(Tasks[[#This Row],[_LeafCalcStart]],Tasks[[#This Row],[_Days]]-1,WorkWeek,Holidays)))</f>
        <v/>
      </c>
      <c r="CS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3" t="str">
        <f aca="false">IF(Tasks[[#This Row],[_Predecessors]]="","",TRIM(MID(SUBSTITUTE(SUBSTITUTE(SUBSTITUTE(UPPER(Tasks[[#This Row],[_Predecessors]]),";",",")," ",""),",",REPT(" ",99)),1,99)))</f>
        <v/>
      </c>
      <c r="CV93" s="43" t="str">
        <f aca="false">IF(Tasks[[#This Row],[_Pred1Text]]="","",IFERROR(VALUE(LEFT(Tasks[[#This Row],[_Pred1Text]],MIN(FIND("F",Tasks[[#This Row],[_Pred1Text]]&amp;"F"),FIND("S",Tasks[[#This Row],[_Pred1Text]]&amp;"S"),FIND("+",Tasks[[#This Row],[_Pred1Text]]&amp;"+"),FIND("-",Tasks[[#This Row],[_Pred1Text]]&amp;"-"))-1)),""))</f>
        <v/>
      </c>
      <c r="CW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3" t="str">
        <f aca="false">IF(Tasks[[#This Row],[_Pred1Text]]="","",TRIM(MID(SUBSTITUTE(SUBSTITUTE(SUBSTITUTE(UPPER(Tasks[[#This Row],[_Predecessors]]),";",",")," ",""),",",REPT(" ",99)),100,99)))</f>
        <v/>
      </c>
      <c r="CZ93" s="43" t="str">
        <f aca="false">IF(Tasks[[#This Row],[_Pred2Text]]="","",IFERROR(VALUE(LEFT(Tasks[[#This Row],[_Pred2Text]],MIN(FIND("F",Tasks[[#This Row],[_Pred2Text]]&amp;"F"),FIND("S",Tasks[[#This Row],[_Pred2Text]]&amp;"S"),FIND("+",Tasks[[#This Row],[_Pred2Text]]&amp;"+"),FIND("-",Tasks[[#This Row],[_Pred2Text]]&amp;"-"))-1)),""))</f>
        <v/>
      </c>
      <c r="DA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3" t="str">
        <f aca="false">IF(Tasks[[#This Row],[_Pred2Text]]="","",TRIM(MID(SUBSTITUTE(SUBSTITUTE(SUBSTITUTE(UPPER(Tasks[[#This Row],[_Predecessors]]),";",",")," ",""),",",REPT(" ",99)),199,99)))</f>
        <v/>
      </c>
      <c r="DD93" s="43" t="str">
        <f aca="false">IF(Tasks[[#This Row],[_Pred3Text]]="","",IFERROR(VALUE(LEFT(Tasks[[#This Row],[_Pred3Text]],MIN(FIND("F",Tasks[[#This Row],[_Pred3Text]]&amp;"F"),FIND("S",Tasks[[#This Row],[_Pred3Text]]&amp;"S"),FIND("+",Tasks[[#This Row],[_Pred3Text]]&amp;"+"),FIND("-",Tasks[[#This Row],[_Pred3Text]]&amp;"-"))-1)),""))</f>
        <v/>
      </c>
      <c r="DE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3" t="str">
        <f aca="false">IF(Tasks[[#This Row],[_Pred3Text]]="","",TRIM(MID(SUBSTITUTE(SUBSTITUTE(SUBSTITUTE(UPPER(Tasks[[#This Row],[_Predecessors]]),";",",")," ",""),",",REPT(" ",99)),298,99)))</f>
        <v/>
      </c>
      <c r="DH93" s="43" t="str">
        <f aca="false">IF(Tasks[[#This Row],[_Pred4Text]]="","",IFERROR(VALUE(LEFT(Tasks[[#This Row],[_Pred4Text]],MIN(FIND("F",Tasks[[#This Row],[_Pred4Text]]&amp;"F"),FIND("S",Tasks[[#This Row],[_Pred4Text]]&amp;"S"),FIND("+",Tasks[[#This Row],[_Pred4Text]]&amp;"+"),FIND("-",Tasks[[#This Row],[_Pred4Text]]&amp;"-"))-1)),""))</f>
        <v/>
      </c>
      <c r="DI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3" t="str">
        <f aca="false">IF(OR(Tasks[[#This Row],[Task Name]]="",Tasks[[#This Row],[_Resources]]=""),"",TRIM(MID(SUBSTITUTE(Tasks[[#This Row],[_Resources]],",",REPT(" ",99)),1,99)))</f>
        <v/>
      </c>
      <c r="DL93" s="43" t="str">
        <f aca="false">IF(Tasks[[#This Row],[_Res1Text]]="","",TRIM(MID(SUBSTITUTE(Tasks[[#This Row],[_Resources]],",",REPT(" ",99)),100,99)))</f>
        <v/>
      </c>
      <c r="DM93" s="43" t="str">
        <f aca="false">IF(Tasks[[#This Row],[_Res2Text]]="","",TRIM(MID(SUBSTITUTE(Tasks[[#This Row],[_Resources]],",",REPT(" ",99)),199,99)))</f>
        <v/>
      </c>
      <c r="DN93" s="43" t="str">
        <f aca="false">IF(Tasks[[#This Row],[_Res3Text]]="","",TRIM(MID(SUBSTITUTE(Tasks[[#This Row],[_Resources]],",",REPT(" ",99)),298,99)))</f>
        <v/>
      </c>
      <c r="DO93" s="43" t="n">
        <f aca="false">IF(Tasks[[#This Row],[_Res1Text]]="",0,IFERROR(MATCH(TRIM(LEFT(Tasks[[#This Row],[_Res1Text]],FIND("[",Tasks[[#This Row],[_Res1Text]]&amp;"[")-1)),res_Name,0),IFERROR(MATCH(TRIM(LEFT(Tasks[[#This Row],[_Res1Text]],FIND("[",Tasks[[#This Row],[_Res1Text]]&amp;"[")-1)),res_Initials,0),0)))</f>
        <v>0</v>
      </c>
      <c r="DP93" s="43" t="n">
        <f aca="false">IF(Tasks[[#This Row],[_Res2Text]]="",0,IFERROR(MATCH(TRIM(LEFT(Tasks[[#This Row],[_Res2Text]],FIND("[",Tasks[[#This Row],[_Res2Text]]&amp;"[")-1)),res_Name,0),IFERROR(MATCH(TRIM(LEFT(Tasks[[#This Row],[_Res2Text]],FIND("[",Tasks[[#This Row],[_Res2Text]]&amp;"[")-1)),res_Initials,0),0)))</f>
        <v>0</v>
      </c>
      <c r="DQ93" s="43" t="n">
        <f aca="false">IF(Tasks[[#This Row],[_Res3Text]]="",0,IFERROR(MATCH(TRIM(LEFT(Tasks[[#This Row],[_Res3Text]],FIND("[",Tasks[[#This Row],[_Res3Text]]&amp;"[")-1)),res_Name,0),IFERROR(MATCH(TRIM(LEFT(Tasks[[#This Row],[_Res3Text]],FIND("[",Tasks[[#This Row],[_Res3Text]]&amp;"[")-1)),res_Initials,0),0)))</f>
        <v>0</v>
      </c>
      <c r="DR93" s="43" t="n">
        <f aca="false">IF(Tasks[[#This Row],[_Res4Text]]="",0,IFERROR(MATCH(TRIM(LEFT(Tasks[[#This Row],[_Res4Text]],FIND("[",Tasks[[#This Row],[_Res4Text]]&amp;"[")-1)),res_Name,0),IFERROR(MATCH(TRIM(LEFT(Tasks[[#This Row],[_Res4Text]],FIND("[",Tasks[[#This Row],[_Res4Text]]&amp;"[")-1)),res_Initials,0),0)))</f>
        <v>0</v>
      </c>
      <c r="DS93" s="43" t="str">
        <f aca="false">IF(Tasks[[#This Row],[_Res1Text]]="","",IF(Tasks[[#This Row],[_Res1Row]]&gt;0,INDEX(res_Name,Tasks[[#This Row],[_Res1Row]]),TRIM(LEFT(Tasks[[#This Row],[_Res1Text]],FIND("[",Tasks[[#This Row],[_Res1Text]]&amp;"[")-1))))</f>
        <v/>
      </c>
      <c r="DT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3" t="n">
        <f aca="false">IF(NOT(Tasks[[#This Row],[_IsLeaf]]=1),0,(Tasks[[#This Row],[_Resource1]]&lt;&gt;"")+(Tasks[[#This Row],[_Res2]]&lt;&gt;"")+(Tasks[[#This Row],[_Res3]]&lt;&gt;"")+(Tasks[[#This Row],[_Res4]]&lt;&gt;""))</f>
        <v>0</v>
      </c>
      <c r="DV93" s="43" t="str">
        <f aca="false">IF(Tasks[[#This Row],[_Res2Text]]="","",IF(Tasks[[#This Row],[_Res2Row]]&gt;0,INDEX(res_Name,Tasks[[#This Row],[_Res2Row]]),TRIM(LEFT(Tasks[[#This Row],[_Res2Text]],FIND("[",Tasks[[#This Row],[_Res2Text]]&amp;"[")-1))))</f>
        <v/>
      </c>
      <c r="DW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3" t="n">
        <f aca="false">IF(OR(NOT(Tasks[[#This Row],[_IsLeaf]]=1),Tasks[[#This Row],[_Res2Row]]=0),0,N(Tasks[[#This Row],[_Days]])*HoursPerDay*IF(Tasks[[#This Row],[_Res2Units]]="",DefaultUnits,Tasks[[#This Row],[_Res2Units]]))</f>
        <v>0</v>
      </c>
      <c r="DY93" s="43" t="n">
        <f aca="false">IF(AND(AND(Tasks[[#This Row],[_IsLeaf]]=1,Tasks[[#This Row],[_LeafTotalWork]]&gt;0),Tasks[[#This Row],[_Res2Work]]&gt;0),Tasks[[#This Row],[_Res2Work]]/(Tasks[[#This Row],[_FinishWorkday]]-Tasks[[#This Row],[_StartWorkday]]+1),0)</f>
        <v>0</v>
      </c>
      <c r="DZ93" s="43" t="n">
        <f aca="false">Tasks[[#This Row],[_Res2WorkPerWD]]*MAX(0,Tasks[[#This Row],[_StartWorkday]]-1)</f>
        <v>0</v>
      </c>
      <c r="EA93" s="43" t="n">
        <f aca="false">Tasks[[#This Row],[_Res2Work]]*Tasks[[#This Row],[_LeafProgress]]</f>
        <v>0</v>
      </c>
      <c r="EB93" s="43" t="str">
        <f aca="false">IF(Tasks[[#This Row],[_Res3Text]]="","",IF(Tasks[[#This Row],[_Res3Row]]&gt;0,INDEX(res_Name,Tasks[[#This Row],[_Res3Row]]),TRIM(LEFT(Tasks[[#This Row],[_Res3Text]],FIND("[",Tasks[[#This Row],[_Res3Text]]&amp;"[")-1))))</f>
        <v/>
      </c>
      <c r="EC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3" t="n">
        <f aca="false">IF(OR(NOT(Tasks[[#This Row],[_IsLeaf]]=1),Tasks[[#This Row],[_Res3Row]]=0),0,N(Tasks[[#This Row],[_Days]])*HoursPerDay*IF(Tasks[[#This Row],[_Res3Units]]="",DefaultUnits,Tasks[[#This Row],[_Res3Units]]))</f>
        <v>0</v>
      </c>
      <c r="EE93" s="43" t="n">
        <f aca="false">IF(AND(AND(Tasks[[#This Row],[_IsLeaf]]=1,Tasks[[#This Row],[_LeafTotalWork]]&gt;0),Tasks[[#This Row],[_Res3Work]]&gt;0),Tasks[[#This Row],[_Res3Work]]/(Tasks[[#This Row],[_FinishWorkday]]-Tasks[[#This Row],[_StartWorkday]]+1),0)</f>
        <v>0</v>
      </c>
      <c r="EF93" s="43" t="n">
        <f aca="false">Tasks[[#This Row],[_Res3WorkPerWD]]*MAX(0,Tasks[[#This Row],[_StartWorkday]]-1)</f>
        <v>0</v>
      </c>
      <c r="EG93" s="43" t="n">
        <f aca="false">Tasks[[#This Row],[_Res3Work]]*Tasks[[#This Row],[_LeafProgress]]</f>
        <v>0</v>
      </c>
      <c r="EH93" s="43" t="str">
        <f aca="false">IF(Tasks[[#This Row],[_Res4Text]]="","",IF(Tasks[[#This Row],[_Res4Row]]&gt;0,INDEX(res_Name,Tasks[[#This Row],[_Res4Row]]),TRIM(LEFT(Tasks[[#This Row],[_Res4Text]],FIND("[",Tasks[[#This Row],[_Res4Text]]&amp;"[")-1))))</f>
        <v/>
      </c>
      <c r="EI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3" t="n">
        <f aca="false">IF(OR(NOT(Tasks[[#This Row],[_IsLeaf]]=1),Tasks[[#This Row],[_Res4Row]]=0),0,N(Tasks[[#This Row],[_Days]])*HoursPerDay*IF(Tasks[[#This Row],[_Res4Units]]="",DefaultUnits,Tasks[[#This Row],[_Res4Units]]))</f>
        <v>0</v>
      </c>
      <c r="EK93" s="43" t="n">
        <f aca="false">IF(AND(AND(Tasks[[#This Row],[_IsLeaf]]=1,Tasks[[#This Row],[_LeafTotalWork]]&gt;0),Tasks[[#This Row],[_Res4Work]]&gt;0),Tasks[[#This Row],[_Res4Work]]/(Tasks[[#This Row],[_FinishWorkday]]-Tasks[[#This Row],[_StartWorkday]]+1),0)</f>
        <v>0</v>
      </c>
      <c r="EL93" s="43" t="n">
        <f aca="false">Tasks[[#This Row],[_Res4WorkPerWD]]*MAX(0,Tasks[[#This Row],[_StartWorkday]]-1)</f>
        <v>0</v>
      </c>
      <c r="EM93" s="43" t="n">
        <f aca="false">Tasks[[#This Row],[_Res4Work]]*Tasks[[#This Row],[_LeafProgress]]</f>
        <v>0</v>
      </c>
      <c r="EN93" s="43" t="n">
        <f aca="false">IF(ISNUMBER(Tasks[[#This Row],[% Complete]]),Tasks[[#This Row],[% Complete]],IF(Tasks[[#This Row],[Stage]]="",0,IFERROR(INDEX(stg_Pct,MATCH(Tasks[[#This Row],[Stage]],stg_Name,0)),0)))</f>
        <v>0</v>
      </c>
      <c r="EO93" s="43" t="n">
        <f aca="false">IF(NOT(Tasks[[#This Row],[_IsLeaf]]=1),0,IF(N(Tasks[[#This Row],[Actual Finish]])&gt;0,1,MIN(1,Tasks[[#This Row],[_Pct]])))</f>
        <v>0</v>
      </c>
      <c r="EP93" s="43" t="n">
        <f aca="false">IF(OR(NOT(Tasks[[#This Row],[_IsLeaf]]=1),Tasks[[#This Row],[_Res1Row]]=0),0,N(Tasks[[#This Row],[_Days]])*HoursPerDay*IF(Tasks[[#This Row],[_Units1]]="",DefaultUnits,Tasks[[#This Row],[_Units1]]))</f>
        <v>0</v>
      </c>
      <c r="EQ93" s="43" t="n">
        <f aca="false">Tasks[[#This Row],[_LeafWork]]+Tasks[[#This Row],[_Res2Work]]+Tasks[[#This Row],[_Res3Work]]+Tasks[[#This Row],[_Res4Work]]</f>
        <v>0</v>
      </c>
      <c r="ER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3" t="n">
        <f aca="false">IF(NOT(Tasks[[#This Row],[_IsLeaf]]=1),0,MAX(_xlfn.MAXIFS(Tasks[_Row],Tasks[_Pred1UID],Tasks[[#This Row],[UID]]),_xlfn.MAXIFS(Tasks[_Row],Tasks[_Pred2UID],Tasks[[#This Row],[UID]]),_xlfn.MAXIFS(Tasks[_Row],Tasks[_Pred3UID],Tasks[[#This Row],[UID]]),_xlfn.MAXIFS(Tasks[_Row],Tasks[_Pred4UID],Tasks[[#This Row],[UID]])))</f>
        <v>0</v>
      </c>
      <c r="FA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91" t="str">
        <f aca="false">IF(NOT(Tasks[[#This Row],[_IsLeaf]]=1),"",IF(N(Tasks[[#This Row],[_Days]])&lt;=0,Tasks[[#This Row],[_LeafLateFinish]],WORKDAY.INTL(Tasks[[#This Row],[_LeafLateFinish]],-(Tasks[[#This Row],[_Days]]-1),WorkWeek,Holidays)))</f>
        <v/>
      </c>
      <c r="FD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3" s="90" t="b">
        <f aca="false">AND(Tasks[[#This Row],[_IsLeaf]]=1,Tasks[[#This Row],[_LeafProgress]]&lt;1,N(Tasks[[#This Row],[_LeafTotalSlack]])&lt;=CriticalSlackDays)</f>
        <v>0</v>
      </c>
      <c r="FF93" s="43" t="n">
        <f aca="false">IF(AND(Tasks[[#This Row],[_IsLeaf]]=1,Tasks[[#This Row],[_ConstraintCode]]=1,Tasks[[#This Row],[Mode]]&lt;&gt;"Manual",N(Tasks[[#This Row],[Actual Start]])=0),MAX(0,N(Tasks[[#This Row],[Free Slack]])),0)</f>
        <v>0</v>
      </c>
      <c r="FG93" s="91" t="str">
        <f aca="false">IF(NOT(Tasks[[#This Row],[_IsLeaf]]=1),"",IF(Tasks[[#This Row],[_AlapShift]]=0,Tasks[[#This Row],[_LeafCalcStart]],WORKDAY.INTL(Tasks[[#This Row],[_LeafCalcStart]],Tasks[[#This Row],[_AlapShift]],WorkWeek,Holidays)))</f>
        <v/>
      </c>
      <c r="FH93" s="91" t="str">
        <f aca="false">IF(NOT(Tasks[[#This Row],[_IsLeaf]]=1),"",IF(Tasks[[#This Row],[_AlapShift]]=0,Tasks[[#This Row],[_LeafCalcFinish]],WORKDAY.INTL(Tasks[[#This Row],[_LeafCalcFinish]],Tasks[[#This Row],[_AlapShift]],WorkWeek,Holidays)))</f>
        <v/>
      </c>
      <c r="FI93" s="91" t="str">
        <f aca="false">IF(NOT(Tasks[[#This Row],[_IsLeaf]]=1),"",IF(Tasks[[#This Row],[_AlapShift]]=0,Tasks[[#This Row],[_LeafFcstStart]],WORKDAY.INTL(Tasks[[#This Row],[_LeafFcstStart]],Tasks[[#This Row],[_AlapShift]],WorkWeek,Holidays)))</f>
        <v/>
      </c>
      <c r="FJ93" s="91" t="str">
        <f aca="false">IF(NOT(Tasks[[#This Row],[_IsLeaf]]=1),"",IF(Tasks[[#This Row],[_AlapShift]]=0,Tasks[[#This Row],[_LeafFcstFinish]],WORKDAY.INTL(Tasks[[#This Row],[_LeafFcstFinish]],Tasks[[#This Row],[_AlapShift]],WorkWeek,Holidays)))</f>
        <v/>
      </c>
      <c r="FK93" s="91" t="str">
        <f aca="false">IF(Tasks[[#This Row],[Task Name]]="","",IF(Tasks[[#This Row],[_IsSummary]],MIN(INDEX(Tasks[_ShownCalcStart],Tasks[[#This Row],[_Row]]+1):INDEX(Tasks[_ShownCalcStart],Tasks[[#This Row],[_Row]]+Tasks[[#This Row],[_Descendants]])),Tasks[[#This Row],[_ShownCalcStart]]))</f>
        <v/>
      </c>
      <c r="FL93" s="91" t="str">
        <f aca="false">IF(Tasks[[#This Row],[Task Name]]="","",IF(Tasks[[#This Row],[_IsSummary]],MAX(INDEX(Tasks[_ShownCalcFinish],Tasks[[#This Row],[_Row]]+1):INDEX(Tasks[_ShownCalcFinish],Tasks[[#This Row],[_Row]]+Tasks[[#This Row],[_Descendants]])),Tasks[[#This Row],[_ShownCalcFinish]]))</f>
        <v/>
      </c>
      <c r="FM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3" s="43" t="n">
        <f aca="false">IF(AND(Tasks[[#This Row],[_IsLeaf]]=1,Tasks[[#This Row],[_LeafTotalWork]]&gt;0),NETWORKDAYS.INTL(ProjectStart,Tasks[[#This Row],[_ShownFcstStart]],WorkWeek,Holidays),0)</f>
        <v>0</v>
      </c>
      <c r="FZ93" s="43" t="n">
        <f aca="false">IF(AND(Tasks[[#This Row],[_IsLeaf]]=1,Tasks[[#This Row],[_LeafTotalWork]]&gt;0),MAX(Tasks[[#This Row],[_StartWorkday]],NETWORKDAYS.INTL(ProjectStart,Tasks[[#This Row],[_ShownFcstFinish]],WorkWeek,Holidays)),0)</f>
        <v>0</v>
      </c>
      <c r="GA93" s="43" t="n">
        <f aca="false">IF(AND(Tasks[[#This Row],[_IsLeaf]]=1,Tasks[[#This Row],[_LeafTotalWork]]&gt;0),Tasks[[#This Row],[_LeafWork]]/(Tasks[[#This Row],[_FinishWorkday]]-Tasks[[#This Row],[_StartWorkday]]+1),0)</f>
        <v>0</v>
      </c>
      <c r="GB93" s="43" t="n">
        <f aca="false">Tasks[[#This Row],[_WorkPerWorkday]]*(Tasks[[#This Row],[_StartWorkday]]-1)</f>
        <v>-0</v>
      </c>
      <c r="GC93" s="43" t="n">
        <f aca="false">IF(Tasks[[#This Row],[_IsLeaf]]=1,MAX(N(Tasks[[#This Row],[_Days]]),0.1),0)</f>
        <v>0</v>
      </c>
      <c r="GD93" s="43" t="n">
        <f aca="false">Tasks[[#This Row],[_WeightDur]]*Tasks[[#This Row],[_LeafProgress]]</f>
        <v>0</v>
      </c>
      <c r="GE93" s="43" t="n">
        <f aca="false">Tasks[[#This Row],[_WeightDur]]*Tasks[[#This Row],[_PlannedPct]]</f>
        <v>0</v>
      </c>
      <c r="GF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3" t="str">
        <f aca="false">IF(AND(Tasks[[#This Row],[_IsLeaf]]=1,N(Tasks[[#This Row],[_Days]])=0,Tasks[[#This Row],[_LeafProgress]]&lt;1),Tasks[[#This Row],[_ShownFcstFinish]]+Tasks[[#This Row],[_Row]]/100000,"")</f>
        <v/>
      </c>
      <c r="GH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3" s="43" t="str">
        <f aca="false">IF(Tasks[[#This Row],[Task Name]]="","",LEFT(Tasks[[#This Row],[WBS]],FIND(".",Tasks[[#This Row],[WBS]]&amp;".")-1))</f>
        <v/>
      </c>
      <c r="GJ93" s="43" t="str">
        <f aca="false">IF(AND(Tasks[[#This Row],[Task Name]]&lt;&gt;"",Tasks[[#This Row],[_Level]]=1),Tasks[[#This Row],[_Row]],"")</f>
        <v/>
      </c>
      <c r="GK93" s="43" t="str">
        <f aca="false">IF(AND(Tasks[[#This Row],[_IsLeaf]]=1,N(Tasks[[#This Row],[_Days]])=0),Tasks[[#This Row],[Planned Finish]]+Tasks[[#This Row],[_Row]]/100000,"")</f>
        <v/>
      </c>
      <c r="GL93" s="43" t="str">
        <f aca="false">IF(AND(Tasks[[#This Row],[_IsLeaf]]=1,Tasks[[#This Row],[_LeafProgress]]&lt;1,OR(N(Tasks[[#This Row],[Finish Var]])&gt;0,Tasks[[#This Row],[Status]]="Late Start")),MAX(0,Tasks[[#This Row],[Finish Var]])+1-Tasks[[#This Row],[_Row]]/1000000,"")</f>
        <v/>
      </c>
      <c r="GM93" s="43" t="str">
        <f aca="false">IF(AND(Tasks[[#This Row],[_IsLeaf]]=1,N(Tasks[[#This Row],[Actual Start]])=0,Tasks[[#This Row],[_ShownFcstStart]]&gt;=StatusDate,Tasks[[#This Row],[_ShownFcstStart]]&lt;=LookaheadEnd),Tasks[[#This Row],[_ShownFcstStart]]+Tasks[[#This Row],[_Row]]/100000,"")</f>
        <v/>
      </c>
      <c r="GN93" s="43" t="str">
        <f aca="false">IF(AND(Tasks[[#This Row],[_IsLeaf]]=1,Tasks[[#This Row],[_LeafProgress]]&lt;1,Tasks[[#This Row],[_ShownFcstFinish]]&gt;=StatusDate,Tasks[[#This Row],[_ShownFcstFinish]]&lt;=LookaheadEnd),Tasks[[#This Row],[_ShownFcstFinish]]+Tasks[[#This Row],[_Row]]/100000,"")</f>
        <v/>
      </c>
      <c r="GO93" s="43" t="str">
        <f aca="false">IF(Tasks[[#This Row],[_LeafCritical]],Tasks[[#This Row],[_ShownFcstStart]]+Tasks[[#This Row],[_Row]]/100000,"")</f>
        <v/>
      </c>
      <c r="GP93" s="43" t="n">
        <f aca="false">Tasks[[#This Row],[_LeafWork]]*Tasks[[#This Row],[_LeafProgress]]</f>
        <v>0</v>
      </c>
      <c r="GQ93" s="91" t="str">
        <f aca="false">IF(AND(Tasks[[#This Row],[_IsLeaf]]=1,Tasks[[#This Row],[_LeafProgress]]&gt;=1),IF(N(Tasks[[#This Row],[Actual Finish]])&gt;0,Tasks[[#This Row],[Actual Finish]],Tasks[[#This Row],[_ShownFcstFinish]]),"")</f>
        <v/>
      </c>
      <c r="GR93" s="43" t="n">
        <f aca="false">IF(Tasks[[#This Row],[_IsLeaf]]=1,N(Tasks[[#This Row],[Story Points]]),0)</f>
        <v>0</v>
      </c>
      <c r="GS93" s="43" t="str">
        <f aca="false">""</f>
        <v/>
      </c>
      <c r="GT93" s="90" t="b">
        <f aca="false">IF(Tasks[[#This Row],[Task Name]]="",FALSE(),AND(Tasks[[#This Row],[_IsLeaf]]=1,N(Tasks[[#This Row],[_Days]])=0))</f>
        <v>0</v>
      </c>
      <c r="GU93" s="91" t="n">
        <f aca="false">IF(Tasks[[#This Row],[Task Name]]="",0,IF(AND(Tasks[[#This Row],[_IsLeaf]]=1,NOT(Tasks[[#This Row],[_IsMilestone]]),N(Tasks[[#This Row],[Progress]])&gt;0),Tasks[[#This Row],[Start]],0))</f>
        <v>0</v>
      </c>
      <c r="GV93" s="91" t="n">
        <f aca="false">IF(Tasks[[#This Row],[_DoneFrom]]=0,0,IF(Tasks[[#This Row],[Progress]]&gt;=1,Tasks[[#This Row],[Finish]],MAX(Tasks[[#This Row],[_DoneFrom]],Tasks[[#This Row],[Start]]+ROUND((Tasks[[#This Row],[Finish]]-Tasks[[#This Row],[Start]]+1)*Tasks[[#This Row],[Progress]],0)-1)))</f>
        <v>0</v>
      </c>
      <c r="GW93" s="91" t="n">
        <f aca="false">IF(Tasks[[#This Row],[Task Name]]="",0,IF(OR(NOT(Tasks[[#This Row],[_IsLeaf]]=1),Tasks[[#This Row],[_IsMilestone]],N(Tasks[[#This Row],[Progress]])&gt;=1),0,IF(Tasks[[#This Row],[_DoneTo]]&gt;0,Tasks[[#This Row],[_DoneTo]]+1,Tasks[[#This Row],[Start]])))</f>
        <v>0</v>
      </c>
      <c r="GX93" s="91" t="n">
        <f aca="false">IF(Tasks[[#This Row],[_RemFrom]]=0,0,Tasks[[#This Row],[Finish]])</f>
        <v>0</v>
      </c>
      <c r="GY93" s="90" t="b">
        <f aca="false">IF(Tasks[[#This Row],[Task Name]]="",FALSE(),OR(NOT(BaselineSet),N(Tasks[[#This Row],[Baseline Start]])&gt;0))</f>
        <v>0</v>
      </c>
      <c r="GZ9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92" t="str">
        <f aca="false">IF(Tasks[[#This Row],[_IsLeaf]]=1,Tasks[[#This Row],[_Row]],"")</f>
        <v/>
      </c>
      <c r="HD93" s="92" t="str">
        <f aca="false">IFERROR(INDEX(Tasks[UID],SMALL(Tasks[_PickKey],Tasks[[#This Row],[_Row]]))&amp;" "&amp;INDEX(Tasks[Task Name],SMALL(Tasks[_PickKey],Tasks[[#This Row],[_Row]])),"")</f>
        <v/>
      </c>
      <c r="HE93" s="43" t="str">
        <f aca="false">IF(Tasks[[#This Row],[Task Name]]="","",IF(Tasks[[#This Row],[_IsSummary]],NETWORKDAYS.INTL(Tasks[[#This Row],[Start]],Tasks[[#This Row],[Finish]],WorkWeek,Holidays),N(Tasks[[#This Row],[_Days]])))</f>
        <v/>
      </c>
      <c r="HF93" s="43" t="n">
        <f aca="false">IF(Tasks[[#This Row],[Expected]]="",0,((Tasks[[#This Row],[Pessimistic]]-Tasks[[#This Row],[Optimistic]])/6)^2)</f>
        <v>0</v>
      </c>
      <c r="HG93" s="43" t="n">
        <f aca="false">IF(Tasks[[#This Row],[Expected]]="",0,Tasks[[#This Row],[Expected]]-N(Tasks[[#This Row],[_Days]]))</f>
        <v>0</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4"/>
      <c r="U94" s="23"/>
      <c r="V94" s="84"/>
      <c r="W94" s="23"/>
      <c r="X94" s="84"/>
      <c r="Y94" s="23"/>
      <c r="Z94" s="84"/>
      <c r="AA94" s="23"/>
      <c r="AB94" s="23"/>
      <c r="AC94" s="7"/>
      <c r="AD94" s="7"/>
      <c r="AE94" s="63" t="str">
        <f aca="false">IF(Tasks[[#This Row],[Task Name]]="","",IF(Tasks[[#This Row],[_IsSummary]],MIN(INDEX(Tasks[_ShownFcstStart],Tasks[[#This Row],[_Row]]+1):INDEX(Tasks[_ShownFcstStart],Tasks[[#This Row],[_Row]]+Tasks[[#This Row],[_Descendants]])),Tasks[[#This Row],[_ShownFcstStart]]))</f>
        <v/>
      </c>
      <c r="AF94" s="63"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4" s="7"/>
      <c r="AK94" s="22"/>
      <c r="AL94" s="23"/>
      <c r="AM94" s="7"/>
      <c r="AN94" s="47"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3" t="str">
        <f aca="false">IF(Tasks[[#This Row],[Task Name]]="","",IF(N(Tasks[[#This Row],[Baseline Start]])&gt;0,Tasks[[#This Row],[Baseline Start]],Tasks[[#This Row],[_CalcStart]]))</f>
        <v/>
      </c>
      <c r="AR94" s="63" t="str">
        <f aca="false">IF(Tasks[[#This Row],[Task Name]]="","",IF(N(Tasks[[#This Row],[Baseline Finish]])&gt;0,Tasks[[#This Row],[Baseline Finish]],Tasks[[#This Row],[_CalcFinish]]))</f>
        <v/>
      </c>
      <c r="AS94" s="47" t="str">
        <f aca="false">IF(Tasks[[#This Row],[Task Name]]="","",IF(Tasks[[#This Row],[Start]]&gt;=Tasks[[#This Row],[Planned Start]],NETWORKDAYS.INTL(Tasks[[#This Row],[Planned Start]],Tasks[[#This Row],[Start]],WorkWeek,Holidays)-1,1-NETWORKDAYS.INTL(Tasks[[#This Row],[Start]],Tasks[[#This Row],[Planned Start]],WorkWeek,Holidays)))</f>
        <v/>
      </c>
      <c r="AT94" s="63" t="str">
        <f aca="false">IF(Tasks[[#This Row],[Task Name]]="","",IF(Tasks[[#This Row],[_IsSummary]],MIN(INDEX(Tasks[_LeafLateStart],Tasks[[#This Row],[_Row]]+1):INDEX(Tasks[_LeafLateStart],Tasks[[#This Row],[_Row]]+Tasks[[#This Row],[_Descendants]])),Tasks[[#This Row],[_LeafLateStart]]))</f>
        <v/>
      </c>
      <c r="AU94" s="63" t="str">
        <f aca="false">IF(Tasks[[#This Row],[Task Name]]="","",IF(Tasks[[#This Row],[_IsSummary]],MAX(INDEX(Tasks[_LeafLateFinish],Tasks[[#This Row],[_Row]]+1):INDEX(Tasks[_LeafLateFinish],Tasks[[#This Row],[_Row]]+Tasks[[#This Row],[_Descendants]])),Tasks[[#This Row],[_LeafLateFinish]]))</f>
        <v/>
      </c>
      <c r="AV94" s="47"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5"/>
      <c r="BA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6"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7"/>
      <c r="BJ94" s="22"/>
      <c r="BK94" s="47" t="str">
        <f aca="false">IF(OR(Tasks[[#This Row],[Task Name]]="",Tasks[[#This Row],[Baseline Duration]]=""),"",Tasks[[#This Row],[_SpanDays]]-N(Tasks[[#This Row],[Baseline Duration]]))</f>
        <v/>
      </c>
      <c r="BL94" s="86" t="str">
        <f aca="false">IF(OR(Tasks[[#This Row],[Task Name]]="",Tasks[[#This Row],[Baseline Work]]=""),"",Tasks[[#This Row],[Work]]-N(Tasks[[#This Row],[Baseline Work]]))</f>
        <v/>
      </c>
      <c r="BM94" s="63" t="str">
        <f aca="false">IF(Tasks[[#This Row],[Task Name]]="","",IF(OR(TakeBaseline="Yes",N(Tasks[[#This Row],[Baseline Start]])=0),Tasks[[#This Row],[Start]],Tasks[[#This Row],[Baseline Start]]))</f>
        <v/>
      </c>
      <c r="BN94" s="63" t="str">
        <f aca="false">IF(Tasks[[#This Row],[Task Name]]="","",IF(OR(TakeBaseline="Yes",N(Tasks[[#This Row],[Baseline Finish]])=0),Tasks[[#This Row],[Finish]],Tasks[[#This Row],[Baseline Finish]]))</f>
        <v/>
      </c>
      <c r="BO94" s="21" t="str">
        <f aca="false">IF(Tasks[[#This Row],[Task Name]]="","",IF(OR(TakeBaseline="Yes",N(Tasks[[#This Row],[Baseline Duration]])=0),Tasks[[#This Row],[_SpanDays]],Tasks[[#This Row],[Baseline Duration]]))</f>
        <v/>
      </c>
      <c r="BP94" s="86" t="str">
        <f aca="false">IF(Tasks[[#This Row],[Task Name]]="","",IF(OR(TakeBaseline="Yes",N(Tasks[[#This Row],[Baseline Work]])=0),Tasks[[#This Row],[Work]],Tasks[[#This Row],[Baseline Work]]))</f>
        <v/>
      </c>
      <c r="BQ94" s="7"/>
      <c r="BR94" s="7"/>
      <c r="BS94" s="22"/>
      <c r="BT94" s="88"/>
      <c r="BU94" s="23"/>
      <c r="BV94" s="23"/>
      <c r="BW94" s="23"/>
      <c r="BX94" s="89" t="str">
        <f aca="false">IF(AND(Tasks[[#This Row],[_IsLeaf]]=1,ISNUMBER(Tasks[[#This Row],[Optimistic]]),ISNUMBER(Tasks[[#This Row],[Pessimistic]])),ROUND((Tasks[[#This Row],[Optimistic]]+4*N(Tasks[[#This Row],[_Days]])+Tasks[[#This Row],[Pessimistic]])/6,1),"")</f>
        <v/>
      </c>
      <c r="BY94" s="87"/>
      <c r="BZ94" s="87"/>
      <c r="CA94" s="22"/>
      <c r="CB94" s="43" t="str">
        <f aca="false">IF(Tasks[[#This Row],[Task Name]]="","",MAX(1,N(Tasks[[#This Row],[Level]])))</f>
        <v/>
      </c>
      <c r="CC94" s="43" t="n">
        <f aca="false">ROW()-ROW(Tasks[[#Headers],[ID]])</f>
        <v>89</v>
      </c>
      <c r="CD94" s="43" t="n">
        <f aca="false">IF(OR(Tasks[[#This Row],[Task Name]]="",Tasks[[#This Row],[_Level]]&lt;=1),0,IFERROR(LOOKUP(2,1/(Tasks[[#Headers],[_Level]]:Tasks[[#This Row],[_Level]]=Tasks[[#This Row],[_Level]]-1),ROW(Tasks[[#Headers],[_Level]]:Tasks[[#This Row],[_Level]])),0))</f>
        <v>0</v>
      </c>
      <c r="CE94" s="43" t="n">
        <f aca="false">IFERROR(N(INDEX(Tasks[_Level],Tasks[[#This Row],[_Row]]+1)),0)</f>
        <v>0</v>
      </c>
      <c r="CF94" s="90" t="b">
        <f aca="false">AND(Tasks[[#This Row],[Task Name]]&lt;&gt;"",Tasks[[#This Row],[_NextLevel]]&gt;Tasks[[#This Row],[_Level]])</f>
        <v>0</v>
      </c>
      <c r="CG94" s="43" t="n">
        <f aca="false">IF(Tasks[[#This Row],[_IsSummary]],COUNTIF(Tasks[WBS],Tasks[[#This Row],[WBS]]&amp;".*"),0)</f>
        <v>0</v>
      </c>
      <c r="CH94" s="43" t="n">
        <f aca="false">IF(AND(Tasks[[#This Row],[Task Name]]&lt;&gt;"",NOT(Tasks[[#This Row],[_IsSummary]])),1,0)</f>
        <v>0</v>
      </c>
      <c r="CI94" s="43" t="n">
        <f aca="false">IF(N(Tasks[[#This Row],[_Pred1UID]])=0,0,IFERROR(MATCH(Tasks[[#This Row],[_Pred1UID]],Tasks[UID],0),-1))</f>
        <v>0</v>
      </c>
      <c r="CJ94" s="43" t="n">
        <f aca="false">IF(N(Tasks[[#This Row],[_Pred2UID]])=0,0,IFERROR(MATCH(Tasks[[#This Row],[_Pred2UID]],Tasks[UID],0),-1))</f>
        <v>0</v>
      </c>
      <c r="CK94" s="43" t="n">
        <f aca="false">IF(N(Tasks[[#This Row],[_Pred3UID]])=0,0,IFERROR(MATCH(Tasks[[#This Row],[_Pred3UID]],Tasks[UID],0),-1))</f>
        <v>0</v>
      </c>
      <c r="CL94" s="43" t="n">
        <f aca="false">IF(N(Tasks[[#This Row],[_Pred4UID]])=0,0,IFERROR(MATCH(Tasks[[#This Row],[_Pred4UID]],Tasks[UID],0),-1))</f>
        <v>0</v>
      </c>
      <c r="CM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4" s="91" t="n">
        <f aca="false">IF(OR(Tasks[[#This Row],[_ConstraintCode]]=2,Tasks[[#This Row],[_ConstraintCode]]=3,Tasks[[#This Row],[_ConstraintCode]]=4,Tasks[[#This Row],[_ConstraintCode]]=6),Tasks[[#This Row],[_ConstraintStart]],0)</f>
        <v>0</v>
      </c>
      <c r="CP94" s="91" t="n">
        <f aca="false">IF(OR(Tasks[[#This Row],[_ConstraintCode]]=2,Tasks[[#This Row],[_ConstraintCode]]=3,Tasks[[#This Row],[_ConstraintCode]]=5,Tasks[[#This Row],[_ConstraintCode]]=7),Tasks[[#This Row],[_ConstraintStart]],2958465)</f>
        <v>2958465</v>
      </c>
      <c r="CQ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91" t="str">
        <f aca="false">IF(NOT(Tasks[[#This Row],[_IsLeaf]]=1),"",IF(N(Tasks[[#This Row],[_Days]])&lt;=0,Tasks[[#This Row],[_LeafCalcStart]],WORKDAY.INTL(Tasks[[#This Row],[_LeafCalcStart]],Tasks[[#This Row],[_Days]]-1,WorkWeek,Holidays)))</f>
        <v/>
      </c>
      <c r="CS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3" t="str">
        <f aca="false">IF(Tasks[[#This Row],[_Predecessors]]="","",TRIM(MID(SUBSTITUTE(SUBSTITUTE(SUBSTITUTE(UPPER(Tasks[[#This Row],[_Predecessors]]),";",",")," ",""),",",REPT(" ",99)),1,99)))</f>
        <v/>
      </c>
      <c r="CV94" s="43" t="str">
        <f aca="false">IF(Tasks[[#This Row],[_Pred1Text]]="","",IFERROR(VALUE(LEFT(Tasks[[#This Row],[_Pred1Text]],MIN(FIND("F",Tasks[[#This Row],[_Pred1Text]]&amp;"F"),FIND("S",Tasks[[#This Row],[_Pred1Text]]&amp;"S"),FIND("+",Tasks[[#This Row],[_Pred1Text]]&amp;"+"),FIND("-",Tasks[[#This Row],[_Pred1Text]]&amp;"-"))-1)),""))</f>
        <v/>
      </c>
      <c r="CW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3" t="str">
        <f aca="false">IF(Tasks[[#This Row],[_Pred1Text]]="","",TRIM(MID(SUBSTITUTE(SUBSTITUTE(SUBSTITUTE(UPPER(Tasks[[#This Row],[_Predecessors]]),";",",")," ",""),",",REPT(" ",99)),100,99)))</f>
        <v/>
      </c>
      <c r="CZ94" s="43" t="str">
        <f aca="false">IF(Tasks[[#This Row],[_Pred2Text]]="","",IFERROR(VALUE(LEFT(Tasks[[#This Row],[_Pred2Text]],MIN(FIND("F",Tasks[[#This Row],[_Pred2Text]]&amp;"F"),FIND("S",Tasks[[#This Row],[_Pred2Text]]&amp;"S"),FIND("+",Tasks[[#This Row],[_Pred2Text]]&amp;"+"),FIND("-",Tasks[[#This Row],[_Pred2Text]]&amp;"-"))-1)),""))</f>
        <v/>
      </c>
      <c r="DA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3" t="str">
        <f aca="false">IF(Tasks[[#This Row],[_Pred2Text]]="","",TRIM(MID(SUBSTITUTE(SUBSTITUTE(SUBSTITUTE(UPPER(Tasks[[#This Row],[_Predecessors]]),";",",")," ",""),",",REPT(" ",99)),199,99)))</f>
        <v/>
      </c>
      <c r="DD94" s="43" t="str">
        <f aca="false">IF(Tasks[[#This Row],[_Pred3Text]]="","",IFERROR(VALUE(LEFT(Tasks[[#This Row],[_Pred3Text]],MIN(FIND("F",Tasks[[#This Row],[_Pred3Text]]&amp;"F"),FIND("S",Tasks[[#This Row],[_Pred3Text]]&amp;"S"),FIND("+",Tasks[[#This Row],[_Pred3Text]]&amp;"+"),FIND("-",Tasks[[#This Row],[_Pred3Text]]&amp;"-"))-1)),""))</f>
        <v/>
      </c>
      <c r="DE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3" t="str">
        <f aca="false">IF(Tasks[[#This Row],[_Pred3Text]]="","",TRIM(MID(SUBSTITUTE(SUBSTITUTE(SUBSTITUTE(UPPER(Tasks[[#This Row],[_Predecessors]]),";",",")," ",""),",",REPT(" ",99)),298,99)))</f>
        <v/>
      </c>
      <c r="DH94" s="43" t="str">
        <f aca="false">IF(Tasks[[#This Row],[_Pred4Text]]="","",IFERROR(VALUE(LEFT(Tasks[[#This Row],[_Pred4Text]],MIN(FIND("F",Tasks[[#This Row],[_Pred4Text]]&amp;"F"),FIND("S",Tasks[[#This Row],[_Pred4Text]]&amp;"S"),FIND("+",Tasks[[#This Row],[_Pred4Text]]&amp;"+"),FIND("-",Tasks[[#This Row],[_Pred4Text]]&amp;"-"))-1)),""))</f>
        <v/>
      </c>
      <c r="DI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3" t="str">
        <f aca="false">IF(OR(Tasks[[#This Row],[Task Name]]="",Tasks[[#This Row],[_Resources]]=""),"",TRIM(MID(SUBSTITUTE(Tasks[[#This Row],[_Resources]],",",REPT(" ",99)),1,99)))</f>
        <v/>
      </c>
      <c r="DL94" s="43" t="str">
        <f aca="false">IF(Tasks[[#This Row],[_Res1Text]]="","",TRIM(MID(SUBSTITUTE(Tasks[[#This Row],[_Resources]],",",REPT(" ",99)),100,99)))</f>
        <v/>
      </c>
      <c r="DM94" s="43" t="str">
        <f aca="false">IF(Tasks[[#This Row],[_Res2Text]]="","",TRIM(MID(SUBSTITUTE(Tasks[[#This Row],[_Resources]],",",REPT(" ",99)),199,99)))</f>
        <v/>
      </c>
      <c r="DN94" s="43" t="str">
        <f aca="false">IF(Tasks[[#This Row],[_Res3Text]]="","",TRIM(MID(SUBSTITUTE(Tasks[[#This Row],[_Resources]],",",REPT(" ",99)),298,99)))</f>
        <v/>
      </c>
      <c r="DO94" s="43" t="n">
        <f aca="false">IF(Tasks[[#This Row],[_Res1Text]]="",0,IFERROR(MATCH(TRIM(LEFT(Tasks[[#This Row],[_Res1Text]],FIND("[",Tasks[[#This Row],[_Res1Text]]&amp;"[")-1)),res_Name,0),IFERROR(MATCH(TRIM(LEFT(Tasks[[#This Row],[_Res1Text]],FIND("[",Tasks[[#This Row],[_Res1Text]]&amp;"[")-1)),res_Initials,0),0)))</f>
        <v>0</v>
      </c>
      <c r="DP94" s="43" t="n">
        <f aca="false">IF(Tasks[[#This Row],[_Res2Text]]="",0,IFERROR(MATCH(TRIM(LEFT(Tasks[[#This Row],[_Res2Text]],FIND("[",Tasks[[#This Row],[_Res2Text]]&amp;"[")-1)),res_Name,0),IFERROR(MATCH(TRIM(LEFT(Tasks[[#This Row],[_Res2Text]],FIND("[",Tasks[[#This Row],[_Res2Text]]&amp;"[")-1)),res_Initials,0),0)))</f>
        <v>0</v>
      </c>
      <c r="DQ94" s="43" t="n">
        <f aca="false">IF(Tasks[[#This Row],[_Res3Text]]="",0,IFERROR(MATCH(TRIM(LEFT(Tasks[[#This Row],[_Res3Text]],FIND("[",Tasks[[#This Row],[_Res3Text]]&amp;"[")-1)),res_Name,0),IFERROR(MATCH(TRIM(LEFT(Tasks[[#This Row],[_Res3Text]],FIND("[",Tasks[[#This Row],[_Res3Text]]&amp;"[")-1)),res_Initials,0),0)))</f>
        <v>0</v>
      </c>
      <c r="DR94" s="43" t="n">
        <f aca="false">IF(Tasks[[#This Row],[_Res4Text]]="",0,IFERROR(MATCH(TRIM(LEFT(Tasks[[#This Row],[_Res4Text]],FIND("[",Tasks[[#This Row],[_Res4Text]]&amp;"[")-1)),res_Name,0),IFERROR(MATCH(TRIM(LEFT(Tasks[[#This Row],[_Res4Text]],FIND("[",Tasks[[#This Row],[_Res4Text]]&amp;"[")-1)),res_Initials,0),0)))</f>
        <v>0</v>
      </c>
      <c r="DS94" s="43" t="str">
        <f aca="false">IF(Tasks[[#This Row],[_Res1Text]]="","",IF(Tasks[[#This Row],[_Res1Row]]&gt;0,INDEX(res_Name,Tasks[[#This Row],[_Res1Row]]),TRIM(LEFT(Tasks[[#This Row],[_Res1Text]],FIND("[",Tasks[[#This Row],[_Res1Text]]&amp;"[")-1))))</f>
        <v/>
      </c>
      <c r="DT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3" t="n">
        <f aca="false">IF(NOT(Tasks[[#This Row],[_IsLeaf]]=1),0,(Tasks[[#This Row],[_Resource1]]&lt;&gt;"")+(Tasks[[#This Row],[_Res2]]&lt;&gt;"")+(Tasks[[#This Row],[_Res3]]&lt;&gt;"")+(Tasks[[#This Row],[_Res4]]&lt;&gt;""))</f>
        <v>0</v>
      </c>
      <c r="DV94" s="43" t="str">
        <f aca="false">IF(Tasks[[#This Row],[_Res2Text]]="","",IF(Tasks[[#This Row],[_Res2Row]]&gt;0,INDEX(res_Name,Tasks[[#This Row],[_Res2Row]]),TRIM(LEFT(Tasks[[#This Row],[_Res2Text]],FIND("[",Tasks[[#This Row],[_Res2Text]]&amp;"[")-1))))</f>
        <v/>
      </c>
      <c r="DW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3" t="n">
        <f aca="false">IF(OR(NOT(Tasks[[#This Row],[_IsLeaf]]=1),Tasks[[#This Row],[_Res2Row]]=0),0,N(Tasks[[#This Row],[_Days]])*HoursPerDay*IF(Tasks[[#This Row],[_Res2Units]]="",DefaultUnits,Tasks[[#This Row],[_Res2Units]]))</f>
        <v>0</v>
      </c>
      <c r="DY94" s="43" t="n">
        <f aca="false">IF(AND(AND(Tasks[[#This Row],[_IsLeaf]]=1,Tasks[[#This Row],[_LeafTotalWork]]&gt;0),Tasks[[#This Row],[_Res2Work]]&gt;0),Tasks[[#This Row],[_Res2Work]]/(Tasks[[#This Row],[_FinishWorkday]]-Tasks[[#This Row],[_StartWorkday]]+1),0)</f>
        <v>0</v>
      </c>
      <c r="DZ94" s="43" t="n">
        <f aca="false">Tasks[[#This Row],[_Res2WorkPerWD]]*MAX(0,Tasks[[#This Row],[_StartWorkday]]-1)</f>
        <v>0</v>
      </c>
      <c r="EA94" s="43" t="n">
        <f aca="false">Tasks[[#This Row],[_Res2Work]]*Tasks[[#This Row],[_LeafProgress]]</f>
        <v>0</v>
      </c>
      <c r="EB94" s="43" t="str">
        <f aca="false">IF(Tasks[[#This Row],[_Res3Text]]="","",IF(Tasks[[#This Row],[_Res3Row]]&gt;0,INDEX(res_Name,Tasks[[#This Row],[_Res3Row]]),TRIM(LEFT(Tasks[[#This Row],[_Res3Text]],FIND("[",Tasks[[#This Row],[_Res3Text]]&amp;"[")-1))))</f>
        <v/>
      </c>
      <c r="EC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3" t="n">
        <f aca="false">IF(OR(NOT(Tasks[[#This Row],[_IsLeaf]]=1),Tasks[[#This Row],[_Res3Row]]=0),0,N(Tasks[[#This Row],[_Days]])*HoursPerDay*IF(Tasks[[#This Row],[_Res3Units]]="",DefaultUnits,Tasks[[#This Row],[_Res3Units]]))</f>
        <v>0</v>
      </c>
      <c r="EE94" s="43" t="n">
        <f aca="false">IF(AND(AND(Tasks[[#This Row],[_IsLeaf]]=1,Tasks[[#This Row],[_LeafTotalWork]]&gt;0),Tasks[[#This Row],[_Res3Work]]&gt;0),Tasks[[#This Row],[_Res3Work]]/(Tasks[[#This Row],[_FinishWorkday]]-Tasks[[#This Row],[_StartWorkday]]+1),0)</f>
        <v>0</v>
      </c>
      <c r="EF94" s="43" t="n">
        <f aca="false">Tasks[[#This Row],[_Res3WorkPerWD]]*MAX(0,Tasks[[#This Row],[_StartWorkday]]-1)</f>
        <v>0</v>
      </c>
      <c r="EG94" s="43" t="n">
        <f aca="false">Tasks[[#This Row],[_Res3Work]]*Tasks[[#This Row],[_LeafProgress]]</f>
        <v>0</v>
      </c>
      <c r="EH94" s="43" t="str">
        <f aca="false">IF(Tasks[[#This Row],[_Res4Text]]="","",IF(Tasks[[#This Row],[_Res4Row]]&gt;0,INDEX(res_Name,Tasks[[#This Row],[_Res4Row]]),TRIM(LEFT(Tasks[[#This Row],[_Res4Text]],FIND("[",Tasks[[#This Row],[_Res4Text]]&amp;"[")-1))))</f>
        <v/>
      </c>
      <c r="EI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3" t="n">
        <f aca="false">IF(OR(NOT(Tasks[[#This Row],[_IsLeaf]]=1),Tasks[[#This Row],[_Res4Row]]=0),0,N(Tasks[[#This Row],[_Days]])*HoursPerDay*IF(Tasks[[#This Row],[_Res4Units]]="",DefaultUnits,Tasks[[#This Row],[_Res4Units]]))</f>
        <v>0</v>
      </c>
      <c r="EK94" s="43" t="n">
        <f aca="false">IF(AND(AND(Tasks[[#This Row],[_IsLeaf]]=1,Tasks[[#This Row],[_LeafTotalWork]]&gt;0),Tasks[[#This Row],[_Res4Work]]&gt;0),Tasks[[#This Row],[_Res4Work]]/(Tasks[[#This Row],[_FinishWorkday]]-Tasks[[#This Row],[_StartWorkday]]+1),0)</f>
        <v>0</v>
      </c>
      <c r="EL94" s="43" t="n">
        <f aca="false">Tasks[[#This Row],[_Res4WorkPerWD]]*MAX(0,Tasks[[#This Row],[_StartWorkday]]-1)</f>
        <v>0</v>
      </c>
      <c r="EM94" s="43" t="n">
        <f aca="false">Tasks[[#This Row],[_Res4Work]]*Tasks[[#This Row],[_LeafProgress]]</f>
        <v>0</v>
      </c>
      <c r="EN94" s="43" t="n">
        <f aca="false">IF(ISNUMBER(Tasks[[#This Row],[% Complete]]),Tasks[[#This Row],[% Complete]],IF(Tasks[[#This Row],[Stage]]="",0,IFERROR(INDEX(stg_Pct,MATCH(Tasks[[#This Row],[Stage]],stg_Name,0)),0)))</f>
        <v>0</v>
      </c>
      <c r="EO94" s="43" t="n">
        <f aca="false">IF(NOT(Tasks[[#This Row],[_IsLeaf]]=1),0,IF(N(Tasks[[#This Row],[Actual Finish]])&gt;0,1,MIN(1,Tasks[[#This Row],[_Pct]])))</f>
        <v>0</v>
      </c>
      <c r="EP94" s="43" t="n">
        <f aca="false">IF(OR(NOT(Tasks[[#This Row],[_IsLeaf]]=1),Tasks[[#This Row],[_Res1Row]]=0),0,N(Tasks[[#This Row],[_Days]])*HoursPerDay*IF(Tasks[[#This Row],[_Units1]]="",DefaultUnits,Tasks[[#This Row],[_Units1]]))</f>
        <v>0</v>
      </c>
      <c r="EQ94" s="43" t="n">
        <f aca="false">Tasks[[#This Row],[_LeafWork]]+Tasks[[#This Row],[_Res2Work]]+Tasks[[#This Row],[_Res3Work]]+Tasks[[#This Row],[_Res4Work]]</f>
        <v>0</v>
      </c>
      <c r="ER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3" t="n">
        <f aca="false">IF(NOT(Tasks[[#This Row],[_IsLeaf]]=1),0,MAX(_xlfn.MAXIFS(Tasks[_Row],Tasks[_Pred1UID],Tasks[[#This Row],[UID]]),_xlfn.MAXIFS(Tasks[_Row],Tasks[_Pred2UID],Tasks[[#This Row],[UID]]),_xlfn.MAXIFS(Tasks[_Row],Tasks[_Pred3UID],Tasks[[#This Row],[UID]]),_xlfn.MAXIFS(Tasks[_Row],Tasks[_Pred4UID],Tasks[[#This Row],[UID]])))</f>
        <v>0</v>
      </c>
      <c r="FA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91" t="str">
        <f aca="false">IF(NOT(Tasks[[#This Row],[_IsLeaf]]=1),"",IF(N(Tasks[[#This Row],[_Days]])&lt;=0,Tasks[[#This Row],[_LeafLateFinish]],WORKDAY.INTL(Tasks[[#This Row],[_LeafLateFinish]],-(Tasks[[#This Row],[_Days]]-1),WorkWeek,Holidays)))</f>
        <v/>
      </c>
      <c r="FD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4" s="90" t="b">
        <f aca="false">AND(Tasks[[#This Row],[_IsLeaf]]=1,Tasks[[#This Row],[_LeafProgress]]&lt;1,N(Tasks[[#This Row],[_LeafTotalSlack]])&lt;=CriticalSlackDays)</f>
        <v>0</v>
      </c>
      <c r="FF94" s="43" t="n">
        <f aca="false">IF(AND(Tasks[[#This Row],[_IsLeaf]]=1,Tasks[[#This Row],[_ConstraintCode]]=1,Tasks[[#This Row],[Mode]]&lt;&gt;"Manual",N(Tasks[[#This Row],[Actual Start]])=0),MAX(0,N(Tasks[[#This Row],[Free Slack]])),0)</f>
        <v>0</v>
      </c>
      <c r="FG94" s="91" t="str">
        <f aca="false">IF(NOT(Tasks[[#This Row],[_IsLeaf]]=1),"",IF(Tasks[[#This Row],[_AlapShift]]=0,Tasks[[#This Row],[_LeafCalcStart]],WORKDAY.INTL(Tasks[[#This Row],[_LeafCalcStart]],Tasks[[#This Row],[_AlapShift]],WorkWeek,Holidays)))</f>
        <v/>
      </c>
      <c r="FH94" s="91" t="str">
        <f aca="false">IF(NOT(Tasks[[#This Row],[_IsLeaf]]=1),"",IF(Tasks[[#This Row],[_AlapShift]]=0,Tasks[[#This Row],[_LeafCalcFinish]],WORKDAY.INTL(Tasks[[#This Row],[_LeafCalcFinish]],Tasks[[#This Row],[_AlapShift]],WorkWeek,Holidays)))</f>
        <v/>
      </c>
      <c r="FI94" s="91" t="str">
        <f aca="false">IF(NOT(Tasks[[#This Row],[_IsLeaf]]=1),"",IF(Tasks[[#This Row],[_AlapShift]]=0,Tasks[[#This Row],[_LeafFcstStart]],WORKDAY.INTL(Tasks[[#This Row],[_LeafFcstStart]],Tasks[[#This Row],[_AlapShift]],WorkWeek,Holidays)))</f>
        <v/>
      </c>
      <c r="FJ94" s="91" t="str">
        <f aca="false">IF(NOT(Tasks[[#This Row],[_IsLeaf]]=1),"",IF(Tasks[[#This Row],[_AlapShift]]=0,Tasks[[#This Row],[_LeafFcstFinish]],WORKDAY.INTL(Tasks[[#This Row],[_LeafFcstFinish]],Tasks[[#This Row],[_AlapShift]],WorkWeek,Holidays)))</f>
        <v/>
      </c>
      <c r="FK94" s="91" t="str">
        <f aca="false">IF(Tasks[[#This Row],[Task Name]]="","",IF(Tasks[[#This Row],[_IsSummary]],MIN(INDEX(Tasks[_ShownCalcStart],Tasks[[#This Row],[_Row]]+1):INDEX(Tasks[_ShownCalcStart],Tasks[[#This Row],[_Row]]+Tasks[[#This Row],[_Descendants]])),Tasks[[#This Row],[_ShownCalcStart]]))</f>
        <v/>
      </c>
      <c r="FL94" s="91" t="str">
        <f aca="false">IF(Tasks[[#This Row],[Task Name]]="","",IF(Tasks[[#This Row],[_IsSummary]],MAX(INDEX(Tasks[_ShownCalcFinish],Tasks[[#This Row],[_Row]]+1):INDEX(Tasks[_ShownCalcFinish],Tasks[[#This Row],[_Row]]+Tasks[[#This Row],[_Descendants]])),Tasks[[#This Row],[_ShownCalcFinish]]))</f>
        <v/>
      </c>
      <c r="FM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4" s="43" t="n">
        <f aca="false">IF(AND(Tasks[[#This Row],[_IsLeaf]]=1,Tasks[[#This Row],[_LeafTotalWork]]&gt;0),NETWORKDAYS.INTL(ProjectStart,Tasks[[#This Row],[_ShownFcstStart]],WorkWeek,Holidays),0)</f>
        <v>0</v>
      </c>
      <c r="FZ94" s="43" t="n">
        <f aca="false">IF(AND(Tasks[[#This Row],[_IsLeaf]]=1,Tasks[[#This Row],[_LeafTotalWork]]&gt;0),MAX(Tasks[[#This Row],[_StartWorkday]],NETWORKDAYS.INTL(ProjectStart,Tasks[[#This Row],[_ShownFcstFinish]],WorkWeek,Holidays)),0)</f>
        <v>0</v>
      </c>
      <c r="GA94" s="43" t="n">
        <f aca="false">IF(AND(Tasks[[#This Row],[_IsLeaf]]=1,Tasks[[#This Row],[_LeafTotalWork]]&gt;0),Tasks[[#This Row],[_LeafWork]]/(Tasks[[#This Row],[_FinishWorkday]]-Tasks[[#This Row],[_StartWorkday]]+1),0)</f>
        <v>0</v>
      </c>
      <c r="GB94" s="43" t="n">
        <f aca="false">Tasks[[#This Row],[_WorkPerWorkday]]*(Tasks[[#This Row],[_StartWorkday]]-1)</f>
        <v>-0</v>
      </c>
      <c r="GC94" s="43" t="n">
        <f aca="false">IF(Tasks[[#This Row],[_IsLeaf]]=1,MAX(N(Tasks[[#This Row],[_Days]]),0.1),0)</f>
        <v>0</v>
      </c>
      <c r="GD94" s="43" t="n">
        <f aca="false">Tasks[[#This Row],[_WeightDur]]*Tasks[[#This Row],[_LeafProgress]]</f>
        <v>0</v>
      </c>
      <c r="GE94" s="43" t="n">
        <f aca="false">Tasks[[#This Row],[_WeightDur]]*Tasks[[#This Row],[_PlannedPct]]</f>
        <v>0</v>
      </c>
      <c r="GF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3" t="str">
        <f aca="false">IF(AND(Tasks[[#This Row],[_IsLeaf]]=1,N(Tasks[[#This Row],[_Days]])=0,Tasks[[#This Row],[_LeafProgress]]&lt;1),Tasks[[#This Row],[_ShownFcstFinish]]+Tasks[[#This Row],[_Row]]/100000,"")</f>
        <v/>
      </c>
      <c r="GH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4" s="43" t="str">
        <f aca="false">IF(Tasks[[#This Row],[Task Name]]="","",LEFT(Tasks[[#This Row],[WBS]],FIND(".",Tasks[[#This Row],[WBS]]&amp;".")-1))</f>
        <v/>
      </c>
      <c r="GJ94" s="43" t="str">
        <f aca="false">IF(AND(Tasks[[#This Row],[Task Name]]&lt;&gt;"",Tasks[[#This Row],[_Level]]=1),Tasks[[#This Row],[_Row]],"")</f>
        <v/>
      </c>
      <c r="GK94" s="43" t="str">
        <f aca="false">IF(AND(Tasks[[#This Row],[_IsLeaf]]=1,N(Tasks[[#This Row],[_Days]])=0),Tasks[[#This Row],[Planned Finish]]+Tasks[[#This Row],[_Row]]/100000,"")</f>
        <v/>
      </c>
      <c r="GL94" s="43" t="str">
        <f aca="false">IF(AND(Tasks[[#This Row],[_IsLeaf]]=1,Tasks[[#This Row],[_LeafProgress]]&lt;1,OR(N(Tasks[[#This Row],[Finish Var]])&gt;0,Tasks[[#This Row],[Status]]="Late Start")),MAX(0,Tasks[[#This Row],[Finish Var]])+1-Tasks[[#This Row],[_Row]]/1000000,"")</f>
        <v/>
      </c>
      <c r="GM94" s="43" t="str">
        <f aca="false">IF(AND(Tasks[[#This Row],[_IsLeaf]]=1,N(Tasks[[#This Row],[Actual Start]])=0,Tasks[[#This Row],[_ShownFcstStart]]&gt;=StatusDate,Tasks[[#This Row],[_ShownFcstStart]]&lt;=LookaheadEnd),Tasks[[#This Row],[_ShownFcstStart]]+Tasks[[#This Row],[_Row]]/100000,"")</f>
        <v/>
      </c>
      <c r="GN94" s="43" t="str">
        <f aca="false">IF(AND(Tasks[[#This Row],[_IsLeaf]]=1,Tasks[[#This Row],[_LeafProgress]]&lt;1,Tasks[[#This Row],[_ShownFcstFinish]]&gt;=StatusDate,Tasks[[#This Row],[_ShownFcstFinish]]&lt;=LookaheadEnd),Tasks[[#This Row],[_ShownFcstFinish]]+Tasks[[#This Row],[_Row]]/100000,"")</f>
        <v/>
      </c>
      <c r="GO94" s="43" t="str">
        <f aca="false">IF(Tasks[[#This Row],[_LeafCritical]],Tasks[[#This Row],[_ShownFcstStart]]+Tasks[[#This Row],[_Row]]/100000,"")</f>
        <v/>
      </c>
      <c r="GP94" s="43" t="n">
        <f aca="false">Tasks[[#This Row],[_LeafWork]]*Tasks[[#This Row],[_LeafProgress]]</f>
        <v>0</v>
      </c>
      <c r="GQ94" s="91" t="str">
        <f aca="false">IF(AND(Tasks[[#This Row],[_IsLeaf]]=1,Tasks[[#This Row],[_LeafProgress]]&gt;=1),IF(N(Tasks[[#This Row],[Actual Finish]])&gt;0,Tasks[[#This Row],[Actual Finish]],Tasks[[#This Row],[_ShownFcstFinish]]),"")</f>
        <v/>
      </c>
      <c r="GR94" s="43" t="n">
        <f aca="false">IF(Tasks[[#This Row],[_IsLeaf]]=1,N(Tasks[[#This Row],[Story Points]]),0)</f>
        <v>0</v>
      </c>
      <c r="GS94" s="43" t="str">
        <f aca="false">""</f>
        <v/>
      </c>
      <c r="GT94" s="90" t="b">
        <f aca="false">IF(Tasks[[#This Row],[Task Name]]="",FALSE(),AND(Tasks[[#This Row],[_IsLeaf]]=1,N(Tasks[[#This Row],[_Days]])=0))</f>
        <v>0</v>
      </c>
      <c r="GU94" s="91" t="n">
        <f aca="false">IF(Tasks[[#This Row],[Task Name]]="",0,IF(AND(Tasks[[#This Row],[_IsLeaf]]=1,NOT(Tasks[[#This Row],[_IsMilestone]]),N(Tasks[[#This Row],[Progress]])&gt;0),Tasks[[#This Row],[Start]],0))</f>
        <v>0</v>
      </c>
      <c r="GV94" s="91" t="n">
        <f aca="false">IF(Tasks[[#This Row],[_DoneFrom]]=0,0,IF(Tasks[[#This Row],[Progress]]&gt;=1,Tasks[[#This Row],[Finish]],MAX(Tasks[[#This Row],[_DoneFrom]],Tasks[[#This Row],[Start]]+ROUND((Tasks[[#This Row],[Finish]]-Tasks[[#This Row],[Start]]+1)*Tasks[[#This Row],[Progress]],0)-1)))</f>
        <v>0</v>
      </c>
      <c r="GW94" s="91" t="n">
        <f aca="false">IF(Tasks[[#This Row],[Task Name]]="",0,IF(OR(NOT(Tasks[[#This Row],[_IsLeaf]]=1),Tasks[[#This Row],[_IsMilestone]],N(Tasks[[#This Row],[Progress]])&gt;=1),0,IF(Tasks[[#This Row],[_DoneTo]]&gt;0,Tasks[[#This Row],[_DoneTo]]+1,Tasks[[#This Row],[Start]])))</f>
        <v>0</v>
      </c>
      <c r="GX94" s="91" t="n">
        <f aca="false">IF(Tasks[[#This Row],[_RemFrom]]=0,0,Tasks[[#This Row],[Finish]])</f>
        <v>0</v>
      </c>
      <c r="GY94" s="90" t="b">
        <f aca="false">IF(Tasks[[#This Row],[Task Name]]="",FALSE(),OR(NOT(BaselineSet),N(Tasks[[#This Row],[Baseline Start]])&gt;0))</f>
        <v>0</v>
      </c>
      <c r="GZ9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92" t="str">
        <f aca="false">IF(Tasks[[#This Row],[_IsLeaf]]=1,Tasks[[#This Row],[_Row]],"")</f>
        <v/>
      </c>
      <c r="HD94" s="92" t="str">
        <f aca="false">IFERROR(INDEX(Tasks[UID],SMALL(Tasks[_PickKey],Tasks[[#This Row],[_Row]]))&amp;" "&amp;INDEX(Tasks[Task Name],SMALL(Tasks[_PickKey],Tasks[[#This Row],[_Row]])),"")</f>
        <v/>
      </c>
      <c r="HE94" s="43" t="str">
        <f aca="false">IF(Tasks[[#This Row],[Task Name]]="","",IF(Tasks[[#This Row],[_IsSummary]],NETWORKDAYS.INTL(Tasks[[#This Row],[Start]],Tasks[[#This Row],[Finish]],WorkWeek,Holidays),N(Tasks[[#This Row],[_Days]])))</f>
        <v/>
      </c>
      <c r="HF94" s="43" t="n">
        <f aca="false">IF(Tasks[[#This Row],[Expected]]="",0,((Tasks[[#This Row],[Pessimistic]]-Tasks[[#This Row],[Optimistic]])/6)^2)</f>
        <v>0</v>
      </c>
      <c r="HG94" s="43" t="n">
        <f aca="false">IF(Tasks[[#This Row],[Expected]]="",0,Tasks[[#This Row],[Expected]]-N(Tasks[[#This Row],[_Days]]))</f>
        <v>0</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4"/>
      <c r="U95" s="23"/>
      <c r="V95" s="84"/>
      <c r="W95" s="23"/>
      <c r="X95" s="84"/>
      <c r="Y95" s="23"/>
      <c r="Z95" s="84"/>
      <c r="AA95" s="23"/>
      <c r="AB95" s="23"/>
      <c r="AC95" s="7"/>
      <c r="AD95" s="7"/>
      <c r="AE95" s="63" t="str">
        <f aca="false">IF(Tasks[[#This Row],[Task Name]]="","",IF(Tasks[[#This Row],[_IsSummary]],MIN(INDEX(Tasks[_ShownFcstStart],Tasks[[#This Row],[_Row]]+1):INDEX(Tasks[_ShownFcstStart],Tasks[[#This Row],[_Row]]+Tasks[[#This Row],[_Descendants]])),Tasks[[#This Row],[_ShownFcstStart]]))</f>
        <v/>
      </c>
      <c r="AF95" s="63"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5" s="7"/>
      <c r="AK95" s="22"/>
      <c r="AL95" s="23"/>
      <c r="AM95" s="7"/>
      <c r="AN95" s="47"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3" t="str">
        <f aca="false">IF(Tasks[[#This Row],[Task Name]]="","",IF(N(Tasks[[#This Row],[Baseline Start]])&gt;0,Tasks[[#This Row],[Baseline Start]],Tasks[[#This Row],[_CalcStart]]))</f>
        <v/>
      </c>
      <c r="AR95" s="63" t="str">
        <f aca="false">IF(Tasks[[#This Row],[Task Name]]="","",IF(N(Tasks[[#This Row],[Baseline Finish]])&gt;0,Tasks[[#This Row],[Baseline Finish]],Tasks[[#This Row],[_CalcFinish]]))</f>
        <v/>
      </c>
      <c r="AS95" s="47" t="str">
        <f aca="false">IF(Tasks[[#This Row],[Task Name]]="","",IF(Tasks[[#This Row],[Start]]&gt;=Tasks[[#This Row],[Planned Start]],NETWORKDAYS.INTL(Tasks[[#This Row],[Planned Start]],Tasks[[#This Row],[Start]],WorkWeek,Holidays)-1,1-NETWORKDAYS.INTL(Tasks[[#This Row],[Start]],Tasks[[#This Row],[Planned Start]],WorkWeek,Holidays)))</f>
        <v/>
      </c>
      <c r="AT95" s="63" t="str">
        <f aca="false">IF(Tasks[[#This Row],[Task Name]]="","",IF(Tasks[[#This Row],[_IsSummary]],MIN(INDEX(Tasks[_LeafLateStart],Tasks[[#This Row],[_Row]]+1):INDEX(Tasks[_LeafLateStart],Tasks[[#This Row],[_Row]]+Tasks[[#This Row],[_Descendants]])),Tasks[[#This Row],[_LeafLateStart]]))</f>
        <v/>
      </c>
      <c r="AU95" s="63" t="str">
        <f aca="false">IF(Tasks[[#This Row],[Task Name]]="","",IF(Tasks[[#This Row],[_IsSummary]],MAX(INDEX(Tasks[_LeafLateFinish],Tasks[[#This Row],[_Row]]+1):INDEX(Tasks[_LeafLateFinish],Tasks[[#This Row],[_Row]]+Tasks[[#This Row],[_Descendants]])),Tasks[[#This Row],[_LeafLateFinish]]))</f>
        <v/>
      </c>
      <c r="AV95" s="47"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5"/>
      <c r="BA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6"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7"/>
      <c r="BJ95" s="22"/>
      <c r="BK95" s="47" t="str">
        <f aca="false">IF(OR(Tasks[[#This Row],[Task Name]]="",Tasks[[#This Row],[Baseline Duration]]=""),"",Tasks[[#This Row],[_SpanDays]]-N(Tasks[[#This Row],[Baseline Duration]]))</f>
        <v/>
      </c>
      <c r="BL95" s="86" t="str">
        <f aca="false">IF(OR(Tasks[[#This Row],[Task Name]]="",Tasks[[#This Row],[Baseline Work]]=""),"",Tasks[[#This Row],[Work]]-N(Tasks[[#This Row],[Baseline Work]]))</f>
        <v/>
      </c>
      <c r="BM95" s="63" t="str">
        <f aca="false">IF(Tasks[[#This Row],[Task Name]]="","",IF(OR(TakeBaseline="Yes",N(Tasks[[#This Row],[Baseline Start]])=0),Tasks[[#This Row],[Start]],Tasks[[#This Row],[Baseline Start]]))</f>
        <v/>
      </c>
      <c r="BN95" s="63" t="str">
        <f aca="false">IF(Tasks[[#This Row],[Task Name]]="","",IF(OR(TakeBaseline="Yes",N(Tasks[[#This Row],[Baseline Finish]])=0),Tasks[[#This Row],[Finish]],Tasks[[#This Row],[Baseline Finish]]))</f>
        <v/>
      </c>
      <c r="BO95" s="21" t="str">
        <f aca="false">IF(Tasks[[#This Row],[Task Name]]="","",IF(OR(TakeBaseline="Yes",N(Tasks[[#This Row],[Baseline Duration]])=0),Tasks[[#This Row],[_SpanDays]],Tasks[[#This Row],[Baseline Duration]]))</f>
        <v/>
      </c>
      <c r="BP95" s="86" t="str">
        <f aca="false">IF(Tasks[[#This Row],[Task Name]]="","",IF(OR(TakeBaseline="Yes",N(Tasks[[#This Row],[Baseline Work]])=0),Tasks[[#This Row],[Work]],Tasks[[#This Row],[Baseline Work]]))</f>
        <v/>
      </c>
      <c r="BQ95" s="7"/>
      <c r="BR95" s="7"/>
      <c r="BS95" s="22"/>
      <c r="BT95" s="88"/>
      <c r="BU95" s="23"/>
      <c r="BV95" s="23"/>
      <c r="BW95" s="23"/>
      <c r="BX95" s="89" t="str">
        <f aca="false">IF(AND(Tasks[[#This Row],[_IsLeaf]]=1,ISNUMBER(Tasks[[#This Row],[Optimistic]]),ISNUMBER(Tasks[[#This Row],[Pessimistic]])),ROUND((Tasks[[#This Row],[Optimistic]]+4*N(Tasks[[#This Row],[_Days]])+Tasks[[#This Row],[Pessimistic]])/6,1),"")</f>
        <v/>
      </c>
      <c r="BY95" s="87"/>
      <c r="BZ95" s="87"/>
      <c r="CA95" s="22"/>
      <c r="CB95" s="43" t="str">
        <f aca="false">IF(Tasks[[#This Row],[Task Name]]="","",MAX(1,N(Tasks[[#This Row],[Level]])))</f>
        <v/>
      </c>
      <c r="CC95" s="43" t="n">
        <f aca="false">ROW()-ROW(Tasks[[#Headers],[ID]])</f>
        <v>90</v>
      </c>
      <c r="CD95" s="43" t="n">
        <f aca="false">IF(OR(Tasks[[#This Row],[Task Name]]="",Tasks[[#This Row],[_Level]]&lt;=1),0,IFERROR(LOOKUP(2,1/(Tasks[[#Headers],[_Level]]:Tasks[[#This Row],[_Level]]=Tasks[[#This Row],[_Level]]-1),ROW(Tasks[[#Headers],[_Level]]:Tasks[[#This Row],[_Level]])),0))</f>
        <v>0</v>
      </c>
      <c r="CE95" s="43" t="n">
        <f aca="false">IFERROR(N(INDEX(Tasks[_Level],Tasks[[#This Row],[_Row]]+1)),0)</f>
        <v>0</v>
      </c>
      <c r="CF95" s="90" t="b">
        <f aca="false">AND(Tasks[[#This Row],[Task Name]]&lt;&gt;"",Tasks[[#This Row],[_NextLevel]]&gt;Tasks[[#This Row],[_Level]])</f>
        <v>0</v>
      </c>
      <c r="CG95" s="43" t="n">
        <f aca="false">IF(Tasks[[#This Row],[_IsSummary]],COUNTIF(Tasks[WBS],Tasks[[#This Row],[WBS]]&amp;".*"),0)</f>
        <v>0</v>
      </c>
      <c r="CH95" s="43" t="n">
        <f aca="false">IF(AND(Tasks[[#This Row],[Task Name]]&lt;&gt;"",NOT(Tasks[[#This Row],[_IsSummary]])),1,0)</f>
        <v>0</v>
      </c>
      <c r="CI95" s="43" t="n">
        <f aca="false">IF(N(Tasks[[#This Row],[_Pred1UID]])=0,0,IFERROR(MATCH(Tasks[[#This Row],[_Pred1UID]],Tasks[UID],0),-1))</f>
        <v>0</v>
      </c>
      <c r="CJ95" s="43" t="n">
        <f aca="false">IF(N(Tasks[[#This Row],[_Pred2UID]])=0,0,IFERROR(MATCH(Tasks[[#This Row],[_Pred2UID]],Tasks[UID],0),-1))</f>
        <v>0</v>
      </c>
      <c r="CK95" s="43" t="n">
        <f aca="false">IF(N(Tasks[[#This Row],[_Pred3UID]])=0,0,IFERROR(MATCH(Tasks[[#This Row],[_Pred3UID]],Tasks[UID],0),-1))</f>
        <v>0</v>
      </c>
      <c r="CL95" s="43" t="n">
        <f aca="false">IF(N(Tasks[[#This Row],[_Pred4UID]])=0,0,IFERROR(MATCH(Tasks[[#This Row],[_Pred4UID]],Tasks[UID],0),-1))</f>
        <v>0</v>
      </c>
      <c r="CM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5" s="91" t="n">
        <f aca="false">IF(OR(Tasks[[#This Row],[_ConstraintCode]]=2,Tasks[[#This Row],[_ConstraintCode]]=3,Tasks[[#This Row],[_ConstraintCode]]=4,Tasks[[#This Row],[_ConstraintCode]]=6),Tasks[[#This Row],[_ConstraintStart]],0)</f>
        <v>0</v>
      </c>
      <c r="CP95" s="91" t="n">
        <f aca="false">IF(OR(Tasks[[#This Row],[_ConstraintCode]]=2,Tasks[[#This Row],[_ConstraintCode]]=3,Tasks[[#This Row],[_ConstraintCode]]=5,Tasks[[#This Row],[_ConstraintCode]]=7),Tasks[[#This Row],[_ConstraintStart]],2958465)</f>
        <v>2958465</v>
      </c>
      <c r="CQ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91" t="str">
        <f aca="false">IF(NOT(Tasks[[#This Row],[_IsLeaf]]=1),"",IF(N(Tasks[[#This Row],[_Days]])&lt;=0,Tasks[[#This Row],[_LeafCalcStart]],WORKDAY.INTL(Tasks[[#This Row],[_LeafCalcStart]],Tasks[[#This Row],[_Days]]-1,WorkWeek,Holidays)))</f>
        <v/>
      </c>
      <c r="CS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3" t="str">
        <f aca="false">IF(Tasks[[#This Row],[_Predecessors]]="","",TRIM(MID(SUBSTITUTE(SUBSTITUTE(SUBSTITUTE(UPPER(Tasks[[#This Row],[_Predecessors]]),";",",")," ",""),",",REPT(" ",99)),1,99)))</f>
        <v/>
      </c>
      <c r="CV95" s="43" t="str">
        <f aca="false">IF(Tasks[[#This Row],[_Pred1Text]]="","",IFERROR(VALUE(LEFT(Tasks[[#This Row],[_Pred1Text]],MIN(FIND("F",Tasks[[#This Row],[_Pred1Text]]&amp;"F"),FIND("S",Tasks[[#This Row],[_Pred1Text]]&amp;"S"),FIND("+",Tasks[[#This Row],[_Pred1Text]]&amp;"+"),FIND("-",Tasks[[#This Row],[_Pred1Text]]&amp;"-"))-1)),""))</f>
        <v/>
      </c>
      <c r="CW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3" t="str">
        <f aca="false">IF(Tasks[[#This Row],[_Pred1Text]]="","",TRIM(MID(SUBSTITUTE(SUBSTITUTE(SUBSTITUTE(UPPER(Tasks[[#This Row],[_Predecessors]]),";",",")," ",""),",",REPT(" ",99)),100,99)))</f>
        <v/>
      </c>
      <c r="CZ95" s="43" t="str">
        <f aca="false">IF(Tasks[[#This Row],[_Pred2Text]]="","",IFERROR(VALUE(LEFT(Tasks[[#This Row],[_Pred2Text]],MIN(FIND("F",Tasks[[#This Row],[_Pred2Text]]&amp;"F"),FIND("S",Tasks[[#This Row],[_Pred2Text]]&amp;"S"),FIND("+",Tasks[[#This Row],[_Pred2Text]]&amp;"+"),FIND("-",Tasks[[#This Row],[_Pred2Text]]&amp;"-"))-1)),""))</f>
        <v/>
      </c>
      <c r="DA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3" t="str">
        <f aca="false">IF(Tasks[[#This Row],[_Pred2Text]]="","",TRIM(MID(SUBSTITUTE(SUBSTITUTE(SUBSTITUTE(UPPER(Tasks[[#This Row],[_Predecessors]]),";",",")," ",""),",",REPT(" ",99)),199,99)))</f>
        <v/>
      </c>
      <c r="DD95" s="43" t="str">
        <f aca="false">IF(Tasks[[#This Row],[_Pred3Text]]="","",IFERROR(VALUE(LEFT(Tasks[[#This Row],[_Pred3Text]],MIN(FIND("F",Tasks[[#This Row],[_Pred3Text]]&amp;"F"),FIND("S",Tasks[[#This Row],[_Pred3Text]]&amp;"S"),FIND("+",Tasks[[#This Row],[_Pred3Text]]&amp;"+"),FIND("-",Tasks[[#This Row],[_Pred3Text]]&amp;"-"))-1)),""))</f>
        <v/>
      </c>
      <c r="DE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3" t="str">
        <f aca="false">IF(Tasks[[#This Row],[_Pred3Text]]="","",TRIM(MID(SUBSTITUTE(SUBSTITUTE(SUBSTITUTE(UPPER(Tasks[[#This Row],[_Predecessors]]),";",",")," ",""),",",REPT(" ",99)),298,99)))</f>
        <v/>
      </c>
      <c r="DH95" s="43" t="str">
        <f aca="false">IF(Tasks[[#This Row],[_Pred4Text]]="","",IFERROR(VALUE(LEFT(Tasks[[#This Row],[_Pred4Text]],MIN(FIND("F",Tasks[[#This Row],[_Pred4Text]]&amp;"F"),FIND("S",Tasks[[#This Row],[_Pred4Text]]&amp;"S"),FIND("+",Tasks[[#This Row],[_Pred4Text]]&amp;"+"),FIND("-",Tasks[[#This Row],[_Pred4Text]]&amp;"-"))-1)),""))</f>
        <v/>
      </c>
      <c r="DI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3" t="str">
        <f aca="false">IF(OR(Tasks[[#This Row],[Task Name]]="",Tasks[[#This Row],[_Resources]]=""),"",TRIM(MID(SUBSTITUTE(Tasks[[#This Row],[_Resources]],",",REPT(" ",99)),1,99)))</f>
        <v/>
      </c>
      <c r="DL95" s="43" t="str">
        <f aca="false">IF(Tasks[[#This Row],[_Res1Text]]="","",TRIM(MID(SUBSTITUTE(Tasks[[#This Row],[_Resources]],",",REPT(" ",99)),100,99)))</f>
        <v/>
      </c>
      <c r="DM95" s="43" t="str">
        <f aca="false">IF(Tasks[[#This Row],[_Res2Text]]="","",TRIM(MID(SUBSTITUTE(Tasks[[#This Row],[_Resources]],",",REPT(" ",99)),199,99)))</f>
        <v/>
      </c>
      <c r="DN95" s="43" t="str">
        <f aca="false">IF(Tasks[[#This Row],[_Res3Text]]="","",TRIM(MID(SUBSTITUTE(Tasks[[#This Row],[_Resources]],",",REPT(" ",99)),298,99)))</f>
        <v/>
      </c>
      <c r="DO95" s="43" t="n">
        <f aca="false">IF(Tasks[[#This Row],[_Res1Text]]="",0,IFERROR(MATCH(TRIM(LEFT(Tasks[[#This Row],[_Res1Text]],FIND("[",Tasks[[#This Row],[_Res1Text]]&amp;"[")-1)),res_Name,0),IFERROR(MATCH(TRIM(LEFT(Tasks[[#This Row],[_Res1Text]],FIND("[",Tasks[[#This Row],[_Res1Text]]&amp;"[")-1)),res_Initials,0),0)))</f>
        <v>0</v>
      </c>
      <c r="DP95" s="43" t="n">
        <f aca="false">IF(Tasks[[#This Row],[_Res2Text]]="",0,IFERROR(MATCH(TRIM(LEFT(Tasks[[#This Row],[_Res2Text]],FIND("[",Tasks[[#This Row],[_Res2Text]]&amp;"[")-1)),res_Name,0),IFERROR(MATCH(TRIM(LEFT(Tasks[[#This Row],[_Res2Text]],FIND("[",Tasks[[#This Row],[_Res2Text]]&amp;"[")-1)),res_Initials,0),0)))</f>
        <v>0</v>
      </c>
      <c r="DQ95" s="43" t="n">
        <f aca="false">IF(Tasks[[#This Row],[_Res3Text]]="",0,IFERROR(MATCH(TRIM(LEFT(Tasks[[#This Row],[_Res3Text]],FIND("[",Tasks[[#This Row],[_Res3Text]]&amp;"[")-1)),res_Name,0),IFERROR(MATCH(TRIM(LEFT(Tasks[[#This Row],[_Res3Text]],FIND("[",Tasks[[#This Row],[_Res3Text]]&amp;"[")-1)),res_Initials,0),0)))</f>
        <v>0</v>
      </c>
      <c r="DR95" s="43" t="n">
        <f aca="false">IF(Tasks[[#This Row],[_Res4Text]]="",0,IFERROR(MATCH(TRIM(LEFT(Tasks[[#This Row],[_Res4Text]],FIND("[",Tasks[[#This Row],[_Res4Text]]&amp;"[")-1)),res_Name,0),IFERROR(MATCH(TRIM(LEFT(Tasks[[#This Row],[_Res4Text]],FIND("[",Tasks[[#This Row],[_Res4Text]]&amp;"[")-1)),res_Initials,0),0)))</f>
        <v>0</v>
      </c>
      <c r="DS95" s="43" t="str">
        <f aca="false">IF(Tasks[[#This Row],[_Res1Text]]="","",IF(Tasks[[#This Row],[_Res1Row]]&gt;0,INDEX(res_Name,Tasks[[#This Row],[_Res1Row]]),TRIM(LEFT(Tasks[[#This Row],[_Res1Text]],FIND("[",Tasks[[#This Row],[_Res1Text]]&amp;"[")-1))))</f>
        <v/>
      </c>
      <c r="DT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3" t="n">
        <f aca="false">IF(NOT(Tasks[[#This Row],[_IsLeaf]]=1),0,(Tasks[[#This Row],[_Resource1]]&lt;&gt;"")+(Tasks[[#This Row],[_Res2]]&lt;&gt;"")+(Tasks[[#This Row],[_Res3]]&lt;&gt;"")+(Tasks[[#This Row],[_Res4]]&lt;&gt;""))</f>
        <v>0</v>
      </c>
      <c r="DV95" s="43" t="str">
        <f aca="false">IF(Tasks[[#This Row],[_Res2Text]]="","",IF(Tasks[[#This Row],[_Res2Row]]&gt;0,INDEX(res_Name,Tasks[[#This Row],[_Res2Row]]),TRIM(LEFT(Tasks[[#This Row],[_Res2Text]],FIND("[",Tasks[[#This Row],[_Res2Text]]&amp;"[")-1))))</f>
        <v/>
      </c>
      <c r="DW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3" t="n">
        <f aca="false">IF(OR(NOT(Tasks[[#This Row],[_IsLeaf]]=1),Tasks[[#This Row],[_Res2Row]]=0),0,N(Tasks[[#This Row],[_Days]])*HoursPerDay*IF(Tasks[[#This Row],[_Res2Units]]="",DefaultUnits,Tasks[[#This Row],[_Res2Units]]))</f>
        <v>0</v>
      </c>
      <c r="DY95" s="43" t="n">
        <f aca="false">IF(AND(AND(Tasks[[#This Row],[_IsLeaf]]=1,Tasks[[#This Row],[_LeafTotalWork]]&gt;0),Tasks[[#This Row],[_Res2Work]]&gt;0),Tasks[[#This Row],[_Res2Work]]/(Tasks[[#This Row],[_FinishWorkday]]-Tasks[[#This Row],[_StartWorkday]]+1),0)</f>
        <v>0</v>
      </c>
      <c r="DZ95" s="43" t="n">
        <f aca="false">Tasks[[#This Row],[_Res2WorkPerWD]]*MAX(0,Tasks[[#This Row],[_StartWorkday]]-1)</f>
        <v>0</v>
      </c>
      <c r="EA95" s="43" t="n">
        <f aca="false">Tasks[[#This Row],[_Res2Work]]*Tasks[[#This Row],[_LeafProgress]]</f>
        <v>0</v>
      </c>
      <c r="EB95" s="43" t="str">
        <f aca="false">IF(Tasks[[#This Row],[_Res3Text]]="","",IF(Tasks[[#This Row],[_Res3Row]]&gt;0,INDEX(res_Name,Tasks[[#This Row],[_Res3Row]]),TRIM(LEFT(Tasks[[#This Row],[_Res3Text]],FIND("[",Tasks[[#This Row],[_Res3Text]]&amp;"[")-1))))</f>
        <v/>
      </c>
      <c r="EC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3" t="n">
        <f aca="false">IF(OR(NOT(Tasks[[#This Row],[_IsLeaf]]=1),Tasks[[#This Row],[_Res3Row]]=0),0,N(Tasks[[#This Row],[_Days]])*HoursPerDay*IF(Tasks[[#This Row],[_Res3Units]]="",DefaultUnits,Tasks[[#This Row],[_Res3Units]]))</f>
        <v>0</v>
      </c>
      <c r="EE95" s="43" t="n">
        <f aca="false">IF(AND(AND(Tasks[[#This Row],[_IsLeaf]]=1,Tasks[[#This Row],[_LeafTotalWork]]&gt;0),Tasks[[#This Row],[_Res3Work]]&gt;0),Tasks[[#This Row],[_Res3Work]]/(Tasks[[#This Row],[_FinishWorkday]]-Tasks[[#This Row],[_StartWorkday]]+1),0)</f>
        <v>0</v>
      </c>
      <c r="EF95" s="43" t="n">
        <f aca="false">Tasks[[#This Row],[_Res3WorkPerWD]]*MAX(0,Tasks[[#This Row],[_StartWorkday]]-1)</f>
        <v>0</v>
      </c>
      <c r="EG95" s="43" t="n">
        <f aca="false">Tasks[[#This Row],[_Res3Work]]*Tasks[[#This Row],[_LeafProgress]]</f>
        <v>0</v>
      </c>
      <c r="EH95" s="43" t="str">
        <f aca="false">IF(Tasks[[#This Row],[_Res4Text]]="","",IF(Tasks[[#This Row],[_Res4Row]]&gt;0,INDEX(res_Name,Tasks[[#This Row],[_Res4Row]]),TRIM(LEFT(Tasks[[#This Row],[_Res4Text]],FIND("[",Tasks[[#This Row],[_Res4Text]]&amp;"[")-1))))</f>
        <v/>
      </c>
      <c r="EI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3" t="n">
        <f aca="false">IF(OR(NOT(Tasks[[#This Row],[_IsLeaf]]=1),Tasks[[#This Row],[_Res4Row]]=0),0,N(Tasks[[#This Row],[_Days]])*HoursPerDay*IF(Tasks[[#This Row],[_Res4Units]]="",DefaultUnits,Tasks[[#This Row],[_Res4Units]]))</f>
        <v>0</v>
      </c>
      <c r="EK95" s="43" t="n">
        <f aca="false">IF(AND(AND(Tasks[[#This Row],[_IsLeaf]]=1,Tasks[[#This Row],[_LeafTotalWork]]&gt;0),Tasks[[#This Row],[_Res4Work]]&gt;0),Tasks[[#This Row],[_Res4Work]]/(Tasks[[#This Row],[_FinishWorkday]]-Tasks[[#This Row],[_StartWorkday]]+1),0)</f>
        <v>0</v>
      </c>
      <c r="EL95" s="43" t="n">
        <f aca="false">Tasks[[#This Row],[_Res4WorkPerWD]]*MAX(0,Tasks[[#This Row],[_StartWorkday]]-1)</f>
        <v>0</v>
      </c>
      <c r="EM95" s="43" t="n">
        <f aca="false">Tasks[[#This Row],[_Res4Work]]*Tasks[[#This Row],[_LeafProgress]]</f>
        <v>0</v>
      </c>
      <c r="EN95" s="43" t="n">
        <f aca="false">IF(ISNUMBER(Tasks[[#This Row],[% Complete]]),Tasks[[#This Row],[% Complete]],IF(Tasks[[#This Row],[Stage]]="",0,IFERROR(INDEX(stg_Pct,MATCH(Tasks[[#This Row],[Stage]],stg_Name,0)),0)))</f>
        <v>0</v>
      </c>
      <c r="EO95" s="43" t="n">
        <f aca="false">IF(NOT(Tasks[[#This Row],[_IsLeaf]]=1),0,IF(N(Tasks[[#This Row],[Actual Finish]])&gt;0,1,MIN(1,Tasks[[#This Row],[_Pct]])))</f>
        <v>0</v>
      </c>
      <c r="EP95" s="43" t="n">
        <f aca="false">IF(OR(NOT(Tasks[[#This Row],[_IsLeaf]]=1),Tasks[[#This Row],[_Res1Row]]=0),0,N(Tasks[[#This Row],[_Days]])*HoursPerDay*IF(Tasks[[#This Row],[_Units1]]="",DefaultUnits,Tasks[[#This Row],[_Units1]]))</f>
        <v>0</v>
      </c>
      <c r="EQ95" s="43" t="n">
        <f aca="false">Tasks[[#This Row],[_LeafWork]]+Tasks[[#This Row],[_Res2Work]]+Tasks[[#This Row],[_Res3Work]]+Tasks[[#This Row],[_Res4Work]]</f>
        <v>0</v>
      </c>
      <c r="ER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3" t="n">
        <f aca="false">IF(NOT(Tasks[[#This Row],[_IsLeaf]]=1),0,MAX(_xlfn.MAXIFS(Tasks[_Row],Tasks[_Pred1UID],Tasks[[#This Row],[UID]]),_xlfn.MAXIFS(Tasks[_Row],Tasks[_Pred2UID],Tasks[[#This Row],[UID]]),_xlfn.MAXIFS(Tasks[_Row],Tasks[_Pred3UID],Tasks[[#This Row],[UID]]),_xlfn.MAXIFS(Tasks[_Row],Tasks[_Pred4UID],Tasks[[#This Row],[UID]])))</f>
        <v>0</v>
      </c>
      <c r="FA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91" t="str">
        <f aca="false">IF(NOT(Tasks[[#This Row],[_IsLeaf]]=1),"",IF(N(Tasks[[#This Row],[_Days]])&lt;=0,Tasks[[#This Row],[_LeafLateFinish]],WORKDAY.INTL(Tasks[[#This Row],[_LeafLateFinish]],-(Tasks[[#This Row],[_Days]]-1),WorkWeek,Holidays)))</f>
        <v/>
      </c>
      <c r="FD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5" s="90" t="b">
        <f aca="false">AND(Tasks[[#This Row],[_IsLeaf]]=1,Tasks[[#This Row],[_LeafProgress]]&lt;1,N(Tasks[[#This Row],[_LeafTotalSlack]])&lt;=CriticalSlackDays)</f>
        <v>0</v>
      </c>
      <c r="FF95" s="43" t="n">
        <f aca="false">IF(AND(Tasks[[#This Row],[_IsLeaf]]=1,Tasks[[#This Row],[_ConstraintCode]]=1,Tasks[[#This Row],[Mode]]&lt;&gt;"Manual",N(Tasks[[#This Row],[Actual Start]])=0),MAX(0,N(Tasks[[#This Row],[Free Slack]])),0)</f>
        <v>0</v>
      </c>
      <c r="FG95" s="91" t="str">
        <f aca="false">IF(NOT(Tasks[[#This Row],[_IsLeaf]]=1),"",IF(Tasks[[#This Row],[_AlapShift]]=0,Tasks[[#This Row],[_LeafCalcStart]],WORKDAY.INTL(Tasks[[#This Row],[_LeafCalcStart]],Tasks[[#This Row],[_AlapShift]],WorkWeek,Holidays)))</f>
        <v/>
      </c>
      <c r="FH95" s="91" t="str">
        <f aca="false">IF(NOT(Tasks[[#This Row],[_IsLeaf]]=1),"",IF(Tasks[[#This Row],[_AlapShift]]=0,Tasks[[#This Row],[_LeafCalcFinish]],WORKDAY.INTL(Tasks[[#This Row],[_LeafCalcFinish]],Tasks[[#This Row],[_AlapShift]],WorkWeek,Holidays)))</f>
        <v/>
      </c>
      <c r="FI95" s="91" t="str">
        <f aca="false">IF(NOT(Tasks[[#This Row],[_IsLeaf]]=1),"",IF(Tasks[[#This Row],[_AlapShift]]=0,Tasks[[#This Row],[_LeafFcstStart]],WORKDAY.INTL(Tasks[[#This Row],[_LeafFcstStart]],Tasks[[#This Row],[_AlapShift]],WorkWeek,Holidays)))</f>
        <v/>
      </c>
      <c r="FJ95" s="91" t="str">
        <f aca="false">IF(NOT(Tasks[[#This Row],[_IsLeaf]]=1),"",IF(Tasks[[#This Row],[_AlapShift]]=0,Tasks[[#This Row],[_LeafFcstFinish]],WORKDAY.INTL(Tasks[[#This Row],[_LeafFcstFinish]],Tasks[[#This Row],[_AlapShift]],WorkWeek,Holidays)))</f>
        <v/>
      </c>
      <c r="FK95" s="91" t="str">
        <f aca="false">IF(Tasks[[#This Row],[Task Name]]="","",IF(Tasks[[#This Row],[_IsSummary]],MIN(INDEX(Tasks[_ShownCalcStart],Tasks[[#This Row],[_Row]]+1):INDEX(Tasks[_ShownCalcStart],Tasks[[#This Row],[_Row]]+Tasks[[#This Row],[_Descendants]])),Tasks[[#This Row],[_ShownCalcStart]]))</f>
        <v/>
      </c>
      <c r="FL95" s="91" t="str">
        <f aca="false">IF(Tasks[[#This Row],[Task Name]]="","",IF(Tasks[[#This Row],[_IsSummary]],MAX(INDEX(Tasks[_ShownCalcFinish],Tasks[[#This Row],[_Row]]+1):INDEX(Tasks[_ShownCalcFinish],Tasks[[#This Row],[_Row]]+Tasks[[#This Row],[_Descendants]])),Tasks[[#This Row],[_ShownCalcFinish]]))</f>
        <v/>
      </c>
      <c r="FM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5" s="43" t="n">
        <f aca="false">IF(AND(Tasks[[#This Row],[_IsLeaf]]=1,Tasks[[#This Row],[_LeafTotalWork]]&gt;0),NETWORKDAYS.INTL(ProjectStart,Tasks[[#This Row],[_ShownFcstStart]],WorkWeek,Holidays),0)</f>
        <v>0</v>
      </c>
      <c r="FZ95" s="43" t="n">
        <f aca="false">IF(AND(Tasks[[#This Row],[_IsLeaf]]=1,Tasks[[#This Row],[_LeafTotalWork]]&gt;0),MAX(Tasks[[#This Row],[_StartWorkday]],NETWORKDAYS.INTL(ProjectStart,Tasks[[#This Row],[_ShownFcstFinish]],WorkWeek,Holidays)),0)</f>
        <v>0</v>
      </c>
      <c r="GA95" s="43" t="n">
        <f aca="false">IF(AND(Tasks[[#This Row],[_IsLeaf]]=1,Tasks[[#This Row],[_LeafTotalWork]]&gt;0),Tasks[[#This Row],[_LeafWork]]/(Tasks[[#This Row],[_FinishWorkday]]-Tasks[[#This Row],[_StartWorkday]]+1),0)</f>
        <v>0</v>
      </c>
      <c r="GB95" s="43" t="n">
        <f aca="false">Tasks[[#This Row],[_WorkPerWorkday]]*(Tasks[[#This Row],[_StartWorkday]]-1)</f>
        <v>-0</v>
      </c>
      <c r="GC95" s="43" t="n">
        <f aca="false">IF(Tasks[[#This Row],[_IsLeaf]]=1,MAX(N(Tasks[[#This Row],[_Days]]),0.1),0)</f>
        <v>0</v>
      </c>
      <c r="GD95" s="43" t="n">
        <f aca="false">Tasks[[#This Row],[_WeightDur]]*Tasks[[#This Row],[_LeafProgress]]</f>
        <v>0</v>
      </c>
      <c r="GE95" s="43" t="n">
        <f aca="false">Tasks[[#This Row],[_WeightDur]]*Tasks[[#This Row],[_PlannedPct]]</f>
        <v>0</v>
      </c>
      <c r="GF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3" t="str">
        <f aca="false">IF(AND(Tasks[[#This Row],[_IsLeaf]]=1,N(Tasks[[#This Row],[_Days]])=0,Tasks[[#This Row],[_LeafProgress]]&lt;1),Tasks[[#This Row],[_ShownFcstFinish]]+Tasks[[#This Row],[_Row]]/100000,"")</f>
        <v/>
      </c>
      <c r="GH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5" s="43" t="str">
        <f aca="false">IF(Tasks[[#This Row],[Task Name]]="","",LEFT(Tasks[[#This Row],[WBS]],FIND(".",Tasks[[#This Row],[WBS]]&amp;".")-1))</f>
        <v/>
      </c>
      <c r="GJ95" s="43" t="str">
        <f aca="false">IF(AND(Tasks[[#This Row],[Task Name]]&lt;&gt;"",Tasks[[#This Row],[_Level]]=1),Tasks[[#This Row],[_Row]],"")</f>
        <v/>
      </c>
      <c r="GK95" s="43" t="str">
        <f aca="false">IF(AND(Tasks[[#This Row],[_IsLeaf]]=1,N(Tasks[[#This Row],[_Days]])=0),Tasks[[#This Row],[Planned Finish]]+Tasks[[#This Row],[_Row]]/100000,"")</f>
        <v/>
      </c>
      <c r="GL95" s="43" t="str">
        <f aca="false">IF(AND(Tasks[[#This Row],[_IsLeaf]]=1,Tasks[[#This Row],[_LeafProgress]]&lt;1,OR(N(Tasks[[#This Row],[Finish Var]])&gt;0,Tasks[[#This Row],[Status]]="Late Start")),MAX(0,Tasks[[#This Row],[Finish Var]])+1-Tasks[[#This Row],[_Row]]/1000000,"")</f>
        <v/>
      </c>
      <c r="GM95" s="43" t="str">
        <f aca="false">IF(AND(Tasks[[#This Row],[_IsLeaf]]=1,N(Tasks[[#This Row],[Actual Start]])=0,Tasks[[#This Row],[_ShownFcstStart]]&gt;=StatusDate,Tasks[[#This Row],[_ShownFcstStart]]&lt;=LookaheadEnd),Tasks[[#This Row],[_ShownFcstStart]]+Tasks[[#This Row],[_Row]]/100000,"")</f>
        <v/>
      </c>
      <c r="GN95" s="43" t="str">
        <f aca="false">IF(AND(Tasks[[#This Row],[_IsLeaf]]=1,Tasks[[#This Row],[_LeafProgress]]&lt;1,Tasks[[#This Row],[_ShownFcstFinish]]&gt;=StatusDate,Tasks[[#This Row],[_ShownFcstFinish]]&lt;=LookaheadEnd),Tasks[[#This Row],[_ShownFcstFinish]]+Tasks[[#This Row],[_Row]]/100000,"")</f>
        <v/>
      </c>
      <c r="GO95" s="43" t="str">
        <f aca="false">IF(Tasks[[#This Row],[_LeafCritical]],Tasks[[#This Row],[_ShownFcstStart]]+Tasks[[#This Row],[_Row]]/100000,"")</f>
        <v/>
      </c>
      <c r="GP95" s="43" t="n">
        <f aca="false">Tasks[[#This Row],[_LeafWork]]*Tasks[[#This Row],[_LeafProgress]]</f>
        <v>0</v>
      </c>
      <c r="GQ95" s="91" t="str">
        <f aca="false">IF(AND(Tasks[[#This Row],[_IsLeaf]]=1,Tasks[[#This Row],[_LeafProgress]]&gt;=1),IF(N(Tasks[[#This Row],[Actual Finish]])&gt;0,Tasks[[#This Row],[Actual Finish]],Tasks[[#This Row],[_ShownFcstFinish]]),"")</f>
        <v/>
      </c>
      <c r="GR95" s="43" t="n">
        <f aca="false">IF(Tasks[[#This Row],[_IsLeaf]]=1,N(Tasks[[#This Row],[Story Points]]),0)</f>
        <v>0</v>
      </c>
      <c r="GS95" s="43" t="str">
        <f aca="false">""</f>
        <v/>
      </c>
      <c r="GT95" s="90" t="b">
        <f aca="false">IF(Tasks[[#This Row],[Task Name]]="",FALSE(),AND(Tasks[[#This Row],[_IsLeaf]]=1,N(Tasks[[#This Row],[_Days]])=0))</f>
        <v>0</v>
      </c>
      <c r="GU95" s="91" t="n">
        <f aca="false">IF(Tasks[[#This Row],[Task Name]]="",0,IF(AND(Tasks[[#This Row],[_IsLeaf]]=1,NOT(Tasks[[#This Row],[_IsMilestone]]),N(Tasks[[#This Row],[Progress]])&gt;0),Tasks[[#This Row],[Start]],0))</f>
        <v>0</v>
      </c>
      <c r="GV95" s="91" t="n">
        <f aca="false">IF(Tasks[[#This Row],[_DoneFrom]]=0,0,IF(Tasks[[#This Row],[Progress]]&gt;=1,Tasks[[#This Row],[Finish]],MAX(Tasks[[#This Row],[_DoneFrom]],Tasks[[#This Row],[Start]]+ROUND((Tasks[[#This Row],[Finish]]-Tasks[[#This Row],[Start]]+1)*Tasks[[#This Row],[Progress]],0)-1)))</f>
        <v>0</v>
      </c>
      <c r="GW95" s="91" t="n">
        <f aca="false">IF(Tasks[[#This Row],[Task Name]]="",0,IF(OR(NOT(Tasks[[#This Row],[_IsLeaf]]=1),Tasks[[#This Row],[_IsMilestone]],N(Tasks[[#This Row],[Progress]])&gt;=1),0,IF(Tasks[[#This Row],[_DoneTo]]&gt;0,Tasks[[#This Row],[_DoneTo]]+1,Tasks[[#This Row],[Start]])))</f>
        <v>0</v>
      </c>
      <c r="GX95" s="91" t="n">
        <f aca="false">IF(Tasks[[#This Row],[_RemFrom]]=0,0,Tasks[[#This Row],[Finish]])</f>
        <v>0</v>
      </c>
      <c r="GY95" s="90" t="b">
        <f aca="false">IF(Tasks[[#This Row],[Task Name]]="",FALSE(),OR(NOT(BaselineSet),N(Tasks[[#This Row],[Baseline Start]])&gt;0))</f>
        <v>0</v>
      </c>
      <c r="GZ9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92" t="str">
        <f aca="false">IF(Tasks[[#This Row],[_IsLeaf]]=1,Tasks[[#This Row],[_Row]],"")</f>
        <v/>
      </c>
      <c r="HD95" s="92" t="str">
        <f aca="false">IFERROR(INDEX(Tasks[UID],SMALL(Tasks[_PickKey],Tasks[[#This Row],[_Row]]))&amp;" "&amp;INDEX(Tasks[Task Name],SMALL(Tasks[_PickKey],Tasks[[#This Row],[_Row]])),"")</f>
        <v/>
      </c>
      <c r="HE95" s="43" t="str">
        <f aca="false">IF(Tasks[[#This Row],[Task Name]]="","",IF(Tasks[[#This Row],[_IsSummary]],NETWORKDAYS.INTL(Tasks[[#This Row],[Start]],Tasks[[#This Row],[Finish]],WorkWeek,Holidays),N(Tasks[[#This Row],[_Days]])))</f>
        <v/>
      </c>
      <c r="HF95" s="43" t="n">
        <f aca="false">IF(Tasks[[#This Row],[Expected]]="",0,((Tasks[[#This Row],[Pessimistic]]-Tasks[[#This Row],[Optimistic]])/6)^2)</f>
        <v>0</v>
      </c>
      <c r="HG95" s="43" t="n">
        <f aca="false">IF(Tasks[[#This Row],[Expected]]="",0,Tasks[[#This Row],[Expected]]-N(Tasks[[#This Row],[_Days]]))</f>
        <v>0</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4"/>
      <c r="U96" s="23"/>
      <c r="V96" s="84"/>
      <c r="W96" s="23"/>
      <c r="X96" s="84"/>
      <c r="Y96" s="23"/>
      <c r="Z96" s="84"/>
      <c r="AA96" s="23"/>
      <c r="AB96" s="23"/>
      <c r="AC96" s="7"/>
      <c r="AD96" s="7"/>
      <c r="AE96" s="63" t="str">
        <f aca="false">IF(Tasks[[#This Row],[Task Name]]="","",IF(Tasks[[#This Row],[_IsSummary]],MIN(INDEX(Tasks[_ShownFcstStart],Tasks[[#This Row],[_Row]]+1):INDEX(Tasks[_ShownFcstStart],Tasks[[#This Row],[_Row]]+Tasks[[#This Row],[_Descendants]])),Tasks[[#This Row],[_ShownFcstStart]]))</f>
        <v/>
      </c>
      <c r="AF96" s="63"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6" s="7"/>
      <c r="AK96" s="22"/>
      <c r="AL96" s="23"/>
      <c r="AM96" s="7"/>
      <c r="AN96" s="47"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3" t="str">
        <f aca="false">IF(Tasks[[#This Row],[Task Name]]="","",IF(N(Tasks[[#This Row],[Baseline Start]])&gt;0,Tasks[[#This Row],[Baseline Start]],Tasks[[#This Row],[_CalcStart]]))</f>
        <v/>
      </c>
      <c r="AR96" s="63" t="str">
        <f aca="false">IF(Tasks[[#This Row],[Task Name]]="","",IF(N(Tasks[[#This Row],[Baseline Finish]])&gt;0,Tasks[[#This Row],[Baseline Finish]],Tasks[[#This Row],[_CalcFinish]]))</f>
        <v/>
      </c>
      <c r="AS96" s="47" t="str">
        <f aca="false">IF(Tasks[[#This Row],[Task Name]]="","",IF(Tasks[[#This Row],[Start]]&gt;=Tasks[[#This Row],[Planned Start]],NETWORKDAYS.INTL(Tasks[[#This Row],[Planned Start]],Tasks[[#This Row],[Start]],WorkWeek,Holidays)-1,1-NETWORKDAYS.INTL(Tasks[[#This Row],[Start]],Tasks[[#This Row],[Planned Start]],WorkWeek,Holidays)))</f>
        <v/>
      </c>
      <c r="AT96" s="63" t="str">
        <f aca="false">IF(Tasks[[#This Row],[Task Name]]="","",IF(Tasks[[#This Row],[_IsSummary]],MIN(INDEX(Tasks[_LeafLateStart],Tasks[[#This Row],[_Row]]+1):INDEX(Tasks[_LeafLateStart],Tasks[[#This Row],[_Row]]+Tasks[[#This Row],[_Descendants]])),Tasks[[#This Row],[_LeafLateStart]]))</f>
        <v/>
      </c>
      <c r="AU96" s="63" t="str">
        <f aca="false">IF(Tasks[[#This Row],[Task Name]]="","",IF(Tasks[[#This Row],[_IsSummary]],MAX(INDEX(Tasks[_LeafLateFinish],Tasks[[#This Row],[_Row]]+1):INDEX(Tasks[_LeafLateFinish],Tasks[[#This Row],[_Row]]+Tasks[[#This Row],[_Descendants]])),Tasks[[#This Row],[_LeafLateFinish]]))</f>
        <v/>
      </c>
      <c r="AV96" s="47"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5"/>
      <c r="BA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6"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7"/>
      <c r="BJ96" s="22"/>
      <c r="BK96" s="47" t="str">
        <f aca="false">IF(OR(Tasks[[#This Row],[Task Name]]="",Tasks[[#This Row],[Baseline Duration]]=""),"",Tasks[[#This Row],[_SpanDays]]-N(Tasks[[#This Row],[Baseline Duration]]))</f>
        <v/>
      </c>
      <c r="BL96" s="86" t="str">
        <f aca="false">IF(OR(Tasks[[#This Row],[Task Name]]="",Tasks[[#This Row],[Baseline Work]]=""),"",Tasks[[#This Row],[Work]]-N(Tasks[[#This Row],[Baseline Work]]))</f>
        <v/>
      </c>
      <c r="BM96" s="63" t="str">
        <f aca="false">IF(Tasks[[#This Row],[Task Name]]="","",IF(OR(TakeBaseline="Yes",N(Tasks[[#This Row],[Baseline Start]])=0),Tasks[[#This Row],[Start]],Tasks[[#This Row],[Baseline Start]]))</f>
        <v/>
      </c>
      <c r="BN96" s="63" t="str">
        <f aca="false">IF(Tasks[[#This Row],[Task Name]]="","",IF(OR(TakeBaseline="Yes",N(Tasks[[#This Row],[Baseline Finish]])=0),Tasks[[#This Row],[Finish]],Tasks[[#This Row],[Baseline Finish]]))</f>
        <v/>
      </c>
      <c r="BO96" s="21" t="str">
        <f aca="false">IF(Tasks[[#This Row],[Task Name]]="","",IF(OR(TakeBaseline="Yes",N(Tasks[[#This Row],[Baseline Duration]])=0),Tasks[[#This Row],[_SpanDays]],Tasks[[#This Row],[Baseline Duration]]))</f>
        <v/>
      </c>
      <c r="BP96" s="86" t="str">
        <f aca="false">IF(Tasks[[#This Row],[Task Name]]="","",IF(OR(TakeBaseline="Yes",N(Tasks[[#This Row],[Baseline Work]])=0),Tasks[[#This Row],[Work]],Tasks[[#This Row],[Baseline Work]]))</f>
        <v/>
      </c>
      <c r="BQ96" s="7"/>
      <c r="BR96" s="7"/>
      <c r="BS96" s="22"/>
      <c r="BT96" s="88"/>
      <c r="BU96" s="23"/>
      <c r="BV96" s="23"/>
      <c r="BW96" s="23"/>
      <c r="BX96" s="89" t="str">
        <f aca="false">IF(AND(Tasks[[#This Row],[_IsLeaf]]=1,ISNUMBER(Tasks[[#This Row],[Optimistic]]),ISNUMBER(Tasks[[#This Row],[Pessimistic]])),ROUND((Tasks[[#This Row],[Optimistic]]+4*N(Tasks[[#This Row],[_Days]])+Tasks[[#This Row],[Pessimistic]])/6,1),"")</f>
        <v/>
      </c>
      <c r="BY96" s="87"/>
      <c r="BZ96" s="87"/>
      <c r="CA96" s="22"/>
      <c r="CB96" s="43" t="str">
        <f aca="false">IF(Tasks[[#This Row],[Task Name]]="","",MAX(1,N(Tasks[[#This Row],[Level]])))</f>
        <v/>
      </c>
      <c r="CC96" s="43" t="n">
        <f aca="false">ROW()-ROW(Tasks[[#Headers],[ID]])</f>
        <v>91</v>
      </c>
      <c r="CD96" s="43" t="n">
        <f aca="false">IF(OR(Tasks[[#This Row],[Task Name]]="",Tasks[[#This Row],[_Level]]&lt;=1),0,IFERROR(LOOKUP(2,1/(Tasks[[#Headers],[_Level]]:Tasks[[#This Row],[_Level]]=Tasks[[#This Row],[_Level]]-1),ROW(Tasks[[#Headers],[_Level]]:Tasks[[#This Row],[_Level]])),0))</f>
        <v>0</v>
      </c>
      <c r="CE96" s="43" t="n">
        <f aca="false">IFERROR(N(INDEX(Tasks[_Level],Tasks[[#This Row],[_Row]]+1)),0)</f>
        <v>0</v>
      </c>
      <c r="CF96" s="90" t="b">
        <f aca="false">AND(Tasks[[#This Row],[Task Name]]&lt;&gt;"",Tasks[[#This Row],[_NextLevel]]&gt;Tasks[[#This Row],[_Level]])</f>
        <v>0</v>
      </c>
      <c r="CG96" s="43" t="n">
        <f aca="false">IF(Tasks[[#This Row],[_IsSummary]],COUNTIF(Tasks[WBS],Tasks[[#This Row],[WBS]]&amp;".*"),0)</f>
        <v>0</v>
      </c>
      <c r="CH96" s="43" t="n">
        <f aca="false">IF(AND(Tasks[[#This Row],[Task Name]]&lt;&gt;"",NOT(Tasks[[#This Row],[_IsSummary]])),1,0)</f>
        <v>0</v>
      </c>
      <c r="CI96" s="43" t="n">
        <f aca="false">IF(N(Tasks[[#This Row],[_Pred1UID]])=0,0,IFERROR(MATCH(Tasks[[#This Row],[_Pred1UID]],Tasks[UID],0),-1))</f>
        <v>0</v>
      </c>
      <c r="CJ96" s="43" t="n">
        <f aca="false">IF(N(Tasks[[#This Row],[_Pred2UID]])=0,0,IFERROR(MATCH(Tasks[[#This Row],[_Pred2UID]],Tasks[UID],0),-1))</f>
        <v>0</v>
      </c>
      <c r="CK96" s="43" t="n">
        <f aca="false">IF(N(Tasks[[#This Row],[_Pred3UID]])=0,0,IFERROR(MATCH(Tasks[[#This Row],[_Pred3UID]],Tasks[UID],0),-1))</f>
        <v>0</v>
      </c>
      <c r="CL96" s="43" t="n">
        <f aca="false">IF(N(Tasks[[#This Row],[_Pred4UID]])=0,0,IFERROR(MATCH(Tasks[[#This Row],[_Pred4UID]],Tasks[UID],0),-1))</f>
        <v>0</v>
      </c>
      <c r="CM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6" s="91" t="n">
        <f aca="false">IF(OR(Tasks[[#This Row],[_ConstraintCode]]=2,Tasks[[#This Row],[_ConstraintCode]]=3,Tasks[[#This Row],[_ConstraintCode]]=4,Tasks[[#This Row],[_ConstraintCode]]=6),Tasks[[#This Row],[_ConstraintStart]],0)</f>
        <v>0</v>
      </c>
      <c r="CP96" s="91" t="n">
        <f aca="false">IF(OR(Tasks[[#This Row],[_ConstraintCode]]=2,Tasks[[#This Row],[_ConstraintCode]]=3,Tasks[[#This Row],[_ConstraintCode]]=5,Tasks[[#This Row],[_ConstraintCode]]=7),Tasks[[#This Row],[_ConstraintStart]],2958465)</f>
        <v>2958465</v>
      </c>
      <c r="CQ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91" t="str">
        <f aca="false">IF(NOT(Tasks[[#This Row],[_IsLeaf]]=1),"",IF(N(Tasks[[#This Row],[_Days]])&lt;=0,Tasks[[#This Row],[_LeafCalcStart]],WORKDAY.INTL(Tasks[[#This Row],[_LeafCalcStart]],Tasks[[#This Row],[_Days]]-1,WorkWeek,Holidays)))</f>
        <v/>
      </c>
      <c r="CS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3" t="str">
        <f aca="false">IF(Tasks[[#This Row],[_Predecessors]]="","",TRIM(MID(SUBSTITUTE(SUBSTITUTE(SUBSTITUTE(UPPER(Tasks[[#This Row],[_Predecessors]]),";",",")," ",""),",",REPT(" ",99)),1,99)))</f>
        <v/>
      </c>
      <c r="CV96" s="43" t="str">
        <f aca="false">IF(Tasks[[#This Row],[_Pred1Text]]="","",IFERROR(VALUE(LEFT(Tasks[[#This Row],[_Pred1Text]],MIN(FIND("F",Tasks[[#This Row],[_Pred1Text]]&amp;"F"),FIND("S",Tasks[[#This Row],[_Pred1Text]]&amp;"S"),FIND("+",Tasks[[#This Row],[_Pred1Text]]&amp;"+"),FIND("-",Tasks[[#This Row],[_Pred1Text]]&amp;"-"))-1)),""))</f>
        <v/>
      </c>
      <c r="CW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3" t="str">
        <f aca="false">IF(Tasks[[#This Row],[_Pred1Text]]="","",TRIM(MID(SUBSTITUTE(SUBSTITUTE(SUBSTITUTE(UPPER(Tasks[[#This Row],[_Predecessors]]),";",",")," ",""),",",REPT(" ",99)),100,99)))</f>
        <v/>
      </c>
      <c r="CZ96" s="43" t="str">
        <f aca="false">IF(Tasks[[#This Row],[_Pred2Text]]="","",IFERROR(VALUE(LEFT(Tasks[[#This Row],[_Pred2Text]],MIN(FIND("F",Tasks[[#This Row],[_Pred2Text]]&amp;"F"),FIND("S",Tasks[[#This Row],[_Pred2Text]]&amp;"S"),FIND("+",Tasks[[#This Row],[_Pred2Text]]&amp;"+"),FIND("-",Tasks[[#This Row],[_Pred2Text]]&amp;"-"))-1)),""))</f>
        <v/>
      </c>
      <c r="DA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3" t="str">
        <f aca="false">IF(Tasks[[#This Row],[_Pred2Text]]="","",TRIM(MID(SUBSTITUTE(SUBSTITUTE(SUBSTITUTE(UPPER(Tasks[[#This Row],[_Predecessors]]),";",",")," ",""),",",REPT(" ",99)),199,99)))</f>
        <v/>
      </c>
      <c r="DD96" s="43" t="str">
        <f aca="false">IF(Tasks[[#This Row],[_Pred3Text]]="","",IFERROR(VALUE(LEFT(Tasks[[#This Row],[_Pred3Text]],MIN(FIND("F",Tasks[[#This Row],[_Pred3Text]]&amp;"F"),FIND("S",Tasks[[#This Row],[_Pred3Text]]&amp;"S"),FIND("+",Tasks[[#This Row],[_Pred3Text]]&amp;"+"),FIND("-",Tasks[[#This Row],[_Pred3Text]]&amp;"-"))-1)),""))</f>
        <v/>
      </c>
      <c r="DE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3" t="str">
        <f aca="false">IF(Tasks[[#This Row],[_Pred3Text]]="","",TRIM(MID(SUBSTITUTE(SUBSTITUTE(SUBSTITUTE(UPPER(Tasks[[#This Row],[_Predecessors]]),";",",")," ",""),",",REPT(" ",99)),298,99)))</f>
        <v/>
      </c>
      <c r="DH96" s="43" t="str">
        <f aca="false">IF(Tasks[[#This Row],[_Pred4Text]]="","",IFERROR(VALUE(LEFT(Tasks[[#This Row],[_Pred4Text]],MIN(FIND("F",Tasks[[#This Row],[_Pred4Text]]&amp;"F"),FIND("S",Tasks[[#This Row],[_Pred4Text]]&amp;"S"),FIND("+",Tasks[[#This Row],[_Pred4Text]]&amp;"+"),FIND("-",Tasks[[#This Row],[_Pred4Text]]&amp;"-"))-1)),""))</f>
        <v/>
      </c>
      <c r="DI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3" t="str">
        <f aca="false">IF(OR(Tasks[[#This Row],[Task Name]]="",Tasks[[#This Row],[_Resources]]=""),"",TRIM(MID(SUBSTITUTE(Tasks[[#This Row],[_Resources]],",",REPT(" ",99)),1,99)))</f>
        <v/>
      </c>
      <c r="DL96" s="43" t="str">
        <f aca="false">IF(Tasks[[#This Row],[_Res1Text]]="","",TRIM(MID(SUBSTITUTE(Tasks[[#This Row],[_Resources]],",",REPT(" ",99)),100,99)))</f>
        <v/>
      </c>
      <c r="DM96" s="43" t="str">
        <f aca="false">IF(Tasks[[#This Row],[_Res2Text]]="","",TRIM(MID(SUBSTITUTE(Tasks[[#This Row],[_Resources]],",",REPT(" ",99)),199,99)))</f>
        <v/>
      </c>
      <c r="DN96" s="43" t="str">
        <f aca="false">IF(Tasks[[#This Row],[_Res3Text]]="","",TRIM(MID(SUBSTITUTE(Tasks[[#This Row],[_Resources]],",",REPT(" ",99)),298,99)))</f>
        <v/>
      </c>
      <c r="DO96" s="43" t="n">
        <f aca="false">IF(Tasks[[#This Row],[_Res1Text]]="",0,IFERROR(MATCH(TRIM(LEFT(Tasks[[#This Row],[_Res1Text]],FIND("[",Tasks[[#This Row],[_Res1Text]]&amp;"[")-1)),res_Name,0),IFERROR(MATCH(TRIM(LEFT(Tasks[[#This Row],[_Res1Text]],FIND("[",Tasks[[#This Row],[_Res1Text]]&amp;"[")-1)),res_Initials,0),0)))</f>
        <v>0</v>
      </c>
      <c r="DP96" s="43" t="n">
        <f aca="false">IF(Tasks[[#This Row],[_Res2Text]]="",0,IFERROR(MATCH(TRIM(LEFT(Tasks[[#This Row],[_Res2Text]],FIND("[",Tasks[[#This Row],[_Res2Text]]&amp;"[")-1)),res_Name,0),IFERROR(MATCH(TRIM(LEFT(Tasks[[#This Row],[_Res2Text]],FIND("[",Tasks[[#This Row],[_Res2Text]]&amp;"[")-1)),res_Initials,0),0)))</f>
        <v>0</v>
      </c>
      <c r="DQ96" s="43" t="n">
        <f aca="false">IF(Tasks[[#This Row],[_Res3Text]]="",0,IFERROR(MATCH(TRIM(LEFT(Tasks[[#This Row],[_Res3Text]],FIND("[",Tasks[[#This Row],[_Res3Text]]&amp;"[")-1)),res_Name,0),IFERROR(MATCH(TRIM(LEFT(Tasks[[#This Row],[_Res3Text]],FIND("[",Tasks[[#This Row],[_Res3Text]]&amp;"[")-1)),res_Initials,0),0)))</f>
        <v>0</v>
      </c>
      <c r="DR96" s="43" t="n">
        <f aca="false">IF(Tasks[[#This Row],[_Res4Text]]="",0,IFERROR(MATCH(TRIM(LEFT(Tasks[[#This Row],[_Res4Text]],FIND("[",Tasks[[#This Row],[_Res4Text]]&amp;"[")-1)),res_Name,0),IFERROR(MATCH(TRIM(LEFT(Tasks[[#This Row],[_Res4Text]],FIND("[",Tasks[[#This Row],[_Res4Text]]&amp;"[")-1)),res_Initials,0),0)))</f>
        <v>0</v>
      </c>
      <c r="DS96" s="43" t="str">
        <f aca="false">IF(Tasks[[#This Row],[_Res1Text]]="","",IF(Tasks[[#This Row],[_Res1Row]]&gt;0,INDEX(res_Name,Tasks[[#This Row],[_Res1Row]]),TRIM(LEFT(Tasks[[#This Row],[_Res1Text]],FIND("[",Tasks[[#This Row],[_Res1Text]]&amp;"[")-1))))</f>
        <v/>
      </c>
      <c r="DT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3" t="n">
        <f aca="false">IF(NOT(Tasks[[#This Row],[_IsLeaf]]=1),0,(Tasks[[#This Row],[_Resource1]]&lt;&gt;"")+(Tasks[[#This Row],[_Res2]]&lt;&gt;"")+(Tasks[[#This Row],[_Res3]]&lt;&gt;"")+(Tasks[[#This Row],[_Res4]]&lt;&gt;""))</f>
        <v>0</v>
      </c>
      <c r="DV96" s="43" t="str">
        <f aca="false">IF(Tasks[[#This Row],[_Res2Text]]="","",IF(Tasks[[#This Row],[_Res2Row]]&gt;0,INDEX(res_Name,Tasks[[#This Row],[_Res2Row]]),TRIM(LEFT(Tasks[[#This Row],[_Res2Text]],FIND("[",Tasks[[#This Row],[_Res2Text]]&amp;"[")-1))))</f>
        <v/>
      </c>
      <c r="DW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3" t="n">
        <f aca="false">IF(OR(NOT(Tasks[[#This Row],[_IsLeaf]]=1),Tasks[[#This Row],[_Res2Row]]=0),0,N(Tasks[[#This Row],[_Days]])*HoursPerDay*IF(Tasks[[#This Row],[_Res2Units]]="",DefaultUnits,Tasks[[#This Row],[_Res2Units]]))</f>
        <v>0</v>
      </c>
      <c r="DY96" s="43" t="n">
        <f aca="false">IF(AND(AND(Tasks[[#This Row],[_IsLeaf]]=1,Tasks[[#This Row],[_LeafTotalWork]]&gt;0),Tasks[[#This Row],[_Res2Work]]&gt;0),Tasks[[#This Row],[_Res2Work]]/(Tasks[[#This Row],[_FinishWorkday]]-Tasks[[#This Row],[_StartWorkday]]+1),0)</f>
        <v>0</v>
      </c>
      <c r="DZ96" s="43" t="n">
        <f aca="false">Tasks[[#This Row],[_Res2WorkPerWD]]*MAX(0,Tasks[[#This Row],[_StartWorkday]]-1)</f>
        <v>0</v>
      </c>
      <c r="EA96" s="43" t="n">
        <f aca="false">Tasks[[#This Row],[_Res2Work]]*Tasks[[#This Row],[_LeafProgress]]</f>
        <v>0</v>
      </c>
      <c r="EB96" s="43" t="str">
        <f aca="false">IF(Tasks[[#This Row],[_Res3Text]]="","",IF(Tasks[[#This Row],[_Res3Row]]&gt;0,INDEX(res_Name,Tasks[[#This Row],[_Res3Row]]),TRIM(LEFT(Tasks[[#This Row],[_Res3Text]],FIND("[",Tasks[[#This Row],[_Res3Text]]&amp;"[")-1))))</f>
        <v/>
      </c>
      <c r="EC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3" t="n">
        <f aca="false">IF(OR(NOT(Tasks[[#This Row],[_IsLeaf]]=1),Tasks[[#This Row],[_Res3Row]]=0),0,N(Tasks[[#This Row],[_Days]])*HoursPerDay*IF(Tasks[[#This Row],[_Res3Units]]="",DefaultUnits,Tasks[[#This Row],[_Res3Units]]))</f>
        <v>0</v>
      </c>
      <c r="EE96" s="43" t="n">
        <f aca="false">IF(AND(AND(Tasks[[#This Row],[_IsLeaf]]=1,Tasks[[#This Row],[_LeafTotalWork]]&gt;0),Tasks[[#This Row],[_Res3Work]]&gt;0),Tasks[[#This Row],[_Res3Work]]/(Tasks[[#This Row],[_FinishWorkday]]-Tasks[[#This Row],[_StartWorkday]]+1),0)</f>
        <v>0</v>
      </c>
      <c r="EF96" s="43" t="n">
        <f aca="false">Tasks[[#This Row],[_Res3WorkPerWD]]*MAX(0,Tasks[[#This Row],[_StartWorkday]]-1)</f>
        <v>0</v>
      </c>
      <c r="EG96" s="43" t="n">
        <f aca="false">Tasks[[#This Row],[_Res3Work]]*Tasks[[#This Row],[_LeafProgress]]</f>
        <v>0</v>
      </c>
      <c r="EH96" s="43" t="str">
        <f aca="false">IF(Tasks[[#This Row],[_Res4Text]]="","",IF(Tasks[[#This Row],[_Res4Row]]&gt;0,INDEX(res_Name,Tasks[[#This Row],[_Res4Row]]),TRIM(LEFT(Tasks[[#This Row],[_Res4Text]],FIND("[",Tasks[[#This Row],[_Res4Text]]&amp;"[")-1))))</f>
        <v/>
      </c>
      <c r="EI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3" t="n">
        <f aca="false">IF(OR(NOT(Tasks[[#This Row],[_IsLeaf]]=1),Tasks[[#This Row],[_Res4Row]]=0),0,N(Tasks[[#This Row],[_Days]])*HoursPerDay*IF(Tasks[[#This Row],[_Res4Units]]="",DefaultUnits,Tasks[[#This Row],[_Res4Units]]))</f>
        <v>0</v>
      </c>
      <c r="EK96" s="43" t="n">
        <f aca="false">IF(AND(AND(Tasks[[#This Row],[_IsLeaf]]=1,Tasks[[#This Row],[_LeafTotalWork]]&gt;0),Tasks[[#This Row],[_Res4Work]]&gt;0),Tasks[[#This Row],[_Res4Work]]/(Tasks[[#This Row],[_FinishWorkday]]-Tasks[[#This Row],[_StartWorkday]]+1),0)</f>
        <v>0</v>
      </c>
      <c r="EL96" s="43" t="n">
        <f aca="false">Tasks[[#This Row],[_Res4WorkPerWD]]*MAX(0,Tasks[[#This Row],[_StartWorkday]]-1)</f>
        <v>0</v>
      </c>
      <c r="EM96" s="43" t="n">
        <f aca="false">Tasks[[#This Row],[_Res4Work]]*Tasks[[#This Row],[_LeafProgress]]</f>
        <v>0</v>
      </c>
      <c r="EN96" s="43" t="n">
        <f aca="false">IF(ISNUMBER(Tasks[[#This Row],[% Complete]]),Tasks[[#This Row],[% Complete]],IF(Tasks[[#This Row],[Stage]]="",0,IFERROR(INDEX(stg_Pct,MATCH(Tasks[[#This Row],[Stage]],stg_Name,0)),0)))</f>
        <v>0</v>
      </c>
      <c r="EO96" s="43" t="n">
        <f aca="false">IF(NOT(Tasks[[#This Row],[_IsLeaf]]=1),0,IF(N(Tasks[[#This Row],[Actual Finish]])&gt;0,1,MIN(1,Tasks[[#This Row],[_Pct]])))</f>
        <v>0</v>
      </c>
      <c r="EP96" s="43" t="n">
        <f aca="false">IF(OR(NOT(Tasks[[#This Row],[_IsLeaf]]=1),Tasks[[#This Row],[_Res1Row]]=0),0,N(Tasks[[#This Row],[_Days]])*HoursPerDay*IF(Tasks[[#This Row],[_Units1]]="",DefaultUnits,Tasks[[#This Row],[_Units1]]))</f>
        <v>0</v>
      </c>
      <c r="EQ96" s="43" t="n">
        <f aca="false">Tasks[[#This Row],[_LeafWork]]+Tasks[[#This Row],[_Res2Work]]+Tasks[[#This Row],[_Res3Work]]+Tasks[[#This Row],[_Res4Work]]</f>
        <v>0</v>
      </c>
      <c r="ER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3" t="n">
        <f aca="false">IF(NOT(Tasks[[#This Row],[_IsLeaf]]=1),0,MAX(_xlfn.MAXIFS(Tasks[_Row],Tasks[_Pred1UID],Tasks[[#This Row],[UID]]),_xlfn.MAXIFS(Tasks[_Row],Tasks[_Pred2UID],Tasks[[#This Row],[UID]]),_xlfn.MAXIFS(Tasks[_Row],Tasks[_Pred3UID],Tasks[[#This Row],[UID]]),_xlfn.MAXIFS(Tasks[_Row],Tasks[_Pred4UID],Tasks[[#This Row],[UID]])))</f>
        <v>0</v>
      </c>
      <c r="FA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91" t="str">
        <f aca="false">IF(NOT(Tasks[[#This Row],[_IsLeaf]]=1),"",IF(N(Tasks[[#This Row],[_Days]])&lt;=0,Tasks[[#This Row],[_LeafLateFinish]],WORKDAY.INTL(Tasks[[#This Row],[_LeafLateFinish]],-(Tasks[[#This Row],[_Days]]-1),WorkWeek,Holidays)))</f>
        <v/>
      </c>
      <c r="FD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6" s="90" t="b">
        <f aca="false">AND(Tasks[[#This Row],[_IsLeaf]]=1,Tasks[[#This Row],[_LeafProgress]]&lt;1,N(Tasks[[#This Row],[_LeafTotalSlack]])&lt;=CriticalSlackDays)</f>
        <v>0</v>
      </c>
      <c r="FF96" s="43" t="n">
        <f aca="false">IF(AND(Tasks[[#This Row],[_IsLeaf]]=1,Tasks[[#This Row],[_ConstraintCode]]=1,Tasks[[#This Row],[Mode]]&lt;&gt;"Manual",N(Tasks[[#This Row],[Actual Start]])=0),MAX(0,N(Tasks[[#This Row],[Free Slack]])),0)</f>
        <v>0</v>
      </c>
      <c r="FG96" s="91" t="str">
        <f aca="false">IF(NOT(Tasks[[#This Row],[_IsLeaf]]=1),"",IF(Tasks[[#This Row],[_AlapShift]]=0,Tasks[[#This Row],[_LeafCalcStart]],WORKDAY.INTL(Tasks[[#This Row],[_LeafCalcStart]],Tasks[[#This Row],[_AlapShift]],WorkWeek,Holidays)))</f>
        <v/>
      </c>
      <c r="FH96" s="91" t="str">
        <f aca="false">IF(NOT(Tasks[[#This Row],[_IsLeaf]]=1),"",IF(Tasks[[#This Row],[_AlapShift]]=0,Tasks[[#This Row],[_LeafCalcFinish]],WORKDAY.INTL(Tasks[[#This Row],[_LeafCalcFinish]],Tasks[[#This Row],[_AlapShift]],WorkWeek,Holidays)))</f>
        <v/>
      </c>
      <c r="FI96" s="91" t="str">
        <f aca="false">IF(NOT(Tasks[[#This Row],[_IsLeaf]]=1),"",IF(Tasks[[#This Row],[_AlapShift]]=0,Tasks[[#This Row],[_LeafFcstStart]],WORKDAY.INTL(Tasks[[#This Row],[_LeafFcstStart]],Tasks[[#This Row],[_AlapShift]],WorkWeek,Holidays)))</f>
        <v/>
      </c>
      <c r="FJ96" s="91" t="str">
        <f aca="false">IF(NOT(Tasks[[#This Row],[_IsLeaf]]=1),"",IF(Tasks[[#This Row],[_AlapShift]]=0,Tasks[[#This Row],[_LeafFcstFinish]],WORKDAY.INTL(Tasks[[#This Row],[_LeafFcstFinish]],Tasks[[#This Row],[_AlapShift]],WorkWeek,Holidays)))</f>
        <v/>
      </c>
      <c r="FK96" s="91" t="str">
        <f aca="false">IF(Tasks[[#This Row],[Task Name]]="","",IF(Tasks[[#This Row],[_IsSummary]],MIN(INDEX(Tasks[_ShownCalcStart],Tasks[[#This Row],[_Row]]+1):INDEX(Tasks[_ShownCalcStart],Tasks[[#This Row],[_Row]]+Tasks[[#This Row],[_Descendants]])),Tasks[[#This Row],[_ShownCalcStart]]))</f>
        <v/>
      </c>
      <c r="FL96" s="91" t="str">
        <f aca="false">IF(Tasks[[#This Row],[Task Name]]="","",IF(Tasks[[#This Row],[_IsSummary]],MAX(INDEX(Tasks[_ShownCalcFinish],Tasks[[#This Row],[_Row]]+1):INDEX(Tasks[_ShownCalcFinish],Tasks[[#This Row],[_Row]]+Tasks[[#This Row],[_Descendants]])),Tasks[[#This Row],[_ShownCalcFinish]]))</f>
        <v/>
      </c>
      <c r="FM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6" s="43" t="n">
        <f aca="false">IF(AND(Tasks[[#This Row],[_IsLeaf]]=1,Tasks[[#This Row],[_LeafTotalWork]]&gt;0),NETWORKDAYS.INTL(ProjectStart,Tasks[[#This Row],[_ShownFcstStart]],WorkWeek,Holidays),0)</f>
        <v>0</v>
      </c>
      <c r="FZ96" s="43" t="n">
        <f aca="false">IF(AND(Tasks[[#This Row],[_IsLeaf]]=1,Tasks[[#This Row],[_LeafTotalWork]]&gt;0),MAX(Tasks[[#This Row],[_StartWorkday]],NETWORKDAYS.INTL(ProjectStart,Tasks[[#This Row],[_ShownFcstFinish]],WorkWeek,Holidays)),0)</f>
        <v>0</v>
      </c>
      <c r="GA96" s="43" t="n">
        <f aca="false">IF(AND(Tasks[[#This Row],[_IsLeaf]]=1,Tasks[[#This Row],[_LeafTotalWork]]&gt;0),Tasks[[#This Row],[_LeafWork]]/(Tasks[[#This Row],[_FinishWorkday]]-Tasks[[#This Row],[_StartWorkday]]+1),0)</f>
        <v>0</v>
      </c>
      <c r="GB96" s="43" t="n">
        <f aca="false">Tasks[[#This Row],[_WorkPerWorkday]]*(Tasks[[#This Row],[_StartWorkday]]-1)</f>
        <v>-0</v>
      </c>
      <c r="GC96" s="43" t="n">
        <f aca="false">IF(Tasks[[#This Row],[_IsLeaf]]=1,MAX(N(Tasks[[#This Row],[_Days]]),0.1),0)</f>
        <v>0</v>
      </c>
      <c r="GD96" s="43" t="n">
        <f aca="false">Tasks[[#This Row],[_WeightDur]]*Tasks[[#This Row],[_LeafProgress]]</f>
        <v>0</v>
      </c>
      <c r="GE96" s="43" t="n">
        <f aca="false">Tasks[[#This Row],[_WeightDur]]*Tasks[[#This Row],[_PlannedPct]]</f>
        <v>0</v>
      </c>
      <c r="GF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3" t="str">
        <f aca="false">IF(AND(Tasks[[#This Row],[_IsLeaf]]=1,N(Tasks[[#This Row],[_Days]])=0,Tasks[[#This Row],[_LeafProgress]]&lt;1),Tasks[[#This Row],[_ShownFcstFinish]]+Tasks[[#This Row],[_Row]]/100000,"")</f>
        <v/>
      </c>
      <c r="GH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6" s="43" t="str">
        <f aca="false">IF(Tasks[[#This Row],[Task Name]]="","",LEFT(Tasks[[#This Row],[WBS]],FIND(".",Tasks[[#This Row],[WBS]]&amp;".")-1))</f>
        <v/>
      </c>
      <c r="GJ96" s="43" t="str">
        <f aca="false">IF(AND(Tasks[[#This Row],[Task Name]]&lt;&gt;"",Tasks[[#This Row],[_Level]]=1),Tasks[[#This Row],[_Row]],"")</f>
        <v/>
      </c>
      <c r="GK96" s="43" t="str">
        <f aca="false">IF(AND(Tasks[[#This Row],[_IsLeaf]]=1,N(Tasks[[#This Row],[_Days]])=0),Tasks[[#This Row],[Planned Finish]]+Tasks[[#This Row],[_Row]]/100000,"")</f>
        <v/>
      </c>
      <c r="GL96" s="43" t="str">
        <f aca="false">IF(AND(Tasks[[#This Row],[_IsLeaf]]=1,Tasks[[#This Row],[_LeafProgress]]&lt;1,OR(N(Tasks[[#This Row],[Finish Var]])&gt;0,Tasks[[#This Row],[Status]]="Late Start")),MAX(0,Tasks[[#This Row],[Finish Var]])+1-Tasks[[#This Row],[_Row]]/1000000,"")</f>
        <v/>
      </c>
      <c r="GM96" s="43" t="str">
        <f aca="false">IF(AND(Tasks[[#This Row],[_IsLeaf]]=1,N(Tasks[[#This Row],[Actual Start]])=0,Tasks[[#This Row],[_ShownFcstStart]]&gt;=StatusDate,Tasks[[#This Row],[_ShownFcstStart]]&lt;=LookaheadEnd),Tasks[[#This Row],[_ShownFcstStart]]+Tasks[[#This Row],[_Row]]/100000,"")</f>
        <v/>
      </c>
      <c r="GN96" s="43" t="str">
        <f aca="false">IF(AND(Tasks[[#This Row],[_IsLeaf]]=1,Tasks[[#This Row],[_LeafProgress]]&lt;1,Tasks[[#This Row],[_ShownFcstFinish]]&gt;=StatusDate,Tasks[[#This Row],[_ShownFcstFinish]]&lt;=LookaheadEnd),Tasks[[#This Row],[_ShownFcstFinish]]+Tasks[[#This Row],[_Row]]/100000,"")</f>
        <v/>
      </c>
      <c r="GO96" s="43" t="str">
        <f aca="false">IF(Tasks[[#This Row],[_LeafCritical]],Tasks[[#This Row],[_ShownFcstStart]]+Tasks[[#This Row],[_Row]]/100000,"")</f>
        <v/>
      </c>
      <c r="GP96" s="43" t="n">
        <f aca="false">Tasks[[#This Row],[_LeafWork]]*Tasks[[#This Row],[_LeafProgress]]</f>
        <v>0</v>
      </c>
      <c r="GQ96" s="91" t="str">
        <f aca="false">IF(AND(Tasks[[#This Row],[_IsLeaf]]=1,Tasks[[#This Row],[_LeafProgress]]&gt;=1),IF(N(Tasks[[#This Row],[Actual Finish]])&gt;0,Tasks[[#This Row],[Actual Finish]],Tasks[[#This Row],[_ShownFcstFinish]]),"")</f>
        <v/>
      </c>
      <c r="GR96" s="43" t="n">
        <f aca="false">IF(Tasks[[#This Row],[_IsLeaf]]=1,N(Tasks[[#This Row],[Story Points]]),0)</f>
        <v>0</v>
      </c>
      <c r="GS96" s="43" t="str">
        <f aca="false">""</f>
        <v/>
      </c>
      <c r="GT96" s="90" t="b">
        <f aca="false">IF(Tasks[[#This Row],[Task Name]]="",FALSE(),AND(Tasks[[#This Row],[_IsLeaf]]=1,N(Tasks[[#This Row],[_Days]])=0))</f>
        <v>0</v>
      </c>
      <c r="GU96" s="91" t="n">
        <f aca="false">IF(Tasks[[#This Row],[Task Name]]="",0,IF(AND(Tasks[[#This Row],[_IsLeaf]]=1,NOT(Tasks[[#This Row],[_IsMilestone]]),N(Tasks[[#This Row],[Progress]])&gt;0),Tasks[[#This Row],[Start]],0))</f>
        <v>0</v>
      </c>
      <c r="GV96" s="91" t="n">
        <f aca="false">IF(Tasks[[#This Row],[_DoneFrom]]=0,0,IF(Tasks[[#This Row],[Progress]]&gt;=1,Tasks[[#This Row],[Finish]],MAX(Tasks[[#This Row],[_DoneFrom]],Tasks[[#This Row],[Start]]+ROUND((Tasks[[#This Row],[Finish]]-Tasks[[#This Row],[Start]]+1)*Tasks[[#This Row],[Progress]],0)-1)))</f>
        <v>0</v>
      </c>
      <c r="GW96" s="91" t="n">
        <f aca="false">IF(Tasks[[#This Row],[Task Name]]="",0,IF(OR(NOT(Tasks[[#This Row],[_IsLeaf]]=1),Tasks[[#This Row],[_IsMilestone]],N(Tasks[[#This Row],[Progress]])&gt;=1),0,IF(Tasks[[#This Row],[_DoneTo]]&gt;0,Tasks[[#This Row],[_DoneTo]]+1,Tasks[[#This Row],[Start]])))</f>
        <v>0</v>
      </c>
      <c r="GX96" s="91" t="n">
        <f aca="false">IF(Tasks[[#This Row],[_RemFrom]]=0,0,Tasks[[#This Row],[Finish]])</f>
        <v>0</v>
      </c>
      <c r="GY96" s="90" t="b">
        <f aca="false">IF(Tasks[[#This Row],[Task Name]]="",FALSE(),OR(NOT(BaselineSet),N(Tasks[[#This Row],[Baseline Start]])&gt;0))</f>
        <v>0</v>
      </c>
      <c r="GZ9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92" t="str">
        <f aca="false">IF(Tasks[[#This Row],[_IsLeaf]]=1,Tasks[[#This Row],[_Row]],"")</f>
        <v/>
      </c>
      <c r="HD96" s="92" t="str">
        <f aca="false">IFERROR(INDEX(Tasks[UID],SMALL(Tasks[_PickKey],Tasks[[#This Row],[_Row]]))&amp;" "&amp;INDEX(Tasks[Task Name],SMALL(Tasks[_PickKey],Tasks[[#This Row],[_Row]])),"")</f>
        <v/>
      </c>
      <c r="HE96" s="43" t="str">
        <f aca="false">IF(Tasks[[#This Row],[Task Name]]="","",IF(Tasks[[#This Row],[_IsSummary]],NETWORKDAYS.INTL(Tasks[[#This Row],[Start]],Tasks[[#This Row],[Finish]],WorkWeek,Holidays),N(Tasks[[#This Row],[_Days]])))</f>
        <v/>
      </c>
      <c r="HF96" s="43" t="n">
        <f aca="false">IF(Tasks[[#This Row],[Expected]]="",0,((Tasks[[#This Row],[Pessimistic]]-Tasks[[#This Row],[Optimistic]])/6)^2)</f>
        <v>0</v>
      </c>
      <c r="HG96" s="43" t="n">
        <f aca="false">IF(Tasks[[#This Row],[Expected]]="",0,Tasks[[#This Row],[Expected]]-N(Tasks[[#This Row],[_Days]]))</f>
        <v>0</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4"/>
      <c r="U97" s="23"/>
      <c r="V97" s="84"/>
      <c r="W97" s="23"/>
      <c r="X97" s="84"/>
      <c r="Y97" s="23"/>
      <c r="Z97" s="84"/>
      <c r="AA97" s="23"/>
      <c r="AB97" s="23"/>
      <c r="AC97" s="7"/>
      <c r="AD97" s="7"/>
      <c r="AE97" s="63" t="str">
        <f aca="false">IF(Tasks[[#This Row],[Task Name]]="","",IF(Tasks[[#This Row],[_IsSummary]],MIN(INDEX(Tasks[_ShownFcstStart],Tasks[[#This Row],[_Row]]+1):INDEX(Tasks[_ShownFcstStart],Tasks[[#This Row],[_Row]]+Tasks[[#This Row],[_Descendants]])),Tasks[[#This Row],[_ShownFcstStart]]))</f>
        <v/>
      </c>
      <c r="AF97" s="63"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7" s="7"/>
      <c r="AK97" s="22"/>
      <c r="AL97" s="23"/>
      <c r="AM97" s="7"/>
      <c r="AN97" s="47"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3" t="str">
        <f aca="false">IF(Tasks[[#This Row],[Task Name]]="","",IF(N(Tasks[[#This Row],[Baseline Start]])&gt;0,Tasks[[#This Row],[Baseline Start]],Tasks[[#This Row],[_CalcStart]]))</f>
        <v/>
      </c>
      <c r="AR97" s="63" t="str">
        <f aca="false">IF(Tasks[[#This Row],[Task Name]]="","",IF(N(Tasks[[#This Row],[Baseline Finish]])&gt;0,Tasks[[#This Row],[Baseline Finish]],Tasks[[#This Row],[_CalcFinish]]))</f>
        <v/>
      </c>
      <c r="AS97" s="47" t="str">
        <f aca="false">IF(Tasks[[#This Row],[Task Name]]="","",IF(Tasks[[#This Row],[Start]]&gt;=Tasks[[#This Row],[Planned Start]],NETWORKDAYS.INTL(Tasks[[#This Row],[Planned Start]],Tasks[[#This Row],[Start]],WorkWeek,Holidays)-1,1-NETWORKDAYS.INTL(Tasks[[#This Row],[Start]],Tasks[[#This Row],[Planned Start]],WorkWeek,Holidays)))</f>
        <v/>
      </c>
      <c r="AT97" s="63" t="str">
        <f aca="false">IF(Tasks[[#This Row],[Task Name]]="","",IF(Tasks[[#This Row],[_IsSummary]],MIN(INDEX(Tasks[_LeafLateStart],Tasks[[#This Row],[_Row]]+1):INDEX(Tasks[_LeafLateStart],Tasks[[#This Row],[_Row]]+Tasks[[#This Row],[_Descendants]])),Tasks[[#This Row],[_LeafLateStart]]))</f>
        <v/>
      </c>
      <c r="AU97" s="63" t="str">
        <f aca="false">IF(Tasks[[#This Row],[Task Name]]="","",IF(Tasks[[#This Row],[_IsSummary]],MAX(INDEX(Tasks[_LeafLateFinish],Tasks[[#This Row],[_Row]]+1):INDEX(Tasks[_LeafLateFinish],Tasks[[#This Row],[_Row]]+Tasks[[#This Row],[_Descendants]])),Tasks[[#This Row],[_LeafLateFinish]]))</f>
        <v/>
      </c>
      <c r="AV97" s="47"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5"/>
      <c r="BA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6"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7"/>
      <c r="BJ97" s="22"/>
      <c r="BK97" s="47" t="str">
        <f aca="false">IF(OR(Tasks[[#This Row],[Task Name]]="",Tasks[[#This Row],[Baseline Duration]]=""),"",Tasks[[#This Row],[_SpanDays]]-N(Tasks[[#This Row],[Baseline Duration]]))</f>
        <v/>
      </c>
      <c r="BL97" s="86" t="str">
        <f aca="false">IF(OR(Tasks[[#This Row],[Task Name]]="",Tasks[[#This Row],[Baseline Work]]=""),"",Tasks[[#This Row],[Work]]-N(Tasks[[#This Row],[Baseline Work]]))</f>
        <v/>
      </c>
      <c r="BM97" s="63" t="str">
        <f aca="false">IF(Tasks[[#This Row],[Task Name]]="","",IF(OR(TakeBaseline="Yes",N(Tasks[[#This Row],[Baseline Start]])=0),Tasks[[#This Row],[Start]],Tasks[[#This Row],[Baseline Start]]))</f>
        <v/>
      </c>
      <c r="BN97" s="63" t="str">
        <f aca="false">IF(Tasks[[#This Row],[Task Name]]="","",IF(OR(TakeBaseline="Yes",N(Tasks[[#This Row],[Baseline Finish]])=0),Tasks[[#This Row],[Finish]],Tasks[[#This Row],[Baseline Finish]]))</f>
        <v/>
      </c>
      <c r="BO97" s="21" t="str">
        <f aca="false">IF(Tasks[[#This Row],[Task Name]]="","",IF(OR(TakeBaseline="Yes",N(Tasks[[#This Row],[Baseline Duration]])=0),Tasks[[#This Row],[_SpanDays]],Tasks[[#This Row],[Baseline Duration]]))</f>
        <v/>
      </c>
      <c r="BP97" s="86" t="str">
        <f aca="false">IF(Tasks[[#This Row],[Task Name]]="","",IF(OR(TakeBaseline="Yes",N(Tasks[[#This Row],[Baseline Work]])=0),Tasks[[#This Row],[Work]],Tasks[[#This Row],[Baseline Work]]))</f>
        <v/>
      </c>
      <c r="BQ97" s="7"/>
      <c r="BR97" s="7"/>
      <c r="BS97" s="22"/>
      <c r="BT97" s="88"/>
      <c r="BU97" s="23"/>
      <c r="BV97" s="23"/>
      <c r="BW97" s="23"/>
      <c r="BX97" s="89" t="str">
        <f aca="false">IF(AND(Tasks[[#This Row],[_IsLeaf]]=1,ISNUMBER(Tasks[[#This Row],[Optimistic]]),ISNUMBER(Tasks[[#This Row],[Pessimistic]])),ROUND((Tasks[[#This Row],[Optimistic]]+4*N(Tasks[[#This Row],[_Days]])+Tasks[[#This Row],[Pessimistic]])/6,1),"")</f>
        <v/>
      </c>
      <c r="BY97" s="87"/>
      <c r="BZ97" s="87"/>
      <c r="CA97" s="22"/>
      <c r="CB97" s="43" t="str">
        <f aca="false">IF(Tasks[[#This Row],[Task Name]]="","",MAX(1,N(Tasks[[#This Row],[Level]])))</f>
        <v/>
      </c>
      <c r="CC97" s="43" t="n">
        <f aca="false">ROW()-ROW(Tasks[[#Headers],[ID]])</f>
        <v>92</v>
      </c>
      <c r="CD97" s="43" t="n">
        <f aca="false">IF(OR(Tasks[[#This Row],[Task Name]]="",Tasks[[#This Row],[_Level]]&lt;=1),0,IFERROR(LOOKUP(2,1/(Tasks[[#Headers],[_Level]]:Tasks[[#This Row],[_Level]]=Tasks[[#This Row],[_Level]]-1),ROW(Tasks[[#Headers],[_Level]]:Tasks[[#This Row],[_Level]])),0))</f>
        <v>0</v>
      </c>
      <c r="CE97" s="43" t="n">
        <f aca="false">IFERROR(N(INDEX(Tasks[_Level],Tasks[[#This Row],[_Row]]+1)),0)</f>
        <v>0</v>
      </c>
      <c r="CF97" s="90" t="b">
        <f aca="false">AND(Tasks[[#This Row],[Task Name]]&lt;&gt;"",Tasks[[#This Row],[_NextLevel]]&gt;Tasks[[#This Row],[_Level]])</f>
        <v>0</v>
      </c>
      <c r="CG97" s="43" t="n">
        <f aca="false">IF(Tasks[[#This Row],[_IsSummary]],COUNTIF(Tasks[WBS],Tasks[[#This Row],[WBS]]&amp;".*"),0)</f>
        <v>0</v>
      </c>
      <c r="CH97" s="43" t="n">
        <f aca="false">IF(AND(Tasks[[#This Row],[Task Name]]&lt;&gt;"",NOT(Tasks[[#This Row],[_IsSummary]])),1,0)</f>
        <v>0</v>
      </c>
      <c r="CI97" s="43" t="n">
        <f aca="false">IF(N(Tasks[[#This Row],[_Pred1UID]])=0,0,IFERROR(MATCH(Tasks[[#This Row],[_Pred1UID]],Tasks[UID],0),-1))</f>
        <v>0</v>
      </c>
      <c r="CJ97" s="43" t="n">
        <f aca="false">IF(N(Tasks[[#This Row],[_Pred2UID]])=0,0,IFERROR(MATCH(Tasks[[#This Row],[_Pred2UID]],Tasks[UID],0),-1))</f>
        <v>0</v>
      </c>
      <c r="CK97" s="43" t="n">
        <f aca="false">IF(N(Tasks[[#This Row],[_Pred3UID]])=0,0,IFERROR(MATCH(Tasks[[#This Row],[_Pred3UID]],Tasks[UID],0),-1))</f>
        <v>0</v>
      </c>
      <c r="CL97" s="43" t="n">
        <f aca="false">IF(N(Tasks[[#This Row],[_Pred4UID]])=0,0,IFERROR(MATCH(Tasks[[#This Row],[_Pred4UID]],Tasks[UID],0),-1))</f>
        <v>0</v>
      </c>
      <c r="CM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7" s="91" t="n">
        <f aca="false">IF(OR(Tasks[[#This Row],[_ConstraintCode]]=2,Tasks[[#This Row],[_ConstraintCode]]=3,Tasks[[#This Row],[_ConstraintCode]]=4,Tasks[[#This Row],[_ConstraintCode]]=6),Tasks[[#This Row],[_ConstraintStart]],0)</f>
        <v>0</v>
      </c>
      <c r="CP97" s="91" t="n">
        <f aca="false">IF(OR(Tasks[[#This Row],[_ConstraintCode]]=2,Tasks[[#This Row],[_ConstraintCode]]=3,Tasks[[#This Row],[_ConstraintCode]]=5,Tasks[[#This Row],[_ConstraintCode]]=7),Tasks[[#This Row],[_ConstraintStart]],2958465)</f>
        <v>2958465</v>
      </c>
      <c r="CQ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91" t="str">
        <f aca="false">IF(NOT(Tasks[[#This Row],[_IsLeaf]]=1),"",IF(N(Tasks[[#This Row],[_Days]])&lt;=0,Tasks[[#This Row],[_LeafCalcStart]],WORKDAY.INTL(Tasks[[#This Row],[_LeafCalcStart]],Tasks[[#This Row],[_Days]]-1,WorkWeek,Holidays)))</f>
        <v/>
      </c>
      <c r="CS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3" t="str">
        <f aca="false">IF(Tasks[[#This Row],[_Predecessors]]="","",TRIM(MID(SUBSTITUTE(SUBSTITUTE(SUBSTITUTE(UPPER(Tasks[[#This Row],[_Predecessors]]),";",",")," ",""),",",REPT(" ",99)),1,99)))</f>
        <v/>
      </c>
      <c r="CV97" s="43" t="str">
        <f aca="false">IF(Tasks[[#This Row],[_Pred1Text]]="","",IFERROR(VALUE(LEFT(Tasks[[#This Row],[_Pred1Text]],MIN(FIND("F",Tasks[[#This Row],[_Pred1Text]]&amp;"F"),FIND("S",Tasks[[#This Row],[_Pred1Text]]&amp;"S"),FIND("+",Tasks[[#This Row],[_Pred1Text]]&amp;"+"),FIND("-",Tasks[[#This Row],[_Pred1Text]]&amp;"-"))-1)),""))</f>
        <v/>
      </c>
      <c r="CW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3" t="str">
        <f aca="false">IF(Tasks[[#This Row],[_Pred1Text]]="","",TRIM(MID(SUBSTITUTE(SUBSTITUTE(SUBSTITUTE(UPPER(Tasks[[#This Row],[_Predecessors]]),";",",")," ",""),",",REPT(" ",99)),100,99)))</f>
        <v/>
      </c>
      <c r="CZ97" s="43" t="str">
        <f aca="false">IF(Tasks[[#This Row],[_Pred2Text]]="","",IFERROR(VALUE(LEFT(Tasks[[#This Row],[_Pred2Text]],MIN(FIND("F",Tasks[[#This Row],[_Pred2Text]]&amp;"F"),FIND("S",Tasks[[#This Row],[_Pred2Text]]&amp;"S"),FIND("+",Tasks[[#This Row],[_Pred2Text]]&amp;"+"),FIND("-",Tasks[[#This Row],[_Pred2Text]]&amp;"-"))-1)),""))</f>
        <v/>
      </c>
      <c r="DA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3" t="str">
        <f aca="false">IF(Tasks[[#This Row],[_Pred2Text]]="","",TRIM(MID(SUBSTITUTE(SUBSTITUTE(SUBSTITUTE(UPPER(Tasks[[#This Row],[_Predecessors]]),";",",")," ",""),",",REPT(" ",99)),199,99)))</f>
        <v/>
      </c>
      <c r="DD97" s="43" t="str">
        <f aca="false">IF(Tasks[[#This Row],[_Pred3Text]]="","",IFERROR(VALUE(LEFT(Tasks[[#This Row],[_Pred3Text]],MIN(FIND("F",Tasks[[#This Row],[_Pred3Text]]&amp;"F"),FIND("S",Tasks[[#This Row],[_Pred3Text]]&amp;"S"),FIND("+",Tasks[[#This Row],[_Pred3Text]]&amp;"+"),FIND("-",Tasks[[#This Row],[_Pred3Text]]&amp;"-"))-1)),""))</f>
        <v/>
      </c>
      <c r="DE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3" t="str">
        <f aca="false">IF(Tasks[[#This Row],[_Pred3Text]]="","",TRIM(MID(SUBSTITUTE(SUBSTITUTE(SUBSTITUTE(UPPER(Tasks[[#This Row],[_Predecessors]]),";",",")," ",""),",",REPT(" ",99)),298,99)))</f>
        <v/>
      </c>
      <c r="DH97" s="43" t="str">
        <f aca="false">IF(Tasks[[#This Row],[_Pred4Text]]="","",IFERROR(VALUE(LEFT(Tasks[[#This Row],[_Pred4Text]],MIN(FIND("F",Tasks[[#This Row],[_Pred4Text]]&amp;"F"),FIND("S",Tasks[[#This Row],[_Pred4Text]]&amp;"S"),FIND("+",Tasks[[#This Row],[_Pred4Text]]&amp;"+"),FIND("-",Tasks[[#This Row],[_Pred4Text]]&amp;"-"))-1)),""))</f>
        <v/>
      </c>
      <c r="DI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3" t="str">
        <f aca="false">IF(OR(Tasks[[#This Row],[Task Name]]="",Tasks[[#This Row],[_Resources]]=""),"",TRIM(MID(SUBSTITUTE(Tasks[[#This Row],[_Resources]],",",REPT(" ",99)),1,99)))</f>
        <v/>
      </c>
      <c r="DL97" s="43" t="str">
        <f aca="false">IF(Tasks[[#This Row],[_Res1Text]]="","",TRIM(MID(SUBSTITUTE(Tasks[[#This Row],[_Resources]],",",REPT(" ",99)),100,99)))</f>
        <v/>
      </c>
      <c r="DM97" s="43" t="str">
        <f aca="false">IF(Tasks[[#This Row],[_Res2Text]]="","",TRIM(MID(SUBSTITUTE(Tasks[[#This Row],[_Resources]],",",REPT(" ",99)),199,99)))</f>
        <v/>
      </c>
      <c r="DN97" s="43" t="str">
        <f aca="false">IF(Tasks[[#This Row],[_Res3Text]]="","",TRIM(MID(SUBSTITUTE(Tasks[[#This Row],[_Resources]],",",REPT(" ",99)),298,99)))</f>
        <v/>
      </c>
      <c r="DO97" s="43" t="n">
        <f aca="false">IF(Tasks[[#This Row],[_Res1Text]]="",0,IFERROR(MATCH(TRIM(LEFT(Tasks[[#This Row],[_Res1Text]],FIND("[",Tasks[[#This Row],[_Res1Text]]&amp;"[")-1)),res_Name,0),IFERROR(MATCH(TRIM(LEFT(Tasks[[#This Row],[_Res1Text]],FIND("[",Tasks[[#This Row],[_Res1Text]]&amp;"[")-1)),res_Initials,0),0)))</f>
        <v>0</v>
      </c>
      <c r="DP97" s="43" t="n">
        <f aca="false">IF(Tasks[[#This Row],[_Res2Text]]="",0,IFERROR(MATCH(TRIM(LEFT(Tasks[[#This Row],[_Res2Text]],FIND("[",Tasks[[#This Row],[_Res2Text]]&amp;"[")-1)),res_Name,0),IFERROR(MATCH(TRIM(LEFT(Tasks[[#This Row],[_Res2Text]],FIND("[",Tasks[[#This Row],[_Res2Text]]&amp;"[")-1)),res_Initials,0),0)))</f>
        <v>0</v>
      </c>
      <c r="DQ97" s="43" t="n">
        <f aca="false">IF(Tasks[[#This Row],[_Res3Text]]="",0,IFERROR(MATCH(TRIM(LEFT(Tasks[[#This Row],[_Res3Text]],FIND("[",Tasks[[#This Row],[_Res3Text]]&amp;"[")-1)),res_Name,0),IFERROR(MATCH(TRIM(LEFT(Tasks[[#This Row],[_Res3Text]],FIND("[",Tasks[[#This Row],[_Res3Text]]&amp;"[")-1)),res_Initials,0),0)))</f>
        <v>0</v>
      </c>
      <c r="DR97" s="43" t="n">
        <f aca="false">IF(Tasks[[#This Row],[_Res4Text]]="",0,IFERROR(MATCH(TRIM(LEFT(Tasks[[#This Row],[_Res4Text]],FIND("[",Tasks[[#This Row],[_Res4Text]]&amp;"[")-1)),res_Name,0),IFERROR(MATCH(TRIM(LEFT(Tasks[[#This Row],[_Res4Text]],FIND("[",Tasks[[#This Row],[_Res4Text]]&amp;"[")-1)),res_Initials,0),0)))</f>
        <v>0</v>
      </c>
      <c r="DS97" s="43" t="str">
        <f aca="false">IF(Tasks[[#This Row],[_Res1Text]]="","",IF(Tasks[[#This Row],[_Res1Row]]&gt;0,INDEX(res_Name,Tasks[[#This Row],[_Res1Row]]),TRIM(LEFT(Tasks[[#This Row],[_Res1Text]],FIND("[",Tasks[[#This Row],[_Res1Text]]&amp;"[")-1))))</f>
        <v/>
      </c>
      <c r="DT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3" t="n">
        <f aca="false">IF(NOT(Tasks[[#This Row],[_IsLeaf]]=1),0,(Tasks[[#This Row],[_Resource1]]&lt;&gt;"")+(Tasks[[#This Row],[_Res2]]&lt;&gt;"")+(Tasks[[#This Row],[_Res3]]&lt;&gt;"")+(Tasks[[#This Row],[_Res4]]&lt;&gt;""))</f>
        <v>0</v>
      </c>
      <c r="DV97" s="43" t="str">
        <f aca="false">IF(Tasks[[#This Row],[_Res2Text]]="","",IF(Tasks[[#This Row],[_Res2Row]]&gt;0,INDEX(res_Name,Tasks[[#This Row],[_Res2Row]]),TRIM(LEFT(Tasks[[#This Row],[_Res2Text]],FIND("[",Tasks[[#This Row],[_Res2Text]]&amp;"[")-1))))</f>
        <v/>
      </c>
      <c r="DW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3" t="n">
        <f aca="false">IF(OR(NOT(Tasks[[#This Row],[_IsLeaf]]=1),Tasks[[#This Row],[_Res2Row]]=0),0,N(Tasks[[#This Row],[_Days]])*HoursPerDay*IF(Tasks[[#This Row],[_Res2Units]]="",DefaultUnits,Tasks[[#This Row],[_Res2Units]]))</f>
        <v>0</v>
      </c>
      <c r="DY97" s="43" t="n">
        <f aca="false">IF(AND(AND(Tasks[[#This Row],[_IsLeaf]]=1,Tasks[[#This Row],[_LeafTotalWork]]&gt;0),Tasks[[#This Row],[_Res2Work]]&gt;0),Tasks[[#This Row],[_Res2Work]]/(Tasks[[#This Row],[_FinishWorkday]]-Tasks[[#This Row],[_StartWorkday]]+1),0)</f>
        <v>0</v>
      </c>
      <c r="DZ97" s="43" t="n">
        <f aca="false">Tasks[[#This Row],[_Res2WorkPerWD]]*MAX(0,Tasks[[#This Row],[_StartWorkday]]-1)</f>
        <v>0</v>
      </c>
      <c r="EA97" s="43" t="n">
        <f aca="false">Tasks[[#This Row],[_Res2Work]]*Tasks[[#This Row],[_LeafProgress]]</f>
        <v>0</v>
      </c>
      <c r="EB97" s="43" t="str">
        <f aca="false">IF(Tasks[[#This Row],[_Res3Text]]="","",IF(Tasks[[#This Row],[_Res3Row]]&gt;0,INDEX(res_Name,Tasks[[#This Row],[_Res3Row]]),TRIM(LEFT(Tasks[[#This Row],[_Res3Text]],FIND("[",Tasks[[#This Row],[_Res3Text]]&amp;"[")-1))))</f>
        <v/>
      </c>
      <c r="EC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3" t="n">
        <f aca="false">IF(OR(NOT(Tasks[[#This Row],[_IsLeaf]]=1),Tasks[[#This Row],[_Res3Row]]=0),0,N(Tasks[[#This Row],[_Days]])*HoursPerDay*IF(Tasks[[#This Row],[_Res3Units]]="",DefaultUnits,Tasks[[#This Row],[_Res3Units]]))</f>
        <v>0</v>
      </c>
      <c r="EE97" s="43" t="n">
        <f aca="false">IF(AND(AND(Tasks[[#This Row],[_IsLeaf]]=1,Tasks[[#This Row],[_LeafTotalWork]]&gt;0),Tasks[[#This Row],[_Res3Work]]&gt;0),Tasks[[#This Row],[_Res3Work]]/(Tasks[[#This Row],[_FinishWorkday]]-Tasks[[#This Row],[_StartWorkday]]+1),0)</f>
        <v>0</v>
      </c>
      <c r="EF97" s="43" t="n">
        <f aca="false">Tasks[[#This Row],[_Res3WorkPerWD]]*MAX(0,Tasks[[#This Row],[_StartWorkday]]-1)</f>
        <v>0</v>
      </c>
      <c r="EG97" s="43" t="n">
        <f aca="false">Tasks[[#This Row],[_Res3Work]]*Tasks[[#This Row],[_LeafProgress]]</f>
        <v>0</v>
      </c>
      <c r="EH97" s="43" t="str">
        <f aca="false">IF(Tasks[[#This Row],[_Res4Text]]="","",IF(Tasks[[#This Row],[_Res4Row]]&gt;0,INDEX(res_Name,Tasks[[#This Row],[_Res4Row]]),TRIM(LEFT(Tasks[[#This Row],[_Res4Text]],FIND("[",Tasks[[#This Row],[_Res4Text]]&amp;"[")-1))))</f>
        <v/>
      </c>
      <c r="EI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3" t="n">
        <f aca="false">IF(OR(NOT(Tasks[[#This Row],[_IsLeaf]]=1),Tasks[[#This Row],[_Res4Row]]=0),0,N(Tasks[[#This Row],[_Days]])*HoursPerDay*IF(Tasks[[#This Row],[_Res4Units]]="",DefaultUnits,Tasks[[#This Row],[_Res4Units]]))</f>
        <v>0</v>
      </c>
      <c r="EK97" s="43" t="n">
        <f aca="false">IF(AND(AND(Tasks[[#This Row],[_IsLeaf]]=1,Tasks[[#This Row],[_LeafTotalWork]]&gt;0),Tasks[[#This Row],[_Res4Work]]&gt;0),Tasks[[#This Row],[_Res4Work]]/(Tasks[[#This Row],[_FinishWorkday]]-Tasks[[#This Row],[_StartWorkday]]+1),0)</f>
        <v>0</v>
      </c>
      <c r="EL97" s="43" t="n">
        <f aca="false">Tasks[[#This Row],[_Res4WorkPerWD]]*MAX(0,Tasks[[#This Row],[_StartWorkday]]-1)</f>
        <v>0</v>
      </c>
      <c r="EM97" s="43" t="n">
        <f aca="false">Tasks[[#This Row],[_Res4Work]]*Tasks[[#This Row],[_LeafProgress]]</f>
        <v>0</v>
      </c>
      <c r="EN97" s="43" t="n">
        <f aca="false">IF(ISNUMBER(Tasks[[#This Row],[% Complete]]),Tasks[[#This Row],[% Complete]],IF(Tasks[[#This Row],[Stage]]="",0,IFERROR(INDEX(stg_Pct,MATCH(Tasks[[#This Row],[Stage]],stg_Name,0)),0)))</f>
        <v>0</v>
      </c>
      <c r="EO97" s="43" t="n">
        <f aca="false">IF(NOT(Tasks[[#This Row],[_IsLeaf]]=1),0,IF(N(Tasks[[#This Row],[Actual Finish]])&gt;0,1,MIN(1,Tasks[[#This Row],[_Pct]])))</f>
        <v>0</v>
      </c>
      <c r="EP97" s="43" t="n">
        <f aca="false">IF(OR(NOT(Tasks[[#This Row],[_IsLeaf]]=1),Tasks[[#This Row],[_Res1Row]]=0),0,N(Tasks[[#This Row],[_Days]])*HoursPerDay*IF(Tasks[[#This Row],[_Units1]]="",DefaultUnits,Tasks[[#This Row],[_Units1]]))</f>
        <v>0</v>
      </c>
      <c r="EQ97" s="43" t="n">
        <f aca="false">Tasks[[#This Row],[_LeafWork]]+Tasks[[#This Row],[_Res2Work]]+Tasks[[#This Row],[_Res3Work]]+Tasks[[#This Row],[_Res4Work]]</f>
        <v>0</v>
      </c>
      <c r="ER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3" t="n">
        <f aca="false">IF(NOT(Tasks[[#This Row],[_IsLeaf]]=1),0,MAX(_xlfn.MAXIFS(Tasks[_Row],Tasks[_Pred1UID],Tasks[[#This Row],[UID]]),_xlfn.MAXIFS(Tasks[_Row],Tasks[_Pred2UID],Tasks[[#This Row],[UID]]),_xlfn.MAXIFS(Tasks[_Row],Tasks[_Pred3UID],Tasks[[#This Row],[UID]]),_xlfn.MAXIFS(Tasks[_Row],Tasks[_Pred4UID],Tasks[[#This Row],[UID]])))</f>
        <v>0</v>
      </c>
      <c r="FA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91" t="str">
        <f aca="false">IF(NOT(Tasks[[#This Row],[_IsLeaf]]=1),"",IF(N(Tasks[[#This Row],[_Days]])&lt;=0,Tasks[[#This Row],[_LeafLateFinish]],WORKDAY.INTL(Tasks[[#This Row],[_LeafLateFinish]],-(Tasks[[#This Row],[_Days]]-1),WorkWeek,Holidays)))</f>
        <v/>
      </c>
      <c r="FD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7" s="90" t="b">
        <f aca="false">AND(Tasks[[#This Row],[_IsLeaf]]=1,Tasks[[#This Row],[_LeafProgress]]&lt;1,N(Tasks[[#This Row],[_LeafTotalSlack]])&lt;=CriticalSlackDays)</f>
        <v>0</v>
      </c>
      <c r="FF97" s="43" t="n">
        <f aca="false">IF(AND(Tasks[[#This Row],[_IsLeaf]]=1,Tasks[[#This Row],[_ConstraintCode]]=1,Tasks[[#This Row],[Mode]]&lt;&gt;"Manual",N(Tasks[[#This Row],[Actual Start]])=0),MAX(0,N(Tasks[[#This Row],[Free Slack]])),0)</f>
        <v>0</v>
      </c>
      <c r="FG97" s="91" t="str">
        <f aca="false">IF(NOT(Tasks[[#This Row],[_IsLeaf]]=1),"",IF(Tasks[[#This Row],[_AlapShift]]=0,Tasks[[#This Row],[_LeafCalcStart]],WORKDAY.INTL(Tasks[[#This Row],[_LeafCalcStart]],Tasks[[#This Row],[_AlapShift]],WorkWeek,Holidays)))</f>
        <v/>
      </c>
      <c r="FH97" s="91" t="str">
        <f aca="false">IF(NOT(Tasks[[#This Row],[_IsLeaf]]=1),"",IF(Tasks[[#This Row],[_AlapShift]]=0,Tasks[[#This Row],[_LeafCalcFinish]],WORKDAY.INTL(Tasks[[#This Row],[_LeafCalcFinish]],Tasks[[#This Row],[_AlapShift]],WorkWeek,Holidays)))</f>
        <v/>
      </c>
      <c r="FI97" s="91" t="str">
        <f aca="false">IF(NOT(Tasks[[#This Row],[_IsLeaf]]=1),"",IF(Tasks[[#This Row],[_AlapShift]]=0,Tasks[[#This Row],[_LeafFcstStart]],WORKDAY.INTL(Tasks[[#This Row],[_LeafFcstStart]],Tasks[[#This Row],[_AlapShift]],WorkWeek,Holidays)))</f>
        <v/>
      </c>
      <c r="FJ97" s="91" t="str">
        <f aca="false">IF(NOT(Tasks[[#This Row],[_IsLeaf]]=1),"",IF(Tasks[[#This Row],[_AlapShift]]=0,Tasks[[#This Row],[_LeafFcstFinish]],WORKDAY.INTL(Tasks[[#This Row],[_LeafFcstFinish]],Tasks[[#This Row],[_AlapShift]],WorkWeek,Holidays)))</f>
        <v/>
      </c>
      <c r="FK97" s="91" t="str">
        <f aca="false">IF(Tasks[[#This Row],[Task Name]]="","",IF(Tasks[[#This Row],[_IsSummary]],MIN(INDEX(Tasks[_ShownCalcStart],Tasks[[#This Row],[_Row]]+1):INDEX(Tasks[_ShownCalcStart],Tasks[[#This Row],[_Row]]+Tasks[[#This Row],[_Descendants]])),Tasks[[#This Row],[_ShownCalcStart]]))</f>
        <v/>
      </c>
      <c r="FL97" s="91" t="str">
        <f aca="false">IF(Tasks[[#This Row],[Task Name]]="","",IF(Tasks[[#This Row],[_IsSummary]],MAX(INDEX(Tasks[_ShownCalcFinish],Tasks[[#This Row],[_Row]]+1):INDEX(Tasks[_ShownCalcFinish],Tasks[[#This Row],[_Row]]+Tasks[[#This Row],[_Descendants]])),Tasks[[#This Row],[_ShownCalcFinish]]))</f>
        <v/>
      </c>
      <c r="FM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7" s="43" t="n">
        <f aca="false">IF(AND(Tasks[[#This Row],[_IsLeaf]]=1,Tasks[[#This Row],[_LeafTotalWork]]&gt;0),NETWORKDAYS.INTL(ProjectStart,Tasks[[#This Row],[_ShownFcstStart]],WorkWeek,Holidays),0)</f>
        <v>0</v>
      </c>
      <c r="FZ97" s="43" t="n">
        <f aca="false">IF(AND(Tasks[[#This Row],[_IsLeaf]]=1,Tasks[[#This Row],[_LeafTotalWork]]&gt;0),MAX(Tasks[[#This Row],[_StartWorkday]],NETWORKDAYS.INTL(ProjectStart,Tasks[[#This Row],[_ShownFcstFinish]],WorkWeek,Holidays)),0)</f>
        <v>0</v>
      </c>
      <c r="GA97" s="43" t="n">
        <f aca="false">IF(AND(Tasks[[#This Row],[_IsLeaf]]=1,Tasks[[#This Row],[_LeafTotalWork]]&gt;0),Tasks[[#This Row],[_LeafWork]]/(Tasks[[#This Row],[_FinishWorkday]]-Tasks[[#This Row],[_StartWorkday]]+1),0)</f>
        <v>0</v>
      </c>
      <c r="GB97" s="43" t="n">
        <f aca="false">Tasks[[#This Row],[_WorkPerWorkday]]*(Tasks[[#This Row],[_StartWorkday]]-1)</f>
        <v>-0</v>
      </c>
      <c r="GC97" s="43" t="n">
        <f aca="false">IF(Tasks[[#This Row],[_IsLeaf]]=1,MAX(N(Tasks[[#This Row],[_Days]]),0.1),0)</f>
        <v>0</v>
      </c>
      <c r="GD97" s="43" t="n">
        <f aca="false">Tasks[[#This Row],[_WeightDur]]*Tasks[[#This Row],[_LeafProgress]]</f>
        <v>0</v>
      </c>
      <c r="GE97" s="43" t="n">
        <f aca="false">Tasks[[#This Row],[_WeightDur]]*Tasks[[#This Row],[_PlannedPct]]</f>
        <v>0</v>
      </c>
      <c r="GF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3" t="str">
        <f aca="false">IF(AND(Tasks[[#This Row],[_IsLeaf]]=1,N(Tasks[[#This Row],[_Days]])=0,Tasks[[#This Row],[_LeafProgress]]&lt;1),Tasks[[#This Row],[_ShownFcstFinish]]+Tasks[[#This Row],[_Row]]/100000,"")</f>
        <v/>
      </c>
      <c r="GH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7" s="43" t="str">
        <f aca="false">IF(Tasks[[#This Row],[Task Name]]="","",LEFT(Tasks[[#This Row],[WBS]],FIND(".",Tasks[[#This Row],[WBS]]&amp;".")-1))</f>
        <v/>
      </c>
      <c r="GJ97" s="43" t="str">
        <f aca="false">IF(AND(Tasks[[#This Row],[Task Name]]&lt;&gt;"",Tasks[[#This Row],[_Level]]=1),Tasks[[#This Row],[_Row]],"")</f>
        <v/>
      </c>
      <c r="GK97" s="43" t="str">
        <f aca="false">IF(AND(Tasks[[#This Row],[_IsLeaf]]=1,N(Tasks[[#This Row],[_Days]])=0),Tasks[[#This Row],[Planned Finish]]+Tasks[[#This Row],[_Row]]/100000,"")</f>
        <v/>
      </c>
      <c r="GL97" s="43" t="str">
        <f aca="false">IF(AND(Tasks[[#This Row],[_IsLeaf]]=1,Tasks[[#This Row],[_LeafProgress]]&lt;1,OR(N(Tasks[[#This Row],[Finish Var]])&gt;0,Tasks[[#This Row],[Status]]="Late Start")),MAX(0,Tasks[[#This Row],[Finish Var]])+1-Tasks[[#This Row],[_Row]]/1000000,"")</f>
        <v/>
      </c>
      <c r="GM97" s="43" t="str">
        <f aca="false">IF(AND(Tasks[[#This Row],[_IsLeaf]]=1,N(Tasks[[#This Row],[Actual Start]])=0,Tasks[[#This Row],[_ShownFcstStart]]&gt;=StatusDate,Tasks[[#This Row],[_ShownFcstStart]]&lt;=LookaheadEnd),Tasks[[#This Row],[_ShownFcstStart]]+Tasks[[#This Row],[_Row]]/100000,"")</f>
        <v/>
      </c>
      <c r="GN97" s="43" t="str">
        <f aca="false">IF(AND(Tasks[[#This Row],[_IsLeaf]]=1,Tasks[[#This Row],[_LeafProgress]]&lt;1,Tasks[[#This Row],[_ShownFcstFinish]]&gt;=StatusDate,Tasks[[#This Row],[_ShownFcstFinish]]&lt;=LookaheadEnd),Tasks[[#This Row],[_ShownFcstFinish]]+Tasks[[#This Row],[_Row]]/100000,"")</f>
        <v/>
      </c>
      <c r="GO97" s="43" t="str">
        <f aca="false">IF(Tasks[[#This Row],[_LeafCritical]],Tasks[[#This Row],[_ShownFcstStart]]+Tasks[[#This Row],[_Row]]/100000,"")</f>
        <v/>
      </c>
      <c r="GP97" s="43" t="n">
        <f aca="false">Tasks[[#This Row],[_LeafWork]]*Tasks[[#This Row],[_LeafProgress]]</f>
        <v>0</v>
      </c>
      <c r="GQ97" s="91" t="str">
        <f aca="false">IF(AND(Tasks[[#This Row],[_IsLeaf]]=1,Tasks[[#This Row],[_LeafProgress]]&gt;=1),IF(N(Tasks[[#This Row],[Actual Finish]])&gt;0,Tasks[[#This Row],[Actual Finish]],Tasks[[#This Row],[_ShownFcstFinish]]),"")</f>
        <v/>
      </c>
      <c r="GR97" s="43" t="n">
        <f aca="false">IF(Tasks[[#This Row],[_IsLeaf]]=1,N(Tasks[[#This Row],[Story Points]]),0)</f>
        <v>0</v>
      </c>
      <c r="GS97" s="43" t="str">
        <f aca="false">""</f>
        <v/>
      </c>
      <c r="GT97" s="90" t="b">
        <f aca="false">IF(Tasks[[#This Row],[Task Name]]="",FALSE(),AND(Tasks[[#This Row],[_IsLeaf]]=1,N(Tasks[[#This Row],[_Days]])=0))</f>
        <v>0</v>
      </c>
      <c r="GU97" s="91" t="n">
        <f aca="false">IF(Tasks[[#This Row],[Task Name]]="",0,IF(AND(Tasks[[#This Row],[_IsLeaf]]=1,NOT(Tasks[[#This Row],[_IsMilestone]]),N(Tasks[[#This Row],[Progress]])&gt;0),Tasks[[#This Row],[Start]],0))</f>
        <v>0</v>
      </c>
      <c r="GV97" s="91" t="n">
        <f aca="false">IF(Tasks[[#This Row],[_DoneFrom]]=0,0,IF(Tasks[[#This Row],[Progress]]&gt;=1,Tasks[[#This Row],[Finish]],MAX(Tasks[[#This Row],[_DoneFrom]],Tasks[[#This Row],[Start]]+ROUND((Tasks[[#This Row],[Finish]]-Tasks[[#This Row],[Start]]+1)*Tasks[[#This Row],[Progress]],0)-1)))</f>
        <v>0</v>
      </c>
      <c r="GW97" s="91" t="n">
        <f aca="false">IF(Tasks[[#This Row],[Task Name]]="",0,IF(OR(NOT(Tasks[[#This Row],[_IsLeaf]]=1),Tasks[[#This Row],[_IsMilestone]],N(Tasks[[#This Row],[Progress]])&gt;=1),0,IF(Tasks[[#This Row],[_DoneTo]]&gt;0,Tasks[[#This Row],[_DoneTo]]+1,Tasks[[#This Row],[Start]])))</f>
        <v>0</v>
      </c>
      <c r="GX97" s="91" t="n">
        <f aca="false">IF(Tasks[[#This Row],[_RemFrom]]=0,0,Tasks[[#This Row],[Finish]])</f>
        <v>0</v>
      </c>
      <c r="GY97" s="90" t="b">
        <f aca="false">IF(Tasks[[#This Row],[Task Name]]="",FALSE(),OR(NOT(BaselineSet),N(Tasks[[#This Row],[Baseline Start]])&gt;0))</f>
        <v>0</v>
      </c>
      <c r="GZ9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92" t="str">
        <f aca="false">IF(Tasks[[#This Row],[_IsLeaf]]=1,Tasks[[#This Row],[_Row]],"")</f>
        <v/>
      </c>
      <c r="HD97" s="92" t="str">
        <f aca="false">IFERROR(INDEX(Tasks[UID],SMALL(Tasks[_PickKey],Tasks[[#This Row],[_Row]]))&amp;" "&amp;INDEX(Tasks[Task Name],SMALL(Tasks[_PickKey],Tasks[[#This Row],[_Row]])),"")</f>
        <v/>
      </c>
      <c r="HE97" s="43" t="str">
        <f aca="false">IF(Tasks[[#This Row],[Task Name]]="","",IF(Tasks[[#This Row],[_IsSummary]],NETWORKDAYS.INTL(Tasks[[#This Row],[Start]],Tasks[[#This Row],[Finish]],WorkWeek,Holidays),N(Tasks[[#This Row],[_Days]])))</f>
        <v/>
      </c>
      <c r="HF97" s="43" t="n">
        <f aca="false">IF(Tasks[[#This Row],[Expected]]="",0,((Tasks[[#This Row],[Pessimistic]]-Tasks[[#This Row],[Optimistic]])/6)^2)</f>
        <v>0</v>
      </c>
      <c r="HG97" s="43" t="n">
        <f aca="false">IF(Tasks[[#This Row],[Expected]]="",0,Tasks[[#This Row],[Expected]]-N(Tasks[[#This Row],[_Days]]))</f>
        <v>0</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4"/>
      <c r="U98" s="23"/>
      <c r="V98" s="84"/>
      <c r="W98" s="23"/>
      <c r="X98" s="84"/>
      <c r="Y98" s="23"/>
      <c r="Z98" s="84"/>
      <c r="AA98" s="23"/>
      <c r="AB98" s="23"/>
      <c r="AC98" s="7"/>
      <c r="AD98" s="7"/>
      <c r="AE98" s="63" t="str">
        <f aca="false">IF(Tasks[[#This Row],[Task Name]]="","",IF(Tasks[[#This Row],[_IsSummary]],MIN(INDEX(Tasks[_ShownFcstStart],Tasks[[#This Row],[_Row]]+1):INDEX(Tasks[_ShownFcstStart],Tasks[[#This Row],[_Row]]+Tasks[[#This Row],[_Descendants]])),Tasks[[#This Row],[_ShownFcstStart]]))</f>
        <v/>
      </c>
      <c r="AF98" s="63"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8" s="7"/>
      <c r="AK98" s="22"/>
      <c r="AL98" s="23"/>
      <c r="AM98" s="7"/>
      <c r="AN98" s="47"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3" t="str">
        <f aca="false">IF(Tasks[[#This Row],[Task Name]]="","",IF(N(Tasks[[#This Row],[Baseline Start]])&gt;0,Tasks[[#This Row],[Baseline Start]],Tasks[[#This Row],[_CalcStart]]))</f>
        <v/>
      </c>
      <c r="AR98" s="63" t="str">
        <f aca="false">IF(Tasks[[#This Row],[Task Name]]="","",IF(N(Tasks[[#This Row],[Baseline Finish]])&gt;0,Tasks[[#This Row],[Baseline Finish]],Tasks[[#This Row],[_CalcFinish]]))</f>
        <v/>
      </c>
      <c r="AS98" s="47" t="str">
        <f aca="false">IF(Tasks[[#This Row],[Task Name]]="","",IF(Tasks[[#This Row],[Start]]&gt;=Tasks[[#This Row],[Planned Start]],NETWORKDAYS.INTL(Tasks[[#This Row],[Planned Start]],Tasks[[#This Row],[Start]],WorkWeek,Holidays)-1,1-NETWORKDAYS.INTL(Tasks[[#This Row],[Start]],Tasks[[#This Row],[Planned Start]],WorkWeek,Holidays)))</f>
        <v/>
      </c>
      <c r="AT98" s="63" t="str">
        <f aca="false">IF(Tasks[[#This Row],[Task Name]]="","",IF(Tasks[[#This Row],[_IsSummary]],MIN(INDEX(Tasks[_LeafLateStart],Tasks[[#This Row],[_Row]]+1):INDEX(Tasks[_LeafLateStart],Tasks[[#This Row],[_Row]]+Tasks[[#This Row],[_Descendants]])),Tasks[[#This Row],[_LeafLateStart]]))</f>
        <v/>
      </c>
      <c r="AU98" s="63" t="str">
        <f aca="false">IF(Tasks[[#This Row],[Task Name]]="","",IF(Tasks[[#This Row],[_IsSummary]],MAX(INDEX(Tasks[_LeafLateFinish],Tasks[[#This Row],[_Row]]+1):INDEX(Tasks[_LeafLateFinish],Tasks[[#This Row],[_Row]]+Tasks[[#This Row],[_Descendants]])),Tasks[[#This Row],[_LeafLateFinish]]))</f>
        <v/>
      </c>
      <c r="AV98" s="47"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5"/>
      <c r="BA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6"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7"/>
      <c r="BJ98" s="22"/>
      <c r="BK98" s="47" t="str">
        <f aca="false">IF(OR(Tasks[[#This Row],[Task Name]]="",Tasks[[#This Row],[Baseline Duration]]=""),"",Tasks[[#This Row],[_SpanDays]]-N(Tasks[[#This Row],[Baseline Duration]]))</f>
        <v/>
      </c>
      <c r="BL98" s="86" t="str">
        <f aca="false">IF(OR(Tasks[[#This Row],[Task Name]]="",Tasks[[#This Row],[Baseline Work]]=""),"",Tasks[[#This Row],[Work]]-N(Tasks[[#This Row],[Baseline Work]]))</f>
        <v/>
      </c>
      <c r="BM98" s="63" t="str">
        <f aca="false">IF(Tasks[[#This Row],[Task Name]]="","",IF(OR(TakeBaseline="Yes",N(Tasks[[#This Row],[Baseline Start]])=0),Tasks[[#This Row],[Start]],Tasks[[#This Row],[Baseline Start]]))</f>
        <v/>
      </c>
      <c r="BN98" s="63" t="str">
        <f aca="false">IF(Tasks[[#This Row],[Task Name]]="","",IF(OR(TakeBaseline="Yes",N(Tasks[[#This Row],[Baseline Finish]])=0),Tasks[[#This Row],[Finish]],Tasks[[#This Row],[Baseline Finish]]))</f>
        <v/>
      </c>
      <c r="BO98" s="21" t="str">
        <f aca="false">IF(Tasks[[#This Row],[Task Name]]="","",IF(OR(TakeBaseline="Yes",N(Tasks[[#This Row],[Baseline Duration]])=0),Tasks[[#This Row],[_SpanDays]],Tasks[[#This Row],[Baseline Duration]]))</f>
        <v/>
      </c>
      <c r="BP98" s="86" t="str">
        <f aca="false">IF(Tasks[[#This Row],[Task Name]]="","",IF(OR(TakeBaseline="Yes",N(Tasks[[#This Row],[Baseline Work]])=0),Tasks[[#This Row],[Work]],Tasks[[#This Row],[Baseline Work]]))</f>
        <v/>
      </c>
      <c r="BQ98" s="7"/>
      <c r="BR98" s="7"/>
      <c r="BS98" s="22"/>
      <c r="BT98" s="88"/>
      <c r="BU98" s="23"/>
      <c r="BV98" s="23"/>
      <c r="BW98" s="23"/>
      <c r="BX98" s="89" t="str">
        <f aca="false">IF(AND(Tasks[[#This Row],[_IsLeaf]]=1,ISNUMBER(Tasks[[#This Row],[Optimistic]]),ISNUMBER(Tasks[[#This Row],[Pessimistic]])),ROUND((Tasks[[#This Row],[Optimistic]]+4*N(Tasks[[#This Row],[_Days]])+Tasks[[#This Row],[Pessimistic]])/6,1),"")</f>
        <v/>
      </c>
      <c r="BY98" s="87"/>
      <c r="BZ98" s="87"/>
      <c r="CA98" s="22"/>
      <c r="CB98" s="43" t="str">
        <f aca="false">IF(Tasks[[#This Row],[Task Name]]="","",MAX(1,N(Tasks[[#This Row],[Level]])))</f>
        <v/>
      </c>
      <c r="CC98" s="43" t="n">
        <f aca="false">ROW()-ROW(Tasks[[#Headers],[ID]])</f>
        <v>93</v>
      </c>
      <c r="CD98" s="43" t="n">
        <f aca="false">IF(OR(Tasks[[#This Row],[Task Name]]="",Tasks[[#This Row],[_Level]]&lt;=1),0,IFERROR(LOOKUP(2,1/(Tasks[[#Headers],[_Level]]:Tasks[[#This Row],[_Level]]=Tasks[[#This Row],[_Level]]-1),ROW(Tasks[[#Headers],[_Level]]:Tasks[[#This Row],[_Level]])),0))</f>
        <v>0</v>
      </c>
      <c r="CE98" s="43" t="n">
        <f aca="false">IFERROR(N(INDEX(Tasks[_Level],Tasks[[#This Row],[_Row]]+1)),0)</f>
        <v>0</v>
      </c>
      <c r="CF98" s="90" t="b">
        <f aca="false">AND(Tasks[[#This Row],[Task Name]]&lt;&gt;"",Tasks[[#This Row],[_NextLevel]]&gt;Tasks[[#This Row],[_Level]])</f>
        <v>0</v>
      </c>
      <c r="CG98" s="43" t="n">
        <f aca="false">IF(Tasks[[#This Row],[_IsSummary]],COUNTIF(Tasks[WBS],Tasks[[#This Row],[WBS]]&amp;".*"),0)</f>
        <v>0</v>
      </c>
      <c r="CH98" s="43" t="n">
        <f aca="false">IF(AND(Tasks[[#This Row],[Task Name]]&lt;&gt;"",NOT(Tasks[[#This Row],[_IsSummary]])),1,0)</f>
        <v>0</v>
      </c>
      <c r="CI98" s="43" t="n">
        <f aca="false">IF(N(Tasks[[#This Row],[_Pred1UID]])=0,0,IFERROR(MATCH(Tasks[[#This Row],[_Pred1UID]],Tasks[UID],0),-1))</f>
        <v>0</v>
      </c>
      <c r="CJ98" s="43" t="n">
        <f aca="false">IF(N(Tasks[[#This Row],[_Pred2UID]])=0,0,IFERROR(MATCH(Tasks[[#This Row],[_Pred2UID]],Tasks[UID],0),-1))</f>
        <v>0</v>
      </c>
      <c r="CK98" s="43" t="n">
        <f aca="false">IF(N(Tasks[[#This Row],[_Pred3UID]])=0,0,IFERROR(MATCH(Tasks[[#This Row],[_Pred3UID]],Tasks[UID],0),-1))</f>
        <v>0</v>
      </c>
      <c r="CL98" s="43" t="n">
        <f aca="false">IF(N(Tasks[[#This Row],[_Pred4UID]])=0,0,IFERROR(MATCH(Tasks[[#This Row],[_Pred4UID]],Tasks[UID],0),-1))</f>
        <v>0</v>
      </c>
      <c r="CM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8" s="91" t="n">
        <f aca="false">IF(OR(Tasks[[#This Row],[_ConstraintCode]]=2,Tasks[[#This Row],[_ConstraintCode]]=3,Tasks[[#This Row],[_ConstraintCode]]=4,Tasks[[#This Row],[_ConstraintCode]]=6),Tasks[[#This Row],[_ConstraintStart]],0)</f>
        <v>0</v>
      </c>
      <c r="CP98" s="91" t="n">
        <f aca="false">IF(OR(Tasks[[#This Row],[_ConstraintCode]]=2,Tasks[[#This Row],[_ConstraintCode]]=3,Tasks[[#This Row],[_ConstraintCode]]=5,Tasks[[#This Row],[_ConstraintCode]]=7),Tasks[[#This Row],[_ConstraintStart]],2958465)</f>
        <v>2958465</v>
      </c>
      <c r="CQ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91" t="str">
        <f aca="false">IF(NOT(Tasks[[#This Row],[_IsLeaf]]=1),"",IF(N(Tasks[[#This Row],[_Days]])&lt;=0,Tasks[[#This Row],[_LeafCalcStart]],WORKDAY.INTL(Tasks[[#This Row],[_LeafCalcStart]],Tasks[[#This Row],[_Days]]-1,WorkWeek,Holidays)))</f>
        <v/>
      </c>
      <c r="CS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3" t="str">
        <f aca="false">IF(Tasks[[#This Row],[_Predecessors]]="","",TRIM(MID(SUBSTITUTE(SUBSTITUTE(SUBSTITUTE(UPPER(Tasks[[#This Row],[_Predecessors]]),";",",")," ",""),",",REPT(" ",99)),1,99)))</f>
        <v/>
      </c>
      <c r="CV98" s="43" t="str">
        <f aca="false">IF(Tasks[[#This Row],[_Pred1Text]]="","",IFERROR(VALUE(LEFT(Tasks[[#This Row],[_Pred1Text]],MIN(FIND("F",Tasks[[#This Row],[_Pred1Text]]&amp;"F"),FIND("S",Tasks[[#This Row],[_Pred1Text]]&amp;"S"),FIND("+",Tasks[[#This Row],[_Pred1Text]]&amp;"+"),FIND("-",Tasks[[#This Row],[_Pred1Text]]&amp;"-"))-1)),""))</f>
        <v/>
      </c>
      <c r="CW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3" t="str">
        <f aca="false">IF(Tasks[[#This Row],[_Pred1Text]]="","",TRIM(MID(SUBSTITUTE(SUBSTITUTE(SUBSTITUTE(UPPER(Tasks[[#This Row],[_Predecessors]]),";",",")," ",""),",",REPT(" ",99)),100,99)))</f>
        <v/>
      </c>
      <c r="CZ98" s="43" t="str">
        <f aca="false">IF(Tasks[[#This Row],[_Pred2Text]]="","",IFERROR(VALUE(LEFT(Tasks[[#This Row],[_Pred2Text]],MIN(FIND("F",Tasks[[#This Row],[_Pred2Text]]&amp;"F"),FIND("S",Tasks[[#This Row],[_Pred2Text]]&amp;"S"),FIND("+",Tasks[[#This Row],[_Pred2Text]]&amp;"+"),FIND("-",Tasks[[#This Row],[_Pred2Text]]&amp;"-"))-1)),""))</f>
        <v/>
      </c>
      <c r="DA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3" t="str">
        <f aca="false">IF(Tasks[[#This Row],[_Pred2Text]]="","",TRIM(MID(SUBSTITUTE(SUBSTITUTE(SUBSTITUTE(UPPER(Tasks[[#This Row],[_Predecessors]]),";",",")," ",""),",",REPT(" ",99)),199,99)))</f>
        <v/>
      </c>
      <c r="DD98" s="43" t="str">
        <f aca="false">IF(Tasks[[#This Row],[_Pred3Text]]="","",IFERROR(VALUE(LEFT(Tasks[[#This Row],[_Pred3Text]],MIN(FIND("F",Tasks[[#This Row],[_Pred3Text]]&amp;"F"),FIND("S",Tasks[[#This Row],[_Pred3Text]]&amp;"S"),FIND("+",Tasks[[#This Row],[_Pred3Text]]&amp;"+"),FIND("-",Tasks[[#This Row],[_Pred3Text]]&amp;"-"))-1)),""))</f>
        <v/>
      </c>
      <c r="DE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3" t="str">
        <f aca="false">IF(Tasks[[#This Row],[_Pred3Text]]="","",TRIM(MID(SUBSTITUTE(SUBSTITUTE(SUBSTITUTE(UPPER(Tasks[[#This Row],[_Predecessors]]),";",",")," ",""),",",REPT(" ",99)),298,99)))</f>
        <v/>
      </c>
      <c r="DH98" s="43" t="str">
        <f aca="false">IF(Tasks[[#This Row],[_Pred4Text]]="","",IFERROR(VALUE(LEFT(Tasks[[#This Row],[_Pred4Text]],MIN(FIND("F",Tasks[[#This Row],[_Pred4Text]]&amp;"F"),FIND("S",Tasks[[#This Row],[_Pred4Text]]&amp;"S"),FIND("+",Tasks[[#This Row],[_Pred4Text]]&amp;"+"),FIND("-",Tasks[[#This Row],[_Pred4Text]]&amp;"-"))-1)),""))</f>
        <v/>
      </c>
      <c r="DI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3" t="str">
        <f aca="false">IF(OR(Tasks[[#This Row],[Task Name]]="",Tasks[[#This Row],[_Resources]]=""),"",TRIM(MID(SUBSTITUTE(Tasks[[#This Row],[_Resources]],",",REPT(" ",99)),1,99)))</f>
        <v/>
      </c>
      <c r="DL98" s="43" t="str">
        <f aca="false">IF(Tasks[[#This Row],[_Res1Text]]="","",TRIM(MID(SUBSTITUTE(Tasks[[#This Row],[_Resources]],",",REPT(" ",99)),100,99)))</f>
        <v/>
      </c>
      <c r="DM98" s="43" t="str">
        <f aca="false">IF(Tasks[[#This Row],[_Res2Text]]="","",TRIM(MID(SUBSTITUTE(Tasks[[#This Row],[_Resources]],",",REPT(" ",99)),199,99)))</f>
        <v/>
      </c>
      <c r="DN98" s="43" t="str">
        <f aca="false">IF(Tasks[[#This Row],[_Res3Text]]="","",TRIM(MID(SUBSTITUTE(Tasks[[#This Row],[_Resources]],",",REPT(" ",99)),298,99)))</f>
        <v/>
      </c>
      <c r="DO98" s="43" t="n">
        <f aca="false">IF(Tasks[[#This Row],[_Res1Text]]="",0,IFERROR(MATCH(TRIM(LEFT(Tasks[[#This Row],[_Res1Text]],FIND("[",Tasks[[#This Row],[_Res1Text]]&amp;"[")-1)),res_Name,0),IFERROR(MATCH(TRIM(LEFT(Tasks[[#This Row],[_Res1Text]],FIND("[",Tasks[[#This Row],[_Res1Text]]&amp;"[")-1)),res_Initials,0),0)))</f>
        <v>0</v>
      </c>
      <c r="DP98" s="43" t="n">
        <f aca="false">IF(Tasks[[#This Row],[_Res2Text]]="",0,IFERROR(MATCH(TRIM(LEFT(Tasks[[#This Row],[_Res2Text]],FIND("[",Tasks[[#This Row],[_Res2Text]]&amp;"[")-1)),res_Name,0),IFERROR(MATCH(TRIM(LEFT(Tasks[[#This Row],[_Res2Text]],FIND("[",Tasks[[#This Row],[_Res2Text]]&amp;"[")-1)),res_Initials,0),0)))</f>
        <v>0</v>
      </c>
      <c r="DQ98" s="43" t="n">
        <f aca="false">IF(Tasks[[#This Row],[_Res3Text]]="",0,IFERROR(MATCH(TRIM(LEFT(Tasks[[#This Row],[_Res3Text]],FIND("[",Tasks[[#This Row],[_Res3Text]]&amp;"[")-1)),res_Name,0),IFERROR(MATCH(TRIM(LEFT(Tasks[[#This Row],[_Res3Text]],FIND("[",Tasks[[#This Row],[_Res3Text]]&amp;"[")-1)),res_Initials,0),0)))</f>
        <v>0</v>
      </c>
      <c r="DR98" s="43" t="n">
        <f aca="false">IF(Tasks[[#This Row],[_Res4Text]]="",0,IFERROR(MATCH(TRIM(LEFT(Tasks[[#This Row],[_Res4Text]],FIND("[",Tasks[[#This Row],[_Res4Text]]&amp;"[")-1)),res_Name,0),IFERROR(MATCH(TRIM(LEFT(Tasks[[#This Row],[_Res4Text]],FIND("[",Tasks[[#This Row],[_Res4Text]]&amp;"[")-1)),res_Initials,0),0)))</f>
        <v>0</v>
      </c>
      <c r="DS98" s="43" t="str">
        <f aca="false">IF(Tasks[[#This Row],[_Res1Text]]="","",IF(Tasks[[#This Row],[_Res1Row]]&gt;0,INDEX(res_Name,Tasks[[#This Row],[_Res1Row]]),TRIM(LEFT(Tasks[[#This Row],[_Res1Text]],FIND("[",Tasks[[#This Row],[_Res1Text]]&amp;"[")-1))))</f>
        <v/>
      </c>
      <c r="DT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3" t="n">
        <f aca="false">IF(NOT(Tasks[[#This Row],[_IsLeaf]]=1),0,(Tasks[[#This Row],[_Resource1]]&lt;&gt;"")+(Tasks[[#This Row],[_Res2]]&lt;&gt;"")+(Tasks[[#This Row],[_Res3]]&lt;&gt;"")+(Tasks[[#This Row],[_Res4]]&lt;&gt;""))</f>
        <v>0</v>
      </c>
      <c r="DV98" s="43" t="str">
        <f aca="false">IF(Tasks[[#This Row],[_Res2Text]]="","",IF(Tasks[[#This Row],[_Res2Row]]&gt;0,INDEX(res_Name,Tasks[[#This Row],[_Res2Row]]),TRIM(LEFT(Tasks[[#This Row],[_Res2Text]],FIND("[",Tasks[[#This Row],[_Res2Text]]&amp;"[")-1))))</f>
        <v/>
      </c>
      <c r="DW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3" t="n">
        <f aca="false">IF(OR(NOT(Tasks[[#This Row],[_IsLeaf]]=1),Tasks[[#This Row],[_Res2Row]]=0),0,N(Tasks[[#This Row],[_Days]])*HoursPerDay*IF(Tasks[[#This Row],[_Res2Units]]="",DefaultUnits,Tasks[[#This Row],[_Res2Units]]))</f>
        <v>0</v>
      </c>
      <c r="DY98" s="43" t="n">
        <f aca="false">IF(AND(AND(Tasks[[#This Row],[_IsLeaf]]=1,Tasks[[#This Row],[_LeafTotalWork]]&gt;0),Tasks[[#This Row],[_Res2Work]]&gt;0),Tasks[[#This Row],[_Res2Work]]/(Tasks[[#This Row],[_FinishWorkday]]-Tasks[[#This Row],[_StartWorkday]]+1),0)</f>
        <v>0</v>
      </c>
      <c r="DZ98" s="43" t="n">
        <f aca="false">Tasks[[#This Row],[_Res2WorkPerWD]]*MAX(0,Tasks[[#This Row],[_StartWorkday]]-1)</f>
        <v>0</v>
      </c>
      <c r="EA98" s="43" t="n">
        <f aca="false">Tasks[[#This Row],[_Res2Work]]*Tasks[[#This Row],[_LeafProgress]]</f>
        <v>0</v>
      </c>
      <c r="EB98" s="43" t="str">
        <f aca="false">IF(Tasks[[#This Row],[_Res3Text]]="","",IF(Tasks[[#This Row],[_Res3Row]]&gt;0,INDEX(res_Name,Tasks[[#This Row],[_Res3Row]]),TRIM(LEFT(Tasks[[#This Row],[_Res3Text]],FIND("[",Tasks[[#This Row],[_Res3Text]]&amp;"[")-1))))</f>
        <v/>
      </c>
      <c r="EC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3" t="n">
        <f aca="false">IF(OR(NOT(Tasks[[#This Row],[_IsLeaf]]=1),Tasks[[#This Row],[_Res3Row]]=0),0,N(Tasks[[#This Row],[_Days]])*HoursPerDay*IF(Tasks[[#This Row],[_Res3Units]]="",DefaultUnits,Tasks[[#This Row],[_Res3Units]]))</f>
        <v>0</v>
      </c>
      <c r="EE98" s="43" t="n">
        <f aca="false">IF(AND(AND(Tasks[[#This Row],[_IsLeaf]]=1,Tasks[[#This Row],[_LeafTotalWork]]&gt;0),Tasks[[#This Row],[_Res3Work]]&gt;0),Tasks[[#This Row],[_Res3Work]]/(Tasks[[#This Row],[_FinishWorkday]]-Tasks[[#This Row],[_StartWorkday]]+1),0)</f>
        <v>0</v>
      </c>
      <c r="EF98" s="43" t="n">
        <f aca="false">Tasks[[#This Row],[_Res3WorkPerWD]]*MAX(0,Tasks[[#This Row],[_StartWorkday]]-1)</f>
        <v>0</v>
      </c>
      <c r="EG98" s="43" t="n">
        <f aca="false">Tasks[[#This Row],[_Res3Work]]*Tasks[[#This Row],[_LeafProgress]]</f>
        <v>0</v>
      </c>
      <c r="EH98" s="43" t="str">
        <f aca="false">IF(Tasks[[#This Row],[_Res4Text]]="","",IF(Tasks[[#This Row],[_Res4Row]]&gt;0,INDEX(res_Name,Tasks[[#This Row],[_Res4Row]]),TRIM(LEFT(Tasks[[#This Row],[_Res4Text]],FIND("[",Tasks[[#This Row],[_Res4Text]]&amp;"[")-1))))</f>
        <v/>
      </c>
      <c r="EI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3" t="n">
        <f aca="false">IF(OR(NOT(Tasks[[#This Row],[_IsLeaf]]=1),Tasks[[#This Row],[_Res4Row]]=0),0,N(Tasks[[#This Row],[_Days]])*HoursPerDay*IF(Tasks[[#This Row],[_Res4Units]]="",DefaultUnits,Tasks[[#This Row],[_Res4Units]]))</f>
        <v>0</v>
      </c>
      <c r="EK98" s="43" t="n">
        <f aca="false">IF(AND(AND(Tasks[[#This Row],[_IsLeaf]]=1,Tasks[[#This Row],[_LeafTotalWork]]&gt;0),Tasks[[#This Row],[_Res4Work]]&gt;0),Tasks[[#This Row],[_Res4Work]]/(Tasks[[#This Row],[_FinishWorkday]]-Tasks[[#This Row],[_StartWorkday]]+1),0)</f>
        <v>0</v>
      </c>
      <c r="EL98" s="43" t="n">
        <f aca="false">Tasks[[#This Row],[_Res4WorkPerWD]]*MAX(0,Tasks[[#This Row],[_StartWorkday]]-1)</f>
        <v>0</v>
      </c>
      <c r="EM98" s="43" t="n">
        <f aca="false">Tasks[[#This Row],[_Res4Work]]*Tasks[[#This Row],[_LeafProgress]]</f>
        <v>0</v>
      </c>
      <c r="EN98" s="43" t="n">
        <f aca="false">IF(ISNUMBER(Tasks[[#This Row],[% Complete]]),Tasks[[#This Row],[% Complete]],IF(Tasks[[#This Row],[Stage]]="",0,IFERROR(INDEX(stg_Pct,MATCH(Tasks[[#This Row],[Stage]],stg_Name,0)),0)))</f>
        <v>0</v>
      </c>
      <c r="EO98" s="43" t="n">
        <f aca="false">IF(NOT(Tasks[[#This Row],[_IsLeaf]]=1),0,IF(N(Tasks[[#This Row],[Actual Finish]])&gt;0,1,MIN(1,Tasks[[#This Row],[_Pct]])))</f>
        <v>0</v>
      </c>
      <c r="EP98" s="43" t="n">
        <f aca="false">IF(OR(NOT(Tasks[[#This Row],[_IsLeaf]]=1),Tasks[[#This Row],[_Res1Row]]=0),0,N(Tasks[[#This Row],[_Days]])*HoursPerDay*IF(Tasks[[#This Row],[_Units1]]="",DefaultUnits,Tasks[[#This Row],[_Units1]]))</f>
        <v>0</v>
      </c>
      <c r="EQ98" s="43" t="n">
        <f aca="false">Tasks[[#This Row],[_LeafWork]]+Tasks[[#This Row],[_Res2Work]]+Tasks[[#This Row],[_Res3Work]]+Tasks[[#This Row],[_Res4Work]]</f>
        <v>0</v>
      </c>
      <c r="ER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3" t="n">
        <f aca="false">IF(NOT(Tasks[[#This Row],[_IsLeaf]]=1),0,MAX(_xlfn.MAXIFS(Tasks[_Row],Tasks[_Pred1UID],Tasks[[#This Row],[UID]]),_xlfn.MAXIFS(Tasks[_Row],Tasks[_Pred2UID],Tasks[[#This Row],[UID]]),_xlfn.MAXIFS(Tasks[_Row],Tasks[_Pred3UID],Tasks[[#This Row],[UID]]),_xlfn.MAXIFS(Tasks[_Row],Tasks[_Pred4UID],Tasks[[#This Row],[UID]])))</f>
        <v>0</v>
      </c>
      <c r="FA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91" t="str">
        <f aca="false">IF(NOT(Tasks[[#This Row],[_IsLeaf]]=1),"",IF(N(Tasks[[#This Row],[_Days]])&lt;=0,Tasks[[#This Row],[_LeafLateFinish]],WORKDAY.INTL(Tasks[[#This Row],[_LeafLateFinish]],-(Tasks[[#This Row],[_Days]]-1),WorkWeek,Holidays)))</f>
        <v/>
      </c>
      <c r="FD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8" s="90" t="b">
        <f aca="false">AND(Tasks[[#This Row],[_IsLeaf]]=1,Tasks[[#This Row],[_LeafProgress]]&lt;1,N(Tasks[[#This Row],[_LeafTotalSlack]])&lt;=CriticalSlackDays)</f>
        <v>0</v>
      </c>
      <c r="FF98" s="43" t="n">
        <f aca="false">IF(AND(Tasks[[#This Row],[_IsLeaf]]=1,Tasks[[#This Row],[_ConstraintCode]]=1,Tasks[[#This Row],[Mode]]&lt;&gt;"Manual",N(Tasks[[#This Row],[Actual Start]])=0),MAX(0,N(Tasks[[#This Row],[Free Slack]])),0)</f>
        <v>0</v>
      </c>
      <c r="FG98" s="91" t="str">
        <f aca="false">IF(NOT(Tasks[[#This Row],[_IsLeaf]]=1),"",IF(Tasks[[#This Row],[_AlapShift]]=0,Tasks[[#This Row],[_LeafCalcStart]],WORKDAY.INTL(Tasks[[#This Row],[_LeafCalcStart]],Tasks[[#This Row],[_AlapShift]],WorkWeek,Holidays)))</f>
        <v/>
      </c>
      <c r="FH98" s="91" t="str">
        <f aca="false">IF(NOT(Tasks[[#This Row],[_IsLeaf]]=1),"",IF(Tasks[[#This Row],[_AlapShift]]=0,Tasks[[#This Row],[_LeafCalcFinish]],WORKDAY.INTL(Tasks[[#This Row],[_LeafCalcFinish]],Tasks[[#This Row],[_AlapShift]],WorkWeek,Holidays)))</f>
        <v/>
      </c>
      <c r="FI98" s="91" t="str">
        <f aca="false">IF(NOT(Tasks[[#This Row],[_IsLeaf]]=1),"",IF(Tasks[[#This Row],[_AlapShift]]=0,Tasks[[#This Row],[_LeafFcstStart]],WORKDAY.INTL(Tasks[[#This Row],[_LeafFcstStart]],Tasks[[#This Row],[_AlapShift]],WorkWeek,Holidays)))</f>
        <v/>
      </c>
      <c r="FJ98" s="91" t="str">
        <f aca="false">IF(NOT(Tasks[[#This Row],[_IsLeaf]]=1),"",IF(Tasks[[#This Row],[_AlapShift]]=0,Tasks[[#This Row],[_LeafFcstFinish]],WORKDAY.INTL(Tasks[[#This Row],[_LeafFcstFinish]],Tasks[[#This Row],[_AlapShift]],WorkWeek,Holidays)))</f>
        <v/>
      </c>
      <c r="FK98" s="91" t="str">
        <f aca="false">IF(Tasks[[#This Row],[Task Name]]="","",IF(Tasks[[#This Row],[_IsSummary]],MIN(INDEX(Tasks[_ShownCalcStart],Tasks[[#This Row],[_Row]]+1):INDEX(Tasks[_ShownCalcStart],Tasks[[#This Row],[_Row]]+Tasks[[#This Row],[_Descendants]])),Tasks[[#This Row],[_ShownCalcStart]]))</f>
        <v/>
      </c>
      <c r="FL98" s="91" t="str">
        <f aca="false">IF(Tasks[[#This Row],[Task Name]]="","",IF(Tasks[[#This Row],[_IsSummary]],MAX(INDEX(Tasks[_ShownCalcFinish],Tasks[[#This Row],[_Row]]+1):INDEX(Tasks[_ShownCalcFinish],Tasks[[#This Row],[_Row]]+Tasks[[#This Row],[_Descendants]])),Tasks[[#This Row],[_ShownCalcFinish]]))</f>
        <v/>
      </c>
      <c r="FM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8" s="43" t="n">
        <f aca="false">IF(AND(Tasks[[#This Row],[_IsLeaf]]=1,Tasks[[#This Row],[_LeafTotalWork]]&gt;0),NETWORKDAYS.INTL(ProjectStart,Tasks[[#This Row],[_ShownFcstStart]],WorkWeek,Holidays),0)</f>
        <v>0</v>
      </c>
      <c r="FZ98" s="43" t="n">
        <f aca="false">IF(AND(Tasks[[#This Row],[_IsLeaf]]=1,Tasks[[#This Row],[_LeafTotalWork]]&gt;0),MAX(Tasks[[#This Row],[_StartWorkday]],NETWORKDAYS.INTL(ProjectStart,Tasks[[#This Row],[_ShownFcstFinish]],WorkWeek,Holidays)),0)</f>
        <v>0</v>
      </c>
      <c r="GA98" s="43" t="n">
        <f aca="false">IF(AND(Tasks[[#This Row],[_IsLeaf]]=1,Tasks[[#This Row],[_LeafTotalWork]]&gt;0),Tasks[[#This Row],[_LeafWork]]/(Tasks[[#This Row],[_FinishWorkday]]-Tasks[[#This Row],[_StartWorkday]]+1),0)</f>
        <v>0</v>
      </c>
      <c r="GB98" s="43" t="n">
        <f aca="false">Tasks[[#This Row],[_WorkPerWorkday]]*(Tasks[[#This Row],[_StartWorkday]]-1)</f>
        <v>-0</v>
      </c>
      <c r="GC98" s="43" t="n">
        <f aca="false">IF(Tasks[[#This Row],[_IsLeaf]]=1,MAX(N(Tasks[[#This Row],[_Days]]),0.1),0)</f>
        <v>0</v>
      </c>
      <c r="GD98" s="43" t="n">
        <f aca="false">Tasks[[#This Row],[_WeightDur]]*Tasks[[#This Row],[_LeafProgress]]</f>
        <v>0</v>
      </c>
      <c r="GE98" s="43" t="n">
        <f aca="false">Tasks[[#This Row],[_WeightDur]]*Tasks[[#This Row],[_PlannedPct]]</f>
        <v>0</v>
      </c>
      <c r="GF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3" t="str">
        <f aca="false">IF(AND(Tasks[[#This Row],[_IsLeaf]]=1,N(Tasks[[#This Row],[_Days]])=0,Tasks[[#This Row],[_LeafProgress]]&lt;1),Tasks[[#This Row],[_ShownFcstFinish]]+Tasks[[#This Row],[_Row]]/100000,"")</f>
        <v/>
      </c>
      <c r="GH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8" s="43" t="str">
        <f aca="false">IF(Tasks[[#This Row],[Task Name]]="","",LEFT(Tasks[[#This Row],[WBS]],FIND(".",Tasks[[#This Row],[WBS]]&amp;".")-1))</f>
        <v/>
      </c>
      <c r="GJ98" s="43" t="str">
        <f aca="false">IF(AND(Tasks[[#This Row],[Task Name]]&lt;&gt;"",Tasks[[#This Row],[_Level]]=1),Tasks[[#This Row],[_Row]],"")</f>
        <v/>
      </c>
      <c r="GK98" s="43" t="str">
        <f aca="false">IF(AND(Tasks[[#This Row],[_IsLeaf]]=1,N(Tasks[[#This Row],[_Days]])=0),Tasks[[#This Row],[Planned Finish]]+Tasks[[#This Row],[_Row]]/100000,"")</f>
        <v/>
      </c>
      <c r="GL98" s="43" t="str">
        <f aca="false">IF(AND(Tasks[[#This Row],[_IsLeaf]]=1,Tasks[[#This Row],[_LeafProgress]]&lt;1,OR(N(Tasks[[#This Row],[Finish Var]])&gt;0,Tasks[[#This Row],[Status]]="Late Start")),MAX(0,Tasks[[#This Row],[Finish Var]])+1-Tasks[[#This Row],[_Row]]/1000000,"")</f>
        <v/>
      </c>
      <c r="GM98" s="43" t="str">
        <f aca="false">IF(AND(Tasks[[#This Row],[_IsLeaf]]=1,N(Tasks[[#This Row],[Actual Start]])=0,Tasks[[#This Row],[_ShownFcstStart]]&gt;=StatusDate,Tasks[[#This Row],[_ShownFcstStart]]&lt;=LookaheadEnd),Tasks[[#This Row],[_ShownFcstStart]]+Tasks[[#This Row],[_Row]]/100000,"")</f>
        <v/>
      </c>
      <c r="GN98" s="43" t="str">
        <f aca="false">IF(AND(Tasks[[#This Row],[_IsLeaf]]=1,Tasks[[#This Row],[_LeafProgress]]&lt;1,Tasks[[#This Row],[_ShownFcstFinish]]&gt;=StatusDate,Tasks[[#This Row],[_ShownFcstFinish]]&lt;=LookaheadEnd),Tasks[[#This Row],[_ShownFcstFinish]]+Tasks[[#This Row],[_Row]]/100000,"")</f>
        <v/>
      </c>
      <c r="GO98" s="43" t="str">
        <f aca="false">IF(Tasks[[#This Row],[_LeafCritical]],Tasks[[#This Row],[_ShownFcstStart]]+Tasks[[#This Row],[_Row]]/100000,"")</f>
        <v/>
      </c>
      <c r="GP98" s="43" t="n">
        <f aca="false">Tasks[[#This Row],[_LeafWork]]*Tasks[[#This Row],[_LeafProgress]]</f>
        <v>0</v>
      </c>
      <c r="GQ98" s="91" t="str">
        <f aca="false">IF(AND(Tasks[[#This Row],[_IsLeaf]]=1,Tasks[[#This Row],[_LeafProgress]]&gt;=1),IF(N(Tasks[[#This Row],[Actual Finish]])&gt;0,Tasks[[#This Row],[Actual Finish]],Tasks[[#This Row],[_ShownFcstFinish]]),"")</f>
        <v/>
      </c>
      <c r="GR98" s="43" t="n">
        <f aca="false">IF(Tasks[[#This Row],[_IsLeaf]]=1,N(Tasks[[#This Row],[Story Points]]),0)</f>
        <v>0</v>
      </c>
      <c r="GS98" s="43" t="str">
        <f aca="false">""</f>
        <v/>
      </c>
      <c r="GT98" s="90" t="b">
        <f aca="false">IF(Tasks[[#This Row],[Task Name]]="",FALSE(),AND(Tasks[[#This Row],[_IsLeaf]]=1,N(Tasks[[#This Row],[_Days]])=0))</f>
        <v>0</v>
      </c>
      <c r="GU98" s="91" t="n">
        <f aca="false">IF(Tasks[[#This Row],[Task Name]]="",0,IF(AND(Tasks[[#This Row],[_IsLeaf]]=1,NOT(Tasks[[#This Row],[_IsMilestone]]),N(Tasks[[#This Row],[Progress]])&gt;0),Tasks[[#This Row],[Start]],0))</f>
        <v>0</v>
      </c>
      <c r="GV98" s="91" t="n">
        <f aca="false">IF(Tasks[[#This Row],[_DoneFrom]]=0,0,IF(Tasks[[#This Row],[Progress]]&gt;=1,Tasks[[#This Row],[Finish]],MAX(Tasks[[#This Row],[_DoneFrom]],Tasks[[#This Row],[Start]]+ROUND((Tasks[[#This Row],[Finish]]-Tasks[[#This Row],[Start]]+1)*Tasks[[#This Row],[Progress]],0)-1)))</f>
        <v>0</v>
      </c>
      <c r="GW98" s="91" t="n">
        <f aca="false">IF(Tasks[[#This Row],[Task Name]]="",0,IF(OR(NOT(Tasks[[#This Row],[_IsLeaf]]=1),Tasks[[#This Row],[_IsMilestone]],N(Tasks[[#This Row],[Progress]])&gt;=1),0,IF(Tasks[[#This Row],[_DoneTo]]&gt;0,Tasks[[#This Row],[_DoneTo]]+1,Tasks[[#This Row],[Start]])))</f>
        <v>0</v>
      </c>
      <c r="GX98" s="91" t="n">
        <f aca="false">IF(Tasks[[#This Row],[_RemFrom]]=0,0,Tasks[[#This Row],[Finish]])</f>
        <v>0</v>
      </c>
      <c r="GY98" s="90" t="b">
        <f aca="false">IF(Tasks[[#This Row],[Task Name]]="",FALSE(),OR(NOT(BaselineSet),N(Tasks[[#This Row],[Baseline Start]])&gt;0))</f>
        <v>0</v>
      </c>
      <c r="GZ9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92" t="str">
        <f aca="false">IF(Tasks[[#This Row],[_IsLeaf]]=1,Tasks[[#This Row],[_Row]],"")</f>
        <v/>
      </c>
      <c r="HD98" s="92" t="str">
        <f aca="false">IFERROR(INDEX(Tasks[UID],SMALL(Tasks[_PickKey],Tasks[[#This Row],[_Row]]))&amp;" "&amp;INDEX(Tasks[Task Name],SMALL(Tasks[_PickKey],Tasks[[#This Row],[_Row]])),"")</f>
        <v/>
      </c>
      <c r="HE98" s="43" t="str">
        <f aca="false">IF(Tasks[[#This Row],[Task Name]]="","",IF(Tasks[[#This Row],[_IsSummary]],NETWORKDAYS.INTL(Tasks[[#This Row],[Start]],Tasks[[#This Row],[Finish]],WorkWeek,Holidays),N(Tasks[[#This Row],[_Days]])))</f>
        <v/>
      </c>
      <c r="HF98" s="43" t="n">
        <f aca="false">IF(Tasks[[#This Row],[Expected]]="",0,((Tasks[[#This Row],[Pessimistic]]-Tasks[[#This Row],[Optimistic]])/6)^2)</f>
        <v>0</v>
      </c>
      <c r="HG98" s="43" t="n">
        <f aca="false">IF(Tasks[[#This Row],[Expected]]="",0,Tasks[[#This Row],[Expected]]-N(Tasks[[#This Row],[_Days]]))</f>
        <v>0</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4"/>
      <c r="U99" s="23"/>
      <c r="V99" s="84"/>
      <c r="W99" s="23"/>
      <c r="X99" s="84"/>
      <c r="Y99" s="23"/>
      <c r="Z99" s="84"/>
      <c r="AA99" s="23"/>
      <c r="AB99" s="23"/>
      <c r="AC99" s="7"/>
      <c r="AD99" s="7"/>
      <c r="AE99" s="63" t="str">
        <f aca="false">IF(Tasks[[#This Row],[Task Name]]="","",IF(Tasks[[#This Row],[_IsSummary]],MIN(INDEX(Tasks[_ShownFcstStart],Tasks[[#This Row],[_Row]]+1):INDEX(Tasks[_ShownFcstStart],Tasks[[#This Row],[_Row]]+Tasks[[#This Row],[_Descendants]])),Tasks[[#This Row],[_ShownFcstStart]]))</f>
        <v/>
      </c>
      <c r="AF99" s="63"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9" s="7"/>
      <c r="AK99" s="22"/>
      <c r="AL99" s="23"/>
      <c r="AM99" s="7"/>
      <c r="AN99" s="47"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3" t="str">
        <f aca="false">IF(Tasks[[#This Row],[Task Name]]="","",IF(N(Tasks[[#This Row],[Baseline Start]])&gt;0,Tasks[[#This Row],[Baseline Start]],Tasks[[#This Row],[_CalcStart]]))</f>
        <v/>
      </c>
      <c r="AR99" s="63" t="str">
        <f aca="false">IF(Tasks[[#This Row],[Task Name]]="","",IF(N(Tasks[[#This Row],[Baseline Finish]])&gt;0,Tasks[[#This Row],[Baseline Finish]],Tasks[[#This Row],[_CalcFinish]]))</f>
        <v/>
      </c>
      <c r="AS99" s="47" t="str">
        <f aca="false">IF(Tasks[[#This Row],[Task Name]]="","",IF(Tasks[[#This Row],[Start]]&gt;=Tasks[[#This Row],[Planned Start]],NETWORKDAYS.INTL(Tasks[[#This Row],[Planned Start]],Tasks[[#This Row],[Start]],WorkWeek,Holidays)-1,1-NETWORKDAYS.INTL(Tasks[[#This Row],[Start]],Tasks[[#This Row],[Planned Start]],WorkWeek,Holidays)))</f>
        <v/>
      </c>
      <c r="AT99" s="63" t="str">
        <f aca="false">IF(Tasks[[#This Row],[Task Name]]="","",IF(Tasks[[#This Row],[_IsSummary]],MIN(INDEX(Tasks[_LeafLateStart],Tasks[[#This Row],[_Row]]+1):INDEX(Tasks[_LeafLateStart],Tasks[[#This Row],[_Row]]+Tasks[[#This Row],[_Descendants]])),Tasks[[#This Row],[_LeafLateStart]]))</f>
        <v/>
      </c>
      <c r="AU99" s="63" t="str">
        <f aca="false">IF(Tasks[[#This Row],[Task Name]]="","",IF(Tasks[[#This Row],[_IsSummary]],MAX(INDEX(Tasks[_LeafLateFinish],Tasks[[#This Row],[_Row]]+1):INDEX(Tasks[_LeafLateFinish],Tasks[[#This Row],[_Row]]+Tasks[[#This Row],[_Descendants]])),Tasks[[#This Row],[_LeafLateFinish]]))</f>
        <v/>
      </c>
      <c r="AV99" s="47"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5"/>
      <c r="BA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6"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7"/>
      <c r="BJ99" s="22"/>
      <c r="BK99" s="47" t="str">
        <f aca="false">IF(OR(Tasks[[#This Row],[Task Name]]="",Tasks[[#This Row],[Baseline Duration]]=""),"",Tasks[[#This Row],[_SpanDays]]-N(Tasks[[#This Row],[Baseline Duration]]))</f>
        <v/>
      </c>
      <c r="BL99" s="86" t="str">
        <f aca="false">IF(OR(Tasks[[#This Row],[Task Name]]="",Tasks[[#This Row],[Baseline Work]]=""),"",Tasks[[#This Row],[Work]]-N(Tasks[[#This Row],[Baseline Work]]))</f>
        <v/>
      </c>
      <c r="BM99" s="63" t="str">
        <f aca="false">IF(Tasks[[#This Row],[Task Name]]="","",IF(OR(TakeBaseline="Yes",N(Tasks[[#This Row],[Baseline Start]])=0),Tasks[[#This Row],[Start]],Tasks[[#This Row],[Baseline Start]]))</f>
        <v/>
      </c>
      <c r="BN99" s="63" t="str">
        <f aca="false">IF(Tasks[[#This Row],[Task Name]]="","",IF(OR(TakeBaseline="Yes",N(Tasks[[#This Row],[Baseline Finish]])=0),Tasks[[#This Row],[Finish]],Tasks[[#This Row],[Baseline Finish]]))</f>
        <v/>
      </c>
      <c r="BO99" s="21" t="str">
        <f aca="false">IF(Tasks[[#This Row],[Task Name]]="","",IF(OR(TakeBaseline="Yes",N(Tasks[[#This Row],[Baseline Duration]])=0),Tasks[[#This Row],[_SpanDays]],Tasks[[#This Row],[Baseline Duration]]))</f>
        <v/>
      </c>
      <c r="BP99" s="86" t="str">
        <f aca="false">IF(Tasks[[#This Row],[Task Name]]="","",IF(OR(TakeBaseline="Yes",N(Tasks[[#This Row],[Baseline Work]])=0),Tasks[[#This Row],[Work]],Tasks[[#This Row],[Baseline Work]]))</f>
        <v/>
      </c>
      <c r="BQ99" s="7"/>
      <c r="BR99" s="7"/>
      <c r="BS99" s="22"/>
      <c r="BT99" s="88"/>
      <c r="BU99" s="23"/>
      <c r="BV99" s="23"/>
      <c r="BW99" s="23"/>
      <c r="BX99" s="89" t="str">
        <f aca="false">IF(AND(Tasks[[#This Row],[_IsLeaf]]=1,ISNUMBER(Tasks[[#This Row],[Optimistic]]),ISNUMBER(Tasks[[#This Row],[Pessimistic]])),ROUND((Tasks[[#This Row],[Optimistic]]+4*N(Tasks[[#This Row],[_Days]])+Tasks[[#This Row],[Pessimistic]])/6,1),"")</f>
        <v/>
      </c>
      <c r="BY99" s="87"/>
      <c r="BZ99" s="87"/>
      <c r="CA99" s="22"/>
      <c r="CB99" s="43" t="str">
        <f aca="false">IF(Tasks[[#This Row],[Task Name]]="","",MAX(1,N(Tasks[[#This Row],[Level]])))</f>
        <v/>
      </c>
      <c r="CC99" s="43" t="n">
        <f aca="false">ROW()-ROW(Tasks[[#Headers],[ID]])</f>
        <v>94</v>
      </c>
      <c r="CD99" s="43" t="n">
        <f aca="false">IF(OR(Tasks[[#This Row],[Task Name]]="",Tasks[[#This Row],[_Level]]&lt;=1),0,IFERROR(LOOKUP(2,1/(Tasks[[#Headers],[_Level]]:Tasks[[#This Row],[_Level]]=Tasks[[#This Row],[_Level]]-1),ROW(Tasks[[#Headers],[_Level]]:Tasks[[#This Row],[_Level]])),0))</f>
        <v>0</v>
      </c>
      <c r="CE99" s="43" t="n">
        <f aca="false">IFERROR(N(INDEX(Tasks[_Level],Tasks[[#This Row],[_Row]]+1)),0)</f>
        <v>0</v>
      </c>
      <c r="CF99" s="90" t="b">
        <f aca="false">AND(Tasks[[#This Row],[Task Name]]&lt;&gt;"",Tasks[[#This Row],[_NextLevel]]&gt;Tasks[[#This Row],[_Level]])</f>
        <v>0</v>
      </c>
      <c r="CG99" s="43" t="n">
        <f aca="false">IF(Tasks[[#This Row],[_IsSummary]],COUNTIF(Tasks[WBS],Tasks[[#This Row],[WBS]]&amp;".*"),0)</f>
        <v>0</v>
      </c>
      <c r="CH99" s="43" t="n">
        <f aca="false">IF(AND(Tasks[[#This Row],[Task Name]]&lt;&gt;"",NOT(Tasks[[#This Row],[_IsSummary]])),1,0)</f>
        <v>0</v>
      </c>
      <c r="CI99" s="43" t="n">
        <f aca="false">IF(N(Tasks[[#This Row],[_Pred1UID]])=0,0,IFERROR(MATCH(Tasks[[#This Row],[_Pred1UID]],Tasks[UID],0),-1))</f>
        <v>0</v>
      </c>
      <c r="CJ99" s="43" t="n">
        <f aca="false">IF(N(Tasks[[#This Row],[_Pred2UID]])=0,0,IFERROR(MATCH(Tasks[[#This Row],[_Pred2UID]],Tasks[UID],0),-1))</f>
        <v>0</v>
      </c>
      <c r="CK99" s="43" t="n">
        <f aca="false">IF(N(Tasks[[#This Row],[_Pred3UID]])=0,0,IFERROR(MATCH(Tasks[[#This Row],[_Pred3UID]],Tasks[UID],0),-1))</f>
        <v>0</v>
      </c>
      <c r="CL99" s="43" t="n">
        <f aca="false">IF(N(Tasks[[#This Row],[_Pred4UID]])=0,0,IFERROR(MATCH(Tasks[[#This Row],[_Pred4UID]],Tasks[UID],0),-1))</f>
        <v>0</v>
      </c>
      <c r="CM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9" s="91" t="n">
        <f aca="false">IF(OR(Tasks[[#This Row],[_ConstraintCode]]=2,Tasks[[#This Row],[_ConstraintCode]]=3,Tasks[[#This Row],[_ConstraintCode]]=4,Tasks[[#This Row],[_ConstraintCode]]=6),Tasks[[#This Row],[_ConstraintStart]],0)</f>
        <v>0</v>
      </c>
      <c r="CP99" s="91" t="n">
        <f aca="false">IF(OR(Tasks[[#This Row],[_ConstraintCode]]=2,Tasks[[#This Row],[_ConstraintCode]]=3,Tasks[[#This Row],[_ConstraintCode]]=5,Tasks[[#This Row],[_ConstraintCode]]=7),Tasks[[#This Row],[_ConstraintStart]],2958465)</f>
        <v>2958465</v>
      </c>
      <c r="CQ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91" t="str">
        <f aca="false">IF(NOT(Tasks[[#This Row],[_IsLeaf]]=1),"",IF(N(Tasks[[#This Row],[_Days]])&lt;=0,Tasks[[#This Row],[_LeafCalcStart]],WORKDAY.INTL(Tasks[[#This Row],[_LeafCalcStart]],Tasks[[#This Row],[_Days]]-1,WorkWeek,Holidays)))</f>
        <v/>
      </c>
      <c r="CS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3" t="str">
        <f aca="false">IF(Tasks[[#This Row],[_Predecessors]]="","",TRIM(MID(SUBSTITUTE(SUBSTITUTE(SUBSTITUTE(UPPER(Tasks[[#This Row],[_Predecessors]]),";",",")," ",""),",",REPT(" ",99)),1,99)))</f>
        <v/>
      </c>
      <c r="CV99" s="43" t="str">
        <f aca="false">IF(Tasks[[#This Row],[_Pred1Text]]="","",IFERROR(VALUE(LEFT(Tasks[[#This Row],[_Pred1Text]],MIN(FIND("F",Tasks[[#This Row],[_Pred1Text]]&amp;"F"),FIND("S",Tasks[[#This Row],[_Pred1Text]]&amp;"S"),FIND("+",Tasks[[#This Row],[_Pred1Text]]&amp;"+"),FIND("-",Tasks[[#This Row],[_Pred1Text]]&amp;"-"))-1)),""))</f>
        <v/>
      </c>
      <c r="CW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3" t="str">
        <f aca="false">IF(Tasks[[#This Row],[_Pred1Text]]="","",TRIM(MID(SUBSTITUTE(SUBSTITUTE(SUBSTITUTE(UPPER(Tasks[[#This Row],[_Predecessors]]),";",",")," ",""),",",REPT(" ",99)),100,99)))</f>
        <v/>
      </c>
      <c r="CZ99" s="43" t="str">
        <f aca="false">IF(Tasks[[#This Row],[_Pred2Text]]="","",IFERROR(VALUE(LEFT(Tasks[[#This Row],[_Pred2Text]],MIN(FIND("F",Tasks[[#This Row],[_Pred2Text]]&amp;"F"),FIND("S",Tasks[[#This Row],[_Pred2Text]]&amp;"S"),FIND("+",Tasks[[#This Row],[_Pred2Text]]&amp;"+"),FIND("-",Tasks[[#This Row],[_Pred2Text]]&amp;"-"))-1)),""))</f>
        <v/>
      </c>
      <c r="DA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3" t="str">
        <f aca="false">IF(Tasks[[#This Row],[_Pred2Text]]="","",TRIM(MID(SUBSTITUTE(SUBSTITUTE(SUBSTITUTE(UPPER(Tasks[[#This Row],[_Predecessors]]),";",",")," ",""),",",REPT(" ",99)),199,99)))</f>
        <v/>
      </c>
      <c r="DD99" s="43" t="str">
        <f aca="false">IF(Tasks[[#This Row],[_Pred3Text]]="","",IFERROR(VALUE(LEFT(Tasks[[#This Row],[_Pred3Text]],MIN(FIND("F",Tasks[[#This Row],[_Pred3Text]]&amp;"F"),FIND("S",Tasks[[#This Row],[_Pred3Text]]&amp;"S"),FIND("+",Tasks[[#This Row],[_Pred3Text]]&amp;"+"),FIND("-",Tasks[[#This Row],[_Pred3Text]]&amp;"-"))-1)),""))</f>
        <v/>
      </c>
      <c r="DE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3" t="str">
        <f aca="false">IF(Tasks[[#This Row],[_Pred3Text]]="","",TRIM(MID(SUBSTITUTE(SUBSTITUTE(SUBSTITUTE(UPPER(Tasks[[#This Row],[_Predecessors]]),";",",")," ",""),",",REPT(" ",99)),298,99)))</f>
        <v/>
      </c>
      <c r="DH99" s="43" t="str">
        <f aca="false">IF(Tasks[[#This Row],[_Pred4Text]]="","",IFERROR(VALUE(LEFT(Tasks[[#This Row],[_Pred4Text]],MIN(FIND("F",Tasks[[#This Row],[_Pred4Text]]&amp;"F"),FIND("S",Tasks[[#This Row],[_Pred4Text]]&amp;"S"),FIND("+",Tasks[[#This Row],[_Pred4Text]]&amp;"+"),FIND("-",Tasks[[#This Row],[_Pred4Text]]&amp;"-"))-1)),""))</f>
        <v/>
      </c>
      <c r="DI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3" t="str">
        <f aca="false">IF(OR(Tasks[[#This Row],[Task Name]]="",Tasks[[#This Row],[_Resources]]=""),"",TRIM(MID(SUBSTITUTE(Tasks[[#This Row],[_Resources]],",",REPT(" ",99)),1,99)))</f>
        <v/>
      </c>
      <c r="DL99" s="43" t="str">
        <f aca="false">IF(Tasks[[#This Row],[_Res1Text]]="","",TRIM(MID(SUBSTITUTE(Tasks[[#This Row],[_Resources]],",",REPT(" ",99)),100,99)))</f>
        <v/>
      </c>
      <c r="DM99" s="43" t="str">
        <f aca="false">IF(Tasks[[#This Row],[_Res2Text]]="","",TRIM(MID(SUBSTITUTE(Tasks[[#This Row],[_Resources]],",",REPT(" ",99)),199,99)))</f>
        <v/>
      </c>
      <c r="DN99" s="43" t="str">
        <f aca="false">IF(Tasks[[#This Row],[_Res3Text]]="","",TRIM(MID(SUBSTITUTE(Tasks[[#This Row],[_Resources]],",",REPT(" ",99)),298,99)))</f>
        <v/>
      </c>
      <c r="DO99" s="43" t="n">
        <f aca="false">IF(Tasks[[#This Row],[_Res1Text]]="",0,IFERROR(MATCH(TRIM(LEFT(Tasks[[#This Row],[_Res1Text]],FIND("[",Tasks[[#This Row],[_Res1Text]]&amp;"[")-1)),res_Name,0),IFERROR(MATCH(TRIM(LEFT(Tasks[[#This Row],[_Res1Text]],FIND("[",Tasks[[#This Row],[_Res1Text]]&amp;"[")-1)),res_Initials,0),0)))</f>
        <v>0</v>
      </c>
      <c r="DP99" s="43" t="n">
        <f aca="false">IF(Tasks[[#This Row],[_Res2Text]]="",0,IFERROR(MATCH(TRIM(LEFT(Tasks[[#This Row],[_Res2Text]],FIND("[",Tasks[[#This Row],[_Res2Text]]&amp;"[")-1)),res_Name,0),IFERROR(MATCH(TRIM(LEFT(Tasks[[#This Row],[_Res2Text]],FIND("[",Tasks[[#This Row],[_Res2Text]]&amp;"[")-1)),res_Initials,0),0)))</f>
        <v>0</v>
      </c>
      <c r="DQ99" s="43" t="n">
        <f aca="false">IF(Tasks[[#This Row],[_Res3Text]]="",0,IFERROR(MATCH(TRIM(LEFT(Tasks[[#This Row],[_Res3Text]],FIND("[",Tasks[[#This Row],[_Res3Text]]&amp;"[")-1)),res_Name,0),IFERROR(MATCH(TRIM(LEFT(Tasks[[#This Row],[_Res3Text]],FIND("[",Tasks[[#This Row],[_Res3Text]]&amp;"[")-1)),res_Initials,0),0)))</f>
        <v>0</v>
      </c>
      <c r="DR99" s="43" t="n">
        <f aca="false">IF(Tasks[[#This Row],[_Res4Text]]="",0,IFERROR(MATCH(TRIM(LEFT(Tasks[[#This Row],[_Res4Text]],FIND("[",Tasks[[#This Row],[_Res4Text]]&amp;"[")-1)),res_Name,0),IFERROR(MATCH(TRIM(LEFT(Tasks[[#This Row],[_Res4Text]],FIND("[",Tasks[[#This Row],[_Res4Text]]&amp;"[")-1)),res_Initials,0),0)))</f>
        <v>0</v>
      </c>
      <c r="DS99" s="43" t="str">
        <f aca="false">IF(Tasks[[#This Row],[_Res1Text]]="","",IF(Tasks[[#This Row],[_Res1Row]]&gt;0,INDEX(res_Name,Tasks[[#This Row],[_Res1Row]]),TRIM(LEFT(Tasks[[#This Row],[_Res1Text]],FIND("[",Tasks[[#This Row],[_Res1Text]]&amp;"[")-1))))</f>
        <v/>
      </c>
      <c r="DT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3" t="n">
        <f aca="false">IF(NOT(Tasks[[#This Row],[_IsLeaf]]=1),0,(Tasks[[#This Row],[_Resource1]]&lt;&gt;"")+(Tasks[[#This Row],[_Res2]]&lt;&gt;"")+(Tasks[[#This Row],[_Res3]]&lt;&gt;"")+(Tasks[[#This Row],[_Res4]]&lt;&gt;""))</f>
        <v>0</v>
      </c>
      <c r="DV99" s="43" t="str">
        <f aca="false">IF(Tasks[[#This Row],[_Res2Text]]="","",IF(Tasks[[#This Row],[_Res2Row]]&gt;0,INDEX(res_Name,Tasks[[#This Row],[_Res2Row]]),TRIM(LEFT(Tasks[[#This Row],[_Res2Text]],FIND("[",Tasks[[#This Row],[_Res2Text]]&amp;"[")-1))))</f>
        <v/>
      </c>
      <c r="DW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3" t="n">
        <f aca="false">IF(OR(NOT(Tasks[[#This Row],[_IsLeaf]]=1),Tasks[[#This Row],[_Res2Row]]=0),0,N(Tasks[[#This Row],[_Days]])*HoursPerDay*IF(Tasks[[#This Row],[_Res2Units]]="",DefaultUnits,Tasks[[#This Row],[_Res2Units]]))</f>
        <v>0</v>
      </c>
      <c r="DY99" s="43" t="n">
        <f aca="false">IF(AND(AND(Tasks[[#This Row],[_IsLeaf]]=1,Tasks[[#This Row],[_LeafTotalWork]]&gt;0),Tasks[[#This Row],[_Res2Work]]&gt;0),Tasks[[#This Row],[_Res2Work]]/(Tasks[[#This Row],[_FinishWorkday]]-Tasks[[#This Row],[_StartWorkday]]+1),0)</f>
        <v>0</v>
      </c>
      <c r="DZ99" s="43" t="n">
        <f aca="false">Tasks[[#This Row],[_Res2WorkPerWD]]*MAX(0,Tasks[[#This Row],[_StartWorkday]]-1)</f>
        <v>0</v>
      </c>
      <c r="EA99" s="43" t="n">
        <f aca="false">Tasks[[#This Row],[_Res2Work]]*Tasks[[#This Row],[_LeafProgress]]</f>
        <v>0</v>
      </c>
      <c r="EB99" s="43" t="str">
        <f aca="false">IF(Tasks[[#This Row],[_Res3Text]]="","",IF(Tasks[[#This Row],[_Res3Row]]&gt;0,INDEX(res_Name,Tasks[[#This Row],[_Res3Row]]),TRIM(LEFT(Tasks[[#This Row],[_Res3Text]],FIND("[",Tasks[[#This Row],[_Res3Text]]&amp;"[")-1))))</f>
        <v/>
      </c>
      <c r="EC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3" t="n">
        <f aca="false">IF(OR(NOT(Tasks[[#This Row],[_IsLeaf]]=1),Tasks[[#This Row],[_Res3Row]]=0),0,N(Tasks[[#This Row],[_Days]])*HoursPerDay*IF(Tasks[[#This Row],[_Res3Units]]="",DefaultUnits,Tasks[[#This Row],[_Res3Units]]))</f>
        <v>0</v>
      </c>
      <c r="EE99" s="43" t="n">
        <f aca="false">IF(AND(AND(Tasks[[#This Row],[_IsLeaf]]=1,Tasks[[#This Row],[_LeafTotalWork]]&gt;0),Tasks[[#This Row],[_Res3Work]]&gt;0),Tasks[[#This Row],[_Res3Work]]/(Tasks[[#This Row],[_FinishWorkday]]-Tasks[[#This Row],[_StartWorkday]]+1),0)</f>
        <v>0</v>
      </c>
      <c r="EF99" s="43" t="n">
        <f aca="false">Tasks[[#This Row],[_Res3WorkPerWD]]*MAX(0,Tasks[[#This Row],[_StartWorkday]]-1)</f>
        <v>0</v>
      </c>
      <c r="EG99" s="43" t="n">
        <f aca="false">Tasks[[#This Row],[_Res3Work]]*Tasks[[#This Row],[_LeafProgress]]</f>
        <v>0</v>
      </c>
      <c r="EH99" s="43" t="str">
        <f aca="false">IF(Tasks[[#This Row],[_Res4Text]]="","",IF(Tasks[[#This Row],[_Res4Row]]&gt;0,INDEX(res_Name,Tasks[[#This Row],[_Res4Row]]),TRIM(LEFT(Tasks[[#This Row],[_Res4Text]],FIND("[",Tasks[[#This Row],[_Res4Text]]&amp;"[")-1))))</f>
        <v/>
      </c>
      <c r="EI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3" t="n">
        <f aca="false">IF(OR(NOT(Tasks[[#This Row],[_IsLeaf]]=1),Tasks[[#This Row],[_Res4Row]]=0),0,N(Tasks[[#This Row],[_Days]])*HoursPerDay*IF(Tasks[[#This Row],[_Res4Units]]="",DefaultUnits,Tasks[[#This Row],[_Res4Units]]))</f>
        <v>0</v>
      </c>
      <c r="EK99" s="43" t="n">
        <f aca="false">IF(AND(AND(Tasks[[#This Row],[_IsLeaf]]=1,Tasks[[#This Row],[_LeafTotalWork]]&gt;0),Tasks[[#This Row],[_Res4Work]]&gt;0),Tasks[[#This Row],[_Res4Work]]/(Tasks[[#This Row],[_FinishWorkday]]-Tasks[[#This Row],[_StartWorkday]]+1),0)</f>
        <v>0</v>
      </c>
      <c r="EL99" s="43" t="n">
        <f aca="false">Tasks[[#This Row],[_Res4WorkPerWD]]*MAX(0,Tasks[[#This Row],[_StartWorkday]]-1)</f>
        <v>0</v>
      </c>
      <c r="EM99" s="43" t="n">
        <f aca="false">Tasks[[#This Row],[_Res4Work]]*Tasks[[#This Row],[_LeafProgress]]</f>
        <v>0</v>
      </c>
      <c r="EN99" s="43" t="n">
        <f aca="false">IF(ISNUMBER(Tasks[[#This Row],[% Complete]]),Tasks[[#This Row],[% Complete]],IF(Tasks[[#This Row],[Stage]]="",0,IFERROR(INDEX(stg_Pct,MATCH(Tasks[[#This Row],[Stage]],stg_Name,0)),0)))</f>
        <v>0</v>
      </c>
      <c r="EO99" s="43" t="n">
        <f aca="false">IF(NOT(Tasks[[#This Row],[_IsLeaf]]=1),0,IF(N(Tasks[[#This Row],[Actual Finish]])&gt;0,1,MIN(1,Tasks[[#This Row],[_Pct]])))</f>
        <v>0</v>
      </c>
      <c r="EP99" s="43" t="n">
        <f aca="false">IF(OR(NOT(Tasks[[#This Row],[_IsLeaf]]=1),Tasks[[#This Row],[_Res1Row]]=0),0,N(Tasks[[#This Row],[_Days]])*HoursPerDay*IF(Tasks[[#This Row],[_Units1]]="",DefaultUnits,Tasks[[#This Row],[_Units1]]))</f>
        <v>0</v>
      </c>
      <c r="EQ99" s="43" t="n">
        <f aca="false">Tasks[[#This Row],[_LeafWork]]+Tasks[[#This Row],[_Res2Work]]+Tasks[[#This Row],[_Res3Work]]+Tasks[[#This Row],[_Res4Work]]</f>
        <v>0</v>
      </c>
      <c r="ER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3" t="n">
        <f aca="false">IF(NOT(Tasks[[#This Row],[_IsLeaf]]=1),0,MAX(_xlfn.MAXIFS(Tasks[_Row],Tasks[_Pred1UID],Tasks[[#This Row],[UID]]),_xlfn.MAXIFS(Tasks[_Row],Tasks[_Pred2UID],Tasks[[#This Row],[UID]]),_xlfn.MAXIFS(Tasks[_Row],Tasks[_Pred3UID],Tasks[[#This Row],[UID]]),_xlfn.MAXIFS(Tasks[_Row],Tasks[_Pred4UID],Tasks[[#This Row],[UID]])))</f>
        <v>0</v>
      </c>
      <c r="FA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91" t="str">
        <f aca="false">IF(NOT(Tasks[[#This Row],[_IsLeaf]]=1),"",IF(N(Tasks[[#This Row],[_Days]])&lt;=0,Tasks[[#This Row],[_LeafLateFinish]],WORKDAY.INTL(Tasks[[#This Row],[_LeafLateFinish]],-(Tasks[[#This Row],[_Days]]-1),WorkWeek,Holidays)))</f>
        <v/>
      </c>
      <c r="FD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9" s="90" t="b">
        <f aca="false">AND(Tasks[[#This Row],[_IsLeaf]]=1,Tasks[[#This Row],[_LeafProgress]]&lt;1,N(Tasks[[#This Row],[_LeafTotalSlack]])&lt;=CriticalSlackDays)</f>
        <v>0</v>
      </c>
      <c r="FF99" s="43" t="n">
        <f aca="false">IF(AND(Tasks[[#This Row],[_IsLeaf]]=1,Tasks[[#This Row],[_ConstraintCode]]=1,Tasks[[#This Row],[Mode]]&lt;&gt;"Manual",N(Tasks[[#This Row],[Actual Start]])=0),MAX(0,N(Tasks[[#This Row],[Free Slack]])),0)</f>
        <v>0</v>
      </c>
      <c r="FG99" s="91" t="str">
        <f aca="false">IF(NOT(Tasks[[#This Row],[_IsLeaf]]=1),"",IF(Tasks[[#This Row],[_AlapShift]]=0,Tasks[[#This Row],[_LeafCalcStart]],WORKDAY.INTL(Tasks[[#This Row],[_LeafCalcStart]],Tasks[[#This Row],[_AlapShift]],WorkWeek,Holidays)))</f>
        <v/>
      </c>
      <c r="FH99" s="91" t="str">
        <f aca="false">IF(NOT(Tasks[[#This Row],[_IsLeaf]]=1),"",IF(Tasks[[#This Row],[_AlapShift]]=0,Tasks[[#This Row],[_LeafCalcFinish]],WORKDAY.INTL(Tasks[[#This Row],[_LeafCalcFinish]],Tasks[[#This Row],[_AlapShift]],WorkWeek,Holidays)))</f>
        <v/>
      </c>
      <c r="FI99" s="91" t="str">
        <f aca="false">IF(NOT(Tasks[[#This Row],[_IsLeaf]]=1),"",IF(Tasks[[#This Row],[_AlapShift]]=0,Tasks[[#This Row],[_LeafFcstStart]],WORKDAY.INTL(Tasks[[#This Row],[_LeafFcstStart]],Tasks[[#This Row],[_AlapShift]],WorkWeek,Holidays)))</f>
        <v/>
      </c>
      <c r="FJ99" s="91" t="str">
        <f aca="false">IF(NOT(Tasks[[#This Row],[_IsLeaf]]=1),"",IF(Tasks[[#This Row],[_AlapShift]]=0,Tasks[[#This Row],[_LeafFcstFinish]],WORKDAY.INTL(Tasks[[#This Row],[_LeafFcstFinish]],Tasks[[#This Row],[_AlapShift]],WorkWeek,Holidays)))</f>
        <v/>
      </c>
      <c r="FK99" s="91" t="str">
        <f aca="false">IF(Tasks[[#This Row],[Task Name]]="","",IF(Tasks[[#This Row],[_IsSummary]],MIN(INDEX(Tasks[_ShownCalcStart],Tasks[[#This Row],[_Row]]+1):INDEX(Tasks[_ShownCalcStart],Tasks[[#This Row],[_Row]]+Tasks[[#This Row],[_Descendants]])),Tasks[[#This Row],[_ShownCalcStart]]))</f>
        <v/>
      </c>
      <c r="FL99" s="91" t="str">
        <f aca="false">IF(Tasks[[#This Row],[Task Name]]="","",IF(Tasks[[#This Row],[_IsSummary]],MAX(INDEX(Tasks[_ShownCalcFinish],Tasks[[#This Row],[_Row]]+1):INDEX(Tasks[_ShownCalcFinish],Tasks[[#This Row],[_Row]]+Tasks[[#This Row],[_Descendants]])),Tasks[[#This Row],[_ShownCalcFinish]]))</f>
        <v/>
      </c>
      <c r="FM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9" s="43" t="n">
        <f aca="false">IF(AND(Tasks[[#This Row],[_IsLeaf]]=1,Tasks[[#This Row],[_LeafTotalWork]]&gt;0),NETWORKDAYS.INTL(ProjectStart,Tasks[[#This Row],[_ShownFcstStart]],WorkWeek,Holidays),0)</f>
        <v>0</v>
      </c>
      <c r="FZ99" s="43" t="n">
        <f aca="false">IF(AND(Tasks[[#This Row],[_IsLeaf]]=1,Tasks[[#This Row],[_LeafTotalWork]]&gt;0),MAX(Tasks[[#This Row],[_StartWorkday]],NETWORKDAYS.INTL(ProjectStart,Tasks[[#This Row],[_ShownFcstFinish]],WorkWeek,Holidays)),0)</f>
        <v>0</v>
      </c>
      <c r="GA99" s="43" t="n">
        <f aca="false">IF(AND(Tasks[[#This Row],[_IsLeaf]]=1,Tasks[[#This Row],[_LeafTotalWork]]&gt;0),Tasks[[#This Row],[_LeafWork]]/(Tasks[[#This Row],[_FinishWorkday]]-Tasks[[#This Row],[_StartWorkday]]+1),0)</f>
        <v>0</v>
      </c>
      <c r="GB99" s="43" t="n">
        <f aca="false">Tasks[[#This Row],[_WorkPerWorkday]]*(Tasks[[#This Row],[_StartWorkday]]-1)</f>
        <v>-0</v>
      </c>
      <c r="GC99" s="43" t="n">
        <f aca="false">IF(Tasks[[#This Row],[_IsLeaf]]=1,MAX(N(Tasks[[#This Row],[_Days]]),0.1),0)</f>
        <v>0</v>
      </c>
      <c r="GD99" s="43" t="n">
        <f aca="false">Tasks[[#This Row],[_WeightDur]]*Tasks[[#This Row],[_LeafProgress]]</f>
        <v>0</v>
      </c>
      <c r="GE99" s="43" t="n">
        <f aca="false">Tasks[[#This Row],[_WeightDur]]*Tasks[[#This Row],[_PlannedPct]]</f>
        <v>0</v>
      </c>
      <c r="GF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3" t="str">
        <f aca="false">IF(AND(Tasks[[#This Row],[_IsLeaf]]=1,N(Tasks[[#This Row],[_Days]])=0,Tasks[[#This Row],[_LeafProgress]]&lt;1),Tasks[[#This Row],[_ShownFcstFinish]]+Tasks[[#This Row],[_Row]]/100000,"")</f>
        <v/>
      </c>
      <c r="GH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9" s="43" t="str">
        <f aca="false">IF(Tasks[[#This Row],[Task Name]]="","",LEFT(Tasks[[#This Row],[WBS]],FIND(".",Tasks[[#This Row],[WBS]]&amp;".")-1))</f>
        <v/>
      </c>
      <c r="GJ99" s="43" t="str">
        <f aca="false">IF(AND(Tasks[[#This Row],[Task Name]]&lt;&gt;"",Tasks[[#This Row],[_Level]]=1),Tasks[[#This Row],[_Row]],"")</f>
        <v/>
      </c>
      <c r="GK99" s="43" t="str">
        <f aca="false">IF(AND(Tasks[[#This Row],[_IsLeaf]]=1,N(Tasks[[#This Row],[_Days]])=0),Tasks[[#This Row],[Planned Finish]]+Tasks[[#This Row],[_Row]]/100000,"")</f>
        <v/>
      </c>
      <c r="GL99" s="43" t="str">
        <f aca="false">IF(AND(Tasks[[#This Row],[_IsLeaf]]=1,Tasks[[#This Row],[_LeafProgress]]&lt;1,OR(N(Tasks[[#This Row],[Finish Var]])&gt;0,Tasks[[#This Row],[Status]]="Late Start")),MAX(0,Tasks[[#This Row],[Finish Var]])+1-Tasks[[#This Row],[_Row]]/1000000,"")</f>
        <v/>
      </c>
      <c r="GM99" s="43" t="str">
        <f aca="false">IF(AND(Tasks[[#This Row],[_IsLeaf]]=1,N(Tasks[[#This Row],[Actual Start]])=0,Tasks[[#This Row],[_ShownFcstStart]]&gt;=StatusDate,Tasks[[#This Row],[_ShownFcstStart]]&lt;=LookaheadEnd),Tasks[[#This Row],[_ShownFcstStart]]+Tasks[[#This Row],[_Row]]/100000,"")</f>
        <v/>
      </c>
      <c r="GN99" s="43" t="str">
        <f aca="false">IF(AND(Tasks[[#This Row],[_IsLeaf]]=1,Tasks[[#This Row],[_LeafProgress]]&lt;1,Tasks[[#This Row],[_ShownFcstFinish]]&gt;=StatusDate,Tasks[[#This Row],[_ShownFcstFinish]]&lt;=LookaheadEnd),Tasks[[#This Row],[_ShownFcstFinish]]+Tasks[[#This Row],[_Row]]/100000,"")</f>
        <v/>
      </c>
      <c r="GO99" s="43" t="str">
        <f aca="false">IF(Tasks[[#This Row],[_LeafCritical]],Tasks[[#This Row],[_ShownFcstStart]]+Tasks[[#This Row],[_Row]]/100000,"")</f>
        <v/>
      </c>
      <c r="GP99" s="43" t="n">
        <f aca="false">Tasks[[#This Row],[_LeafWork]]*Tasks[[#This Row],[_LeafProgress]]</f>
        <v>0</v>
      </c>
      <c r="GQ99" s="91" t="str">
        <f aca="false">IF(AND(Tasks[[#This Row],[_IsLeaf]]=1,Tasks[[#This Row],[_LeafProgress]]&gt;=1),IF(N(Tasks[[#This Row],[Actual Finish]])&gt;0,Tasks[[#This Row],[Actual Finish]],Tasks[[#This Row],[_ShownFcstFinish]]),"")</f>
        <v/>
      </c>
      <c r="GR99" s="43" t="n">
        <f aca="false">IF(Tasks[[#This Row],[_IsLeaf]]=1,N(Tasks[[#This Row],[Story Points]]),0)</f>
        <v>0</v>
      </c>
      <c r="GS99" s="43" t="str">
        <f aca="false">""</f>
        <v/>
      </c>
      <c r="GT99" s="90" t="b">
        <f aca="false">IF(Tasks[[#This Row],[Task Name]]="",FALSE(),AND(Tasks[[#This Row],[_IsLeaf]]=1,N(Tasks[[#This Row],[_Days]])=0))</f>
        <v>0</v>
      </c>
      <c r="GU99" s="91" t="n">
        <f aca="false">IF(Tasks[[#This Row],[Task Name]]="",0,IF(AND(Tasks[[#This Row],[_IsLeaf]]=1,NOT(Tasks[[#This Row],[_IsMilestone]]),N(Tasks[[#This Row],[Progress]])&gt;0),Tasks[[#This Row],[Start]],0))</f>
        <v>0</v>
      </c>
      <c r="GV99" s="91" t="n">
        <f aca="false">IF(Tasks[[#This Row],[_DoneFrom]]=0,0,IF(Tasks[[#This Row],[Progress]]&gt;=1,Tasks[[#This Row],[Finish]],MAX(Tasks[[#This Row],[_DoneFrom]],Tasks[[#This Row],[Start]]+ROUND((Tasks[[#This Row],[Finish]]-Tasks[[#This Row],[Start]]+1)*Tasks[[#This Row],[Progress]],0)-1)))</f>
        <v>0</v>
      </c>
      <c r="GW99" s="91" t="n">
        <f aca="false">IF(Tasks[[#This Row],[Task Name]]="",0,IF(OR(NOT(Tasks[[#This Row],[_IsLeaf]]=1),Tasks[[#This Row],[_IsMilestone]],N(Tasks[[#This Row],[Progress]])&gt;=1),0,IF(Tasks[[#This Row],[_DoneTo]]&gt;0,Tasks[[#This Row],[_DoneTo]]+1,Tasks[[#This Row],[Start]])))</f>
        <v>0</v>
      </c>
      <c r="GX99" s="91" t="n">
        <f aca="false">IF(Tasks[[#This Row],[_RemFrom]]=0,0,Tasks[[#This Row],[Finish]])</f>
        <v>0</v>
      </c>
      <c r="GY99" s="90" t="b">
        <f aca="false">IF(Tasks[[#This Row],[Task Name]]="",FALSE(),OR(NOT(BaselineSet),N(Tasks[[#This Row],[Baseline Start]])&gt;0))</f>
        <v>0</v>
      </c>
      <c r="GZ9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92" t="str">
        <f aca="false">IF(Tasks[[#This Row],[_IsLeaf]]=1,Tasks[[#This Row],[_Row]],"")</f>
        <v/>
      </c>
      <c r="HD99" s="92" t="str">
        <f aca="false">IFERROR(INDEX(Tasks[UID],SMALL(Tasks[_PickKey],Tasks[[#This Row],[_Row]]))&amp;" "&amp;INDEX(Tasks[Task Name],SMALL(Tasks[_PickKey],Tasks[[#This Row],[_Row]])),"")</f>
        <v/>
      </c>
      <c r="HE99" s="43" t="str">
        <f aca="false">IF(Tasks[[#This Row],[Task Name]]="","",IF(Tasks[[#This Row],[_IsSummary]],NETWORKDAYS.INTL(Tasks[[#This Row],[Start]],Tasks[[#This Row],[Finish]],WorkWeek,Holidays),N(Tasks[[#This Row],[_Days]])))</f>
        <v/>
      </c>
      <c r="HF99" s="43" t="n">
        <f aca="false">IF(Tasks[[#This Row],[Expected]]="",0,((Tasks[[#This Row],[Pessimistic]]-Tasks[[#This Row],[Optimistic]])/6)^2)</f>
        <v>0</v>
      </c>
      <c r="HG99" s="43" t="n">
        <f aca="false">IF(Tasks[[#This Row],[Expected]]="",0,Tasks[[#This Row],[Expected]]-N(Tasks[[#This Row],[_Days]]))</f>
        <v>0</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4"/>
      <c r="U100" s="23"/>
      <c r="V100" s="84"/>
      <c r="W100" s="23"/>
      <c r="X100" s="84"/>
      <c r="Y100" s="23"/>
      <c r="Z100" s="84"/>
      <c r="AA100" s="23"/>
      <c r="AB100" s="23"/>
      <c r="AC100" s="7"/>
      <c r="AD100" s="7"/>
      <c r="AE100" s="63" t="str">
        <f aca="false">IF(Tasks[[#This Row],[Task Name]]="","",IF(Tasks[[#This Row],[_IsSummary]],MIN(INDEX(Tasks[_ShownFcstStart],Tasks[[#This Row],[_Row]]+1):INDEX(Tasks[_ShownFcstStart],Tasks[[#This Row],[_Row]]+Tasks[[#This Row],[_Descendants]])),Tasks[[#This Row],[_ShownFcstStart]]))</f>
        <v/>
      </c>
      <c r="AF100" s="63"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0" s="7"/>
      <c r="AK100" s="22"/>
      <c r="AL100" s="23"/>
      <c r="AM100" s="7"/>
      <c r="AN100" s="47"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3" t="str">
        <f aca="false">IF(Tasks[[#This Row],[Task Name]]="","",IF(N(Tasks[[#This Row],[Baseline Start]])&gt;0,Tasks[[#This Row],[Baseline Start]],Tasks[[#This Row],[_CalcStart]]))</f>
        <v/>
      </c>
      <c r="AR100" s="63" t="str">
        <f aca="false">IF(Tasks[[#This Row],[Task Name]]="","",IF(N(Tasks[[#This Row],[Baseline Finish]])&gt;0,Tasks[[#This Row],[Baseline Finish]],Tasks[[#This Row],[_CalcFinish]]))</f>
        <v/>
      </c>
      <c r="AS100" s="47" t="str">
        <f aca="false">IF(Tasks[[#This Row],[Task Name]]="","",IF(Tasks[[#This Row],[Start]]&gt;=Tasks[[#This Row],[Planned Start]],NETWORKDAYS.INTL(Tasks[[#This Row],[Planned Start]],Tasks[[#This Row],[Start]],WorkWeek,Holidays)-1,1-NETWORKDAYS.INTL(Tasks[[#This Row],[Start]],Tasks[[#This Row],[Planned Start]],WorkWeek,Holidays)))</f>
        <v/>
      </c>
      <c r="AT100" s="63" t="str">
        <f aca="false">IF(Tasks[[#This Row],[Task Name]]="","",IF(Tasks[[#This Row],[_IsSummary]],MIN(INDEX(Tasks[_LeafLateStart],Tasks[[#This Row],[_Row]]+1):INDEX(Tasks[_LeafLateStart],Tasks[[#This Row],[_Row]]+Tasks[[#This Row],[_Descendants]])),Tasks[[#This Row],[_LeafLateStart]]))</f>
        <v/>
      </c>
      <c r="AU100" s="63" t="str">
        <f aca="false">IF(Tasks[[#This Row],[Task Name]]="","",IF(Tasks[[#This Row],[_IsSummary]],MAX(INDEX(Tasks[_LeafLateFinish],Tasks[[#This Row],[_Row]]+1):INDEX(Tasks[_LeafLateFinish],Tasks[[#This Row],[_Row]]+Tasks[[#This Row],[_Descendants]])),Tasks[[#This Row],[_LeafLateFinish]]))</f>
        <v/>
      </c>
      <c r="AV100" s="47"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5"/>
      <c r="BA1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6"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7"/>
      <c r="BJ100" s="22"/>
      <c r="BK100" s="47" t="str">
        <f aca="false">IF(OR(Tasks[[#This Row],[Task Name]]="",Tasks[[#This Row],[Baseline Duration]]=""),"",Tasks[[#This Row],[_SpanDays]]-N(Tasks[[#This Row],[Baseline Duration]]))</f>
        <v/>
      </c>
      <c r="BL100" s="86" t="str">
        <f aca="false">IF(OR(Tasks[[#This Row],[Task Name]]="",Tasks[[#This Row],[Baseline Work]]=""),"",Tasks[[#This Row],[Work]]-N(Tasks[[#This Row],[Baseline Work]]))</f>
        <v/>
      </c>
      <c r="BM100" s="63" t="str">
        <f aca="false">IF(Tasks[[#This Row],[Task Name]]="","",IF(OR(TakeBaseline="Yes",N(Tasks[[#This Row],[Baseline Start]])=0),Tasks[[#This Row],[Start]],Tasks[[#This Row],[Baseline Start]]))</f>
        <v/>
      </c>
      <c r="BN100" s="63" t="str">
        <f aca="false">IF(Tasks[[#This Row],[Task Name]]="","",IF(OR(TakeBaseline="Yes",N(Tasks[[#This Row],[Baseline Finish]])=0),Tasks[[#This Row],[Finish]],Tasks[[#This Row],[Baseline Finish]]))</f>
        <v/>
      </c>
      <c r="BO100" s="21" t="str">
        <f aca="false">IF(Tasks[[#This Row],[Task Name]]="","",IF(OR(TakeBaseline="Yes",N(Tasks[[#This Row],[Baseline Duration]])=0),Tasks[[#This Row],[_SpanDays]],Tasks[[#This Row],[Baseline Duration]]))</f>
        <v/>
      </c>
      <c r="BP100" s="86" t="str">
        <f aca="false">IF(Tasks[[#This Row],[Task Name]]="","",IF(OR(TakeBaseline="Yes",N(Tasks[[#This Row],[Baseline Work]])=0),Tasks[[#This Row],[Work]],Tasks[[#This Row],[Baseline Work]]))</f>
        <v/>
      </c>
      <c r="BQ100" s="7"/>
      <c r="BR100" s="7"/>
      <c r="BS100" s="22"/>
      <c r="BT100" s="88"/>
      <c r="BU100" s="23"/>
      <c r="BV100" s="23"/>
      <c r="BW100" s="23"/>
      <c r="BX100" s="89" t="str">
        <f aca="false">IF(AND(Tasks[[#This Row],[_IsLeaf]]=1,ISNUMBER(Tasks[[#This Row],[Optimistic]]),ISNUMBER(Tasks[[#This Row],[Pessimistic]])),ROUND((Tasks[[#This Row],[Optimistic]]+4*N(Tasks[[#This Row],[_Days]])+Tasks[[#This Row],[Pessimistic]])/6,1),"")</f>
        <v/>
      </c>
      <c r="BY100" s="87"/>
      <c r="BZ100" s="87"/>
      <c r="CA100" s="22"/>
      <c r="CB100" s="43" t="str">
        <f aca="false">IF(Tasks[[#This Row],[Task Name]]="","",MAX(1,N(Tasks[[#This Row],[Level]])))</f>
        <v/>
      </c>
      <c r="CC100" s="43" t="n">
        <f aca="false">ROW()-ROW(Tasks[[#Headers],[ID]])</f>
        <v>95</v>
      </c>
      <c r="CD100" s="43" t="n">
        <f aca="false">IF(OR(Tasks[[#This Row],[Task Name]]="",Tasks[[#This Row],[_Level]]&lt;=1),0,IFERROR(LOOKUP(2,1/(Tasks[[#Headers],[_Level]]:Tasks[[#This Row],[_Level]]=Tasks[[#This Row],[_Level]]-1),ROW(Tasks[[#Headers],[_Level]]:Tasks[[#This Row],[_Level]])),0))</f>
        <v>0</v>
      </c>
      <c r="CE100" s="43" t="n">
        <f aca="false">IFERROR(N(INDEX(Tasks[_Level],Tasks[[#This Row],[_Row]]+1)),0)</f>
        <v>0</v>
      </c>
      <c r="CF100" s="90" t="b">
        <f aca="false">AND(Tasks[[#This Row],[Task Name]]&lt;&gt;"",Tasks[[#This Row],[_NextLevel]]&gt;Tasks[[#This Row],[_Level]])</f>
        <v>0</v>
      </c>
      <c r="CG100" s="43" t="n">
        <f aca="false">IF(Tasks[[#This Row],[_IsSummary]],COUNTIF(Tasks[WBS],Tasks[[#This Row],[WBS]]&amp;".*"),0)</f>
        <v>0</v>
      </c>
      <c r="CH100" s="43" t="n">
        <f aca="false">IF(AND(Tasks[[#This Row],[Task Name]]&lt;&gt;"",NOT(Tasks[[#This Row],[_IsSummary]])),1,0)</f>
        <v>0</v>
      </c>
      <c r="CI100" s="43" t="n">
        <f aca="false">IF(N(Tasks[[#This Row],[_Pred1UID]])=0,0,IFERROR(MATCH(Tasks[[#This Row],[_Pred1UID]],Tasks[UID],0),-1))</f>
        <v>0</v>
      </c>
      <c r="CJ100" s="43" t="n">
        <f aca="false">IF(N(Tasks[[#This Row],[_Pred2UID]])=0,0,IFERROR(MATCH(Tasks[[#This Row],[_Pred2UID]],Tasks[UID],0),-1))</f>
        <v>0</v>
      </c>
      <c r="CK100" s="43" t="n">
        <f aca="false">IF(N(Tasks[[#This Row],[_Pred3UID]])=0,0,IFERROR(MATCH(Tasks[[#This Row],[_Pred3UID]],Tasks[UID],0),-1))</f>
        <v>0</v>
      </c>
      <c r="CL100" s="43" t="n">
        <f aca="false">IF(N(Tasks[[#This Row],[_Pred4UID]])=0,0,IFERROR(MATCH(Tasks[[#This Row],[_Pred4UID]],Tasks[UID],0),-1))</f>
        <v>0</v>
      </c>
      <c r="CM1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0" s="91" t="n">
        <f aca="false">IF(OR(Tasks[[#This Row],[_ConstraintCode]]=2,Tasks[[#This Row],[_ConstraintCode]]=3,Tasks[[#This Row],[_ConstraintCode]]=4,Tasks[[#This Row],[_ConstraintCode]]=6),Tasks[[#This Row],[_ConstraintStart]],0)</f>
        <v>0</v>
      </c>
      <c r="CP100" s="91" t="n">
        <f aca="false">IF(OR(Tasks[[#This Row],[_ConstraintCode]]=2,Tasks[[#This Row],[_ConstraintCode]]=3,Tasks[[#This Row],[_ConstraintCode]]=5,Tasks[[#This Row],[_ConstraintCode]]=7),Tasks[[#This Row],[_ConstraintStart]],2958465)</f>
        <v>2958465</v>
      </c>
      <c r="CQ1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91" t="str">
        <f aca="false">IF(NOT(Tasks[[#This Row],[_IsLeaf]]=1),"",IF(N(Tasks[[#This Row],[_Days]])&lt;=0,Tasks[[#This Row],[_LeafCalcStart]],WORKDAY.INTL(Tasks[[#This Row],[_LeafCalcStart]],Tasks[[#This Row],[_Days]]-1,WorkWeek,Holidays)))</f>
        <v/>
      </c>
      <c r="CS1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3" t="str">
        <f aca="false">IF(Tasks[[#This Row],[_Predecessors]]="","",TRIM(MID(SUBSTITUTE(SUBSTITUTE(SUBSTITUTE(UPPER(Tasks[[#This Row],[_Predecessors]]),";",",")," ",""),",",REPT(" ",99)),1,99)))</f>
        <v/>
      </c>
      <c r="CV100" s="43" t="str">
        <f aca="false">IF(Tasks[[#This Row],[_Pred1Text]]="","",IFERROR(VALUE(LEFT(Tasks[[#This Row],[_Pred1Text]],MIN(FIND("F",Tasks[[#This Row],[_Pred1Text]]&amp;"F"),FIND("S",Tasks[[#This Row],[_Pred1Text]]&amp;"S"),FIND("+",Tasks[[#This Row],[_Pred1Text]]&amp;"+"),FIND("-",Tasks[[#This Row],[_Pred1Text]]&amp;"-"))-1)),""))</f>
        <v/>
      </c>
      <c r="CW1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3" t="str">
        <f aca="false">IF(Tasks[[#This Row],[_Pred1Text]]="","",TRIM(MID(SUBSTITUTE(SUBSTITUTE(SUBSTITUTE(UPPER(Tasks[[#This Row],[_Predecessors]]),";",",")," ",""),",",REPT(" ",99)),100,99)))</f>
        <v/>
      </c>
      <c r="CZ100" s="43" t="str">
        <f aca="false">IF(Tasks[[#This Row],[_Pred2Text]]="","",IFERROR(VALUE(LEFT(Tasks[[#This Row],[_Pred2Text]],MIN(FIND("F",Tasks[[#This Row],[_Pred2Text]]&amp;"F"),FIND("S",Tasks[[#This Row],[_Pred2Text]]&amp;"S"),FIND("+",Tasks[[#This Row],[_Pred2Text]]&amp;"+"),FIND("-",Tasks[[#This Row],[_Pred2Text]]&amp;"-"))-1)),""))</f>
        <v/>
      </c>
      <c r="DA1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3" t="str">
        <f aca="false">IF(Tasks[[#This Row],[_Pred2Text]]="","",TRIM(MID(SUBSTITUTE(SUBSTITUTE(SUBSTITUTE(UPPER(Tasks[[#This Row],[_Predecessors]]),";",",")," ",""),",",REPT(" ",99)),199,99)))</f>
        <v/>
      </c>
      <c r="DD100" s="43" t="str">
        <f aca="false">IF(Tasks[[#This Row],[_Pred3Text]]="","",IFERROR(VALUE(LEFT(Tasks[[#This Row],[_Pred3Text]],MIN(FIND("F",Tasks[[#This Row],[_Pred3Text]]&amp;"F"),FIND("S",Tasks[[#This Row],[_Pred3Text]]&amp;"S"),FIND("+",Tasks[[#This Row],[_Pred3Text]]&amp;"+"),FIND("-",Tasks[[#This Row],[_Pred3Text]]&amp;"-"))-1)),""))</f>
        <v/>
      </c>
      <c r="DE1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3" t="str">
        <f aca="false">IF(Tasks[[#This Row],[_Pred3Text]]="","",TRIM(MID(SUBSTITUTE(SUBSTITUTE(SUBSTITUTE(UPPER(Tasks[[#This Row],[_Predecessors]]),";",",")," ",""),",",REPT(" ",99)),298,99)))</f>
        <v/>
      </c>
      <c r="DH100" s="43" t="str">
        <f aca="false">IF(Tasks[[#This Row],[_Pred4Text]]="","",IFERROR(VALUE(LEFT(Tasks[[#This Row],[_Pred4Text]],MIN(FIND("F",Tasks[[#This Row],[_Pred4Text]]&amp;"F"),FIND("S",Tasks[[#This Row],[_Pred4Text]]&amp;"S"),FIND("+",Tasks[[#This Row],[_Pred4Text]]&amp;"+"),FIND("-",Tasks[[#This Row],[_Pred4Text]]&amp;"-"))-1)),""))</f>
        <v/>
      </c>
      <c r="DI1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3" t="str">
        <f aca="false">IF(OR(Tasks[[#This Row],[Task Name]]="",Tasks[[#This Row],[_Resources]]=""),"",TRIM(MID(SUBSTITUTE(Tasks[[#This Row],[_Resources]],",",REPT(" ",99)),1,99)))</f>
        <v/>
      </c>
      <c r="DL100" s="43" t="str">
        <f aca="false">IF(Tasks[[#This Row],[_Res1Text]]="","",TRIM(MID(SUBSTITUTE(Tasks[[#This Row],[_Resources]],",",REPT(" ",99)),100,99)))</f>
        <v/>
      </c>
      <c r="DM100" s="43" t="str">
        <f aca="false">IF(Tasks[[#This Row],[_Res2Text]]="","",TRIM(MID(SUBSTITUTE(Tasks[[#This Row],[_Resources]],",",REPT(" ",99)),199,99)))</f>
        <v/>
      </c>
      <c r="DN100" s="43" t="str">
        <f aca="false">IF(Tasks[[#This Row],[_Res3Text]]="","",TRIM(MID(SUBSTITUTE(Tasks[[#This Row],[_Resources]],",",REPT(" ",99)),298,99)))</f>
        <v/>
      </c>
      <c r="DO100" s="43" t="n">
        <f aca="false">IF(Tasks[[#This Row],[_Res1Text]]="",0,IFERROR(MATCH(TRIM(LEFT(Tasks[[#This Row],[_Res1Text]],FIND("[",Tasks[[#This Row],[_Res1Text]]&amp;"[")-1)),res_Name,0),IFERROR(MATCH(TRIM(LEFT(Tasks[[#This Row],[_Res1Text]],FIND("[",Tasks[[#This Row],[_Res1Text]]&amp;"[")-1)),res_Initials,0),0)))</f>
        <v>0</v>
      </c>
      <c r="DP100" s="43" t="n">
        <f aca="false">IF(Tasks[[#This Row],[_Res2Text]]="",0,IFERROR(MATCH(TRIM(LEFT(Tasks[[#This Row],[_Res2Text]],FIND("[",Tasks[[#This Row],[_Res2Text]]&amp;"[")-1)),res_Name,0),IFERROR(MATCH(TRIM(LEFT(Tasks[[#This Row],[_Res2Text]],FIND("[",Tasks[[#This Row],[_Res2Text]]&amp;"[")-1)),res_Initials,0),0)))</f>
        <v>0</v>
      </c>
      <c r="DQ100" s="43" t="n">
        <f aca="false">IF(Tasks[[#This Row],[_Res3Text]]="",0,IFERROR(MATCH(TRIM(LEFT(Tasks[[#This Row],[_Res3Text]],FIND("[",Tasks[[#This Row],[_Res3Text]]&amp;"[")-1)),res_Name,0),IFERROR(MATCH(TRIM(LEFT(Tasks[[#This Row],[_Res3Text]],FIND("[",Tasks[[#This Row],[_Res3Text]]&amp;"[")-1)),res_Initials,0),0)))</f>
        <v>0</v>
      </c>
      <c r="DR100" s="43" t="n">
        <f aca="false">IF(Tasks[[#This Row],[_Res4Text]]="",0,IFERROR(MATCH(TRIM(LEFT(Tasks[[#This Row],[_Res4Text]],FIND("[",Tasks[[#This Row],[_Res4Text]]&amp;"[")-1)),res_Name,0),IFERROR(MATCH(TRIM(LEFT(Tasks[[#This Row],[_Res4Text]],FIND("[",Tasks[[#This Row],[_Res4Text]]&amp;"[")-1)),res_Initials,0),0)))</f>
        <v>0</v>
      </c>
      <c r="DS100" s="43" t="str">
        <f aca="false">IF(Tasks[[#This Row],[_Res1Text]]="","",IF(Tasks[[#This Row],[_Res1Row]]&gt;0,INDEX(res_Name,Tasks[[#This Row],[_Res1Row]]),TRIM(LEFT(Tasks[[#This Row],[_Res1Text]],FIND("[",Tasks[[#This Row],[_Res1Text]]&amp;"[")-1))))</f>
        <v/>
      </c>
      <c r="DT1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3" t="n">
        <f aca="false">IF(NOT(Tasks[[#This Row],[_IsLeaf]]=1),0,(Tasks[[#This Row],[_Resource1]]&lt;&gt;"")+(Tasks[[#This Row],[_Res2]]&lt;&gt;"")+(Tasks[[#This Row],[_Res3]]&lt;&gt;"")+(Tasks[[#This Row],[_Res4]]&lt;&gt;""))</f>
        <v>0</v>
      </c>
      <c r="DV100" s="43" t="str">
        <f aca="false">IF(Tasks[[#This Row],[_Res2Text]]="","",IF(Tasks[[#This Row],[_Res2Row]]&gt;0,INDEX(res_Name,Tasks[[#This Row],[_Res2Row]]),TRIM(LEFT(Tasks[[#This Row],[_Res2Text]],FIND("[",Tasks[[#This Row],[_Res2Text]]&amp;"[")-1))))</f>
        <v/>
      </c>
      <c r="DW1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3" t="n">
        <f aca="false">IF(OR(NOT(Tasks[[#This Row],[_IsLeaf]]=1),Tasks[[#This Row],[_Res2Row]]=0),0,N(Tasks[[#This Row],[_Days]])*HoursPerDay*IF(Tasks[[#This Row],[_Res2Units]]="",DefaultUnits,Tasks[[#This Row],[_Res2Units]]))</f>
        <v>0</v>
      </c>
      <c r="DY100" s="43" t="n">
        <f aca="false">IF(AND(AND(Tasks[[#This Row],[_IsLeaf]]=1,Tasks[[#This Row],[_LeafTotalWork]]&gt;0),Tasks[[#This Row],[_Res2Work]]&gt;0),Tasks[[#This Row],[_Res2Work]]/(Tasks[[#This Row],[_FinishWorkday]]-Tasks[[#This Row],[_StartWorkday]]+1),0)</f>
        <v>0</v>
      </c>
      <c r="DZ100" s="43" t="n">
        <f aca="false">Tasks[[#This Row],[_Res2WorkPerWD]]*MAX(0,Tasks[[#This Row],[_StartWorkday]]-1)</f>
        <v>0</v>
      </c>
      <c r="EA100" s="43" t="n">
        <f aca="false">Tasks[[#This Row],[_Res2Work]]*Tasks[[#This Row],[_LeafProgress]]</f>
        <v>0</v>
      </c>
      <c r="EB100" s="43" t="str">
        <f aca="false">IF(Tasks[[#This Row],[_Res3Text]]="","",IF(Tasks[[#This Row],[_Res3Row]]&gt;0,INDEX(res_Name,Tasks[[#This Row],[_Res3Row]]),TRIM(LEFT(Tasks[[#This Row],[_Res3Text]],FIND("[",Tasks[[#This Row],[_Res3Text]]&amp;"[")-1))))</f>
        <v/>
      </c>
      <c r="EC1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3" t="n">
        <f aca="false">IF(OR(NOT(Tasks[[#This Row],[_IsLeaf]]=1),Tasks[[#This Row],[_Res3Row]]=0),0,N(Tasks[[#This Row],[_Days]])*HoursPerDay*IF(Tasks[[#This Row],[_Res3Units]]="",DefaultUnits,Tasks[[#This Row],[_Res3Units]]))</f>
        <v>0</v>
      </c>
      <c r="EE100" s="43" t="n">
        <f aca="false">IF(AND(AND(Tasks[[#This Row],[_IsLeaf]]=1,Tasks[[#This Row],[_LeafTotalWork]]&gt;0),Tasks[[#This Row],[_Res3Work]]&gt;0),Tasks[[#This Row],[_Res3Work]]/(Tasks[[#This Row],[_FinishWorkday]]-Tasks[[#This Row],[_StartWorkday]]+1),0)</f>
        <v>0</v>
      </c>
      <c r="EF100" s="43" t="n">
        <f aca="false">Tasks[[#This Row],[_Res3WorkPerWD]]*MAX(0,Tasks[[#This Row],[_StartWorkday]]-1)</f>
        <v>0</v>
      </c>
      <c r="EG100" s="43" t="n">
        <f aca="false">Tasks[[#This Row],[_Res3Work]]*Tasks[[#This Row],[_LeafProgress]]</f>
        <v>0</v>
      </c>
      <c r="EH100" s="43" t="str">
        <f aca="false">IF(Tasks[[#This Row],[_Res4Text]]="","",IF(Tasks[[#This Row],[_Res4Row]]&gt;0,INDEX(res_Name,Tasks[[#This Row],[_Res4Row]]),TRIM(LEFT(Tasks[[#This Row],[_Res4Text]],FIND("[",Tasks[[#This Row],[_Res4Text]]&amp;"[")-1))))</f>
        <v/>
      </c>
      <c r="EI1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3" t="n">
        <f aca="false">IF(OR(NOT(Tasks[[#This Row],[_IsLeaf]]=1),Tasks[[#This Row],[_Res4Row]]=0),0,N(Tasks[[#This Row],[_Days]])*HoursPerDay*IF(Tasks[[#This Row],[_Res4Units]]="",DefaultUnits,Tasks[[#This Row],[_Res4Units]]))</f>
        <v>0</v>
      </c>
      <c r="EK100" s="43" t="n">
        <f aca="false">IF(AND(AND(Tasks[[#This Row],[_IsLeaf]]=1,Tasks[[#This Row],[_LeafTotalWork]]&gt;0),Tasks[[#This Row],[_Res4Work]]&gt;0),Tasks[[#This Row],[_Res4Work]]/(Tasks[[#This Row],[_FinishWorkday]]-Tasks[[#This Row],[_StartWorkday]]+1),0)</f>
        <v>0</v>
      </c>
      <c r="EL100" s="43" t="n">
        <f aca="false">Tasks[[#This Row],[_Res4WorkPerWD]]*MAX(0,Tasks[[#This Row],[_StartWorkday]]-1)</f>
        <v>0</v>
      </c>
      <c r="EM100" s="43" t="n">
        <f aca="false">Tasks[[#This Row],[_Res4Work]]*Tasks[[#This Row],[_LeafProgress]]</f>
        <v>0</v>
      </c>
      <c r="EN100" s="43" t="n">
        <f aca="false">IF(ISNUMBER(Tasks[[#This Row],[% Complete]]),Tasks[[#This Row],[% Complete]],IF(Tasks[[#This Row],[Stage]]="",0,IFERROR(INDEX(stg_Pct,MATCH(Tasks[[#This Row],[Stage]],stg_Name,0)),0)))</f>
        <v>0</v>
      </c>
      <c r="EO100" s="43" t="n">
        <f aca="false">IF(NOT(Tasks[[#This Row],[_IsLeaf]]=1),0,IF(N(Tasks[[#This Row],[Actual Finish]])&gt;0,1,MIN(1,Tasks[[#This Row],[_Pct]])))</f>
        <v>0</v>
      </c>
      <c r="EP100" s="43" t="n">
        <f aca="false">IF(OR(NOT(Tasks[[#This Row],[_IsLeaf]]=1),Tasks[[#This Row],[_Res1Row]]=0),0,N(Tasks[[#This Row],[_Days]])*HoursPerDay*IF(Tasks[[#This Row],[_Units1]]="",DefaultUnits,Tasks[[#This Row],[_Units1]]))</f>
        <v>0</v>
      </c>
      <c r="EQ100" s="43" t="n">
        <f aca="false">Tasks[[#This Row],[_LeafWork]]+Tasks[[#This Row],[_Res2Work]]+Tasks[[#This Row],[_Res3Work]]+Tasks[[#This Row],[_Res4Work]]</f>
        <v>0</v>
      </c>
      <c r="ER1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3" t="n">
        <f aca="false">IF(NOT(Tasks[[#This Row],[_IsLeaf]]=1),0,MAX(_xlfn.MAXIFS(Tasks[_Row],Tasks[_Pred1UID],Tasks[[#This Row],[UID]]),_xlfn.MAXIFS(Tasks[_Row],Tasks[_Pred2UID],Tasks[[#This Row],[UID]]),_xlfn.MAXIFS(Tasks[_Row],Tasks[_Pred3UID],Tasks[[#This Row],[UID]]),_xlfn.MAXIFS(Tasks[_Row],Tasks[_Pred4UID],Tasks[[#This Row],[UID]])))</f>
        <v>0</v>
      </c>
      <c r="FA1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91" t="str">
        <f aca="false">IF(NOT(Tasks[[#This Row],[_IsLeaf]]=1),"",IF(N(Tasks[[#This Row],[_Days]])&lt;=0,Tasks[[#This Row],[_LeafLateFinish]],WORKDAY.INTL(Tasks[[#This Row],[_LeafLateFinish]],-(Tasks[[#This Row],[_Days]]-1),WorkWeek,Holidays)))</f>
        <v/>
      </c>
      <c r="FD1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0" s="90" t="b">
        <f aca="false">AND(Tasks[[#This Row],[_IsLeaf]]=1,Tasks[[#This Row],[_LeafProgress]]&lt;1,N(Tasks[[#This Row],[_LeafTotalSlack]])&lt;=CriticalSlackDays)</f>
        <v>0</v>
      </c>
      <c r="FF100" s="43" t="n">
        <f aca="false">IF(AND(Tasks[[#This Row],[_IsLeaf]]=1,Tasks[[#This Row],[_ConstraintCode]]=1,Tasks[[#This Row],[Mode]]&lt;&gt;"Manual",N(Tasks[[#This Row],[Actual Start]])=0),MAX(0,N(Tasks[[#This Row],[Free Slack]])),0)</f>
        <v>0</v>
      </c>
      <c r="FG100" s="91" t="str">
        <f aca="false">IF(NOT(Tasks[[#This Row],[_IsLeaf]]=1),"",IF(Tasks[[#This Row],[_AlapShift]]=0,Tasks[[#This Row],[_LeafCalcStart]],WORKDAY.INTL(Tasks[[#This Row],[_LeafCalcStart]],Tasks[[#This Row],[_AlapShift]],WorkWeek,Holidays)))</f>
        <v/>
      </c>
      <c r="FH100" s="91" t="str">
        <f aca="false">IF(NOT(Tasks[[#This Row],[_IsLeaf]]=1),"",IF(Tasks[[#This Row],[_AlapShift]]=0,Tasks[[#This Row],[_LeafCalcFinish]],WORKDAY.INTL(Tasks[[#This Row],[_LeafCalcFinish]],Tasks[[#This Row],[_AlapShift]],WorkWeek,Holidays)))</f>
        <v/>
      </c>
      <c r="FI100" s="91" t="str">
        <f aca="false">IF(NOT(Tasks[[#This Row],[_IsLeaf]]=1),"",IF(Tasks[[#This Row],[_AlapShift]]=0,Tasks[[#This Row],[_LeafFcstStart]],WORKDAY.INTL(Tasks[[#This Row],[_LeafFcstStart]],Tasks[[#This Row],[_AlapShift]],WorkWeek,Holidays)))</f>
        <v/>
      </c>
      <c r="FJ100" s="91" t="str">
        <f aca="false">IF(NOT(Tasks[[#This Row],[_IsLeaf]]=1),"",IF(Tasks[[#This Row],[_AlapShift]]=0,Tasks[[#This Row],[_LeafFcstFinish]],WORKDAY.INTL(Tasks[[#This Row],[_LeafFcstFinish]],Tasks[[#This Row],[_AlapShift]],WorkWeek,Holidays)))</f>
        <v/>
      </c>
      <c r="FK100" s="91" t="str">
        <f aca="false">IF(Tasks[[#This Row],[Task Name]]="","",IF(Tasks[[#This Row],[_IsSummary]],MIN(INDEX(Tasks[_ShownCalcStart],Tasks[[#This Row],[_Row]]+1):INDEX(Tasks[_ShownCalcStart],Tasks[[#This Row],[_Row]]+Tasks[[#This Row],[_Descendants]])),Tasks[[#This Row],[_ShownCalcStart]]))</f>
        <v/>
      </c>
      <c r="FL100" s="91" t="str">
        <f aca="false">IF(Tasks[[#This Row],[Task Name]]="","",IF(Tasks[[#This Row],[_IsSummary]],MAX(INDEX(Tasks[_ShownCalcFinish],Tasks[[#This Row],[_Row]]+1):INDEX(Tasks[_ShownCalcFinish],Tasks[[#This Row],[_Row]]+Tasks[[#This Row],[_Descendants]])),Tasks[[#This Row],[_ShownCalcFinish]]))</f>
        <v/>
      </c>
      <c r="FM1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0" s="43" t="n">
        <f aca="false">IF(AND(Tasks[[#This Row],[_IsLeaf]]=1,Tasks[[#This Row],[_LeafTotalWork]]&gt;0),NETWORKDAYS.INTL(ProjectStart,Tasks[[#This Row],[_ShownFcstStart]],WorkWeek,Holidays),0)</f>
        <v>0</v>
      </c>
      <c r="FZ100" s="43" t="n">
        <f aca="false">IF(AND(Tasks[[#This Row],[_IsLeaf]]=1,Tasks[[#This Row],[_LeafTotalWork]]&gt;0),MAX(Tasks[[#This Row],[_StartWorkday]],NETWORKDAYS.INTL(ProjectStart,Tasks[[#This Row],[_ShownFcstFinish]],WorkWeek,Holidays)),0)</f>
        <v>0</v>
      </c>
      <c r="GA100" s="43" t="n">
        <f aca="false">IF(AND(Tasks[[#This Row],[_IsLeaf]]=1,Tasks[[#This Row],[_LeafTotalWork]]&gt;0),Tasks[[#This Row],[_LeafWork]]/(Tasks[[#This Row],[_FinishWorkday]]-Tasks[[#This Row],[_StartWorkday]]+1),0)</f>
        <v>0</v>
      </c>
      <c r="GB100" s="43" t="n">
        <f aca="false">Tasks[[#This Row],[_WorkPerWorkday]]*(Tasks[[#This Row],[_StartWorkday]]-1)</f>
        <v>-0</v>
      </c>
      <c r="GC100" s="43" t="n">
        <f aca="false">IF(Tasks[[#This Row],[_IsLeaf]]=1,MAX(N(Tasks[[#This Row],[_Days]]),0.1),0)</f>
        <v>0</v>
      </c>
      <c r="GD100" s="43" t="n">
        <f aca="false">Tasks[[#This Row],[_WeightDur]]*Tasks[[#This Row],[_LeafProgress]]</f>
        <v>0</v>
      </c>
      <c r="GE100" s="43" t="n">
        <f aca="false">Tasks[[#This Row],[_WeightDur]]*Tasks[[#This Row],[_PlannedPct]]</f>
        <v>0</v>
      </c>
      <c r="GF1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3" t="str">
        <f aca="false">IF(AND(Tasks[[#This Row],[_IsLeaf]]=1,N(Tasks[[#This Row],[_Days]])=0,Tasks[[#This Row],[_LeafProgress]]&lt;1),Tasks[[#This Row],[_ShownFcstFinish]]+Tasks[[#This Row],[_Row]]/100000,"")</f>
        <v/>
      </c>
      <c r="GH1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0" s="43" t="str">
        <f aca="false">IF(Tasks[[#This Row],[Task Name]]="","",LEFT(Tasks[[#This Row],[WBS]],FIND(".",Tasks[[#This Row],[WBS]]&amp;".")-1))</f>
        <v/>
      </c>
      <c r="GJ100" s="43" t="str">
        <f aca="false">IF(AND(Tasks[[#This Row],[Task Name]]&lt;&gt;"",Tasks[[#This Row],[_Level]]=1),Tasks[[#This Row],[_Row]],"")</f>
        <v/>
      </c>
      <c r="GK100" s="43" t="str">
        <f aca="false">IF(AND(Tasks[[#This Row],[_IsLeaf]]=1,N(Tasks[[#This Row],[_Days]])=0),Tasks[[#This Row],[Planned Finish]]+Tasks[[#This Row],[_Row]]/100000,"")</f>
        <v/>
      </c>
      <c r="GL100" s="43" t="str">
        <f aca="false">IF(AND(Tasks[[#This Row],[_IsLeaf]]=1,Tasks[[#This Row],[_LeafProgress]]&lt;1,OR(N(Tasks[[#This Row],[Finish Var]])&gt;0,Tasks[[#This Row],[Status]]="Late Start")),MAX(0,Tasks[[#This Row],[Finish Var]])+1-Tasks[[#This Row],[_Row]]/1000000,"")</f>
        <v/>
      </c>
      <c r="GM100" s="43" t="str">
        <f aca="false">IF(AND(Tasks[[#This Row],[_IsLeaf]]=1,N(Tasks[[#This Row],[Actual Start]])=0,Tasks[[#This Row],[_ShownFcstStart]]&gt;=StatusDate,Tasks[[#This Row],[_ShownFcstStart]]&lt;=LookaheadEnd),Tasks[[#This Row],[_ShownFcstStart]]+Tasks[[#This Row],[_Row]]/100000,"")</f>
        <v/>
      </c>
      <c r="GN100" s="43" t="str">
        <f aca="false">IF(AND(Tasks[[#This Row],[_IsLeaf]]=1,Tasks[[#This Row],[_LeafProgress]]&lt;1,Tasks[[#This Row],[_ShownFcstFinish]]&gt;=StatusDate,Tasks[[#This Row],[_ShownFcstFinish]]&lt;=LookaheadEnd),Tasks[[#This Row],[_ShownFcstFinish]]+Tasks[[#This Row],[_Row]]/100000,"")</f>
        <v/>
      </c>
      <c r="GO100" s="43" t="str">
        <f aca="false">IF(Tasks[[#This Row],[_LeafCritical]],Tasks[[#This Row],[_ShownFcstStart]]+Tasks[[#This Row],[_Row]]/100000,"")</f>
        <v/>
      </c>
      <c r="GP100" s="43" t="n">
        <f aca="false">Tasks[[#This Row],[_LeafWork]]*Tasks[[#This Row],[_LeafProgress]]</f>
        <v>0</v>
      </c>
      <c r="GQ100" s="91" t="str">
        <f aca="false">IF(AND(Tasks[[#This Row],[_IsLeaf]]=1,Tasks[[#This Row],[_LeafProgress]]&gt;=1),IF(N(Tasks[[#This Row],[Actual Finish]])&gt;0,Tasks[[#This Row],[Actual Finish]],Tasks[[#This Row],[_ShownFcstFinish]]),"")</f>
        <v/>
      </c>
      <c r="GR100" s="43" t="n">
        <f aca="false">IF(Tasks[[#This Row],[_IsLeaf]]=1,N(Tasks[[#This Row],[Story Points]]),0)</f>
        <v>0</v>
      </c>
      <c r="GS100" s="43" t="str">
        <f aca="false">""</f>
        <v/>
      </c>
      <c r="GT100" s="90" t="b">
        <f aca="false">IF(Tasks[[#This Row],[Task Name]]="",FALSE(),AND(Tasks[[#This Row],[_IsLeaf]]=1,N(Tasks[[#This Row],[_Days]])=0))</f>
        <v>0</v>
      </c>
      <c r="GU100" s="91" t="n">
        <f aca="false">IF(Tasks[[#This Row],[Task Name]]="",0,IF(AND(Tasks[[#This Row],[_IsLeaf]]=1,NOT(Tasks[[#This Row],[_IsMilestone]]),N(Tasks[[#This Row],[Progress]])&gt;0),Tasks[[#This Row],[Start]],0))</f>
        <v>0</v>
      </c>
      <c r="GV100" s="91" t="n">
        <f aca="false">IF(Tasks[[#This Row],[_DoneFrom]]=0,0,IF(Tasks[[#This Row],[Progress]]&gt;=1,Tasks[[#This Row],[Finish]],MAX(Tasks[[#This Row],[_DoneFrom]],Tasks[[#This Row],[Start]]+ROUND((Tasks[[#This Row],[Finish]]-Tasks[[#This Row],[Start]]+1)*Tasks[[#This Row],[Progress]],0)-1)))</f>
        <v>0</v>
      </c>
      <c r="GW100" s="91" t="n">
        <f aca="false">IF(Tasks[[#This Row],[Task Name]]="",0,IF(OR(NOT(Tasks[[#This Row],[_IsLeaf]]=1),Tasks[[#This Row],[_IsMilestone]],N(Tasks[[#This Row],[Progress]])&gt;=1),0,IF(Tasks[[#This Row],[_DoneTo]]&gt;0,Tasks[[#This Row],[_DoneTo]]+1,Tasks[[#This Row],[Start]])))</f>
        <v>0</v>
      </c>
      <c r="GX100" s="91" t="n">
        <f aca="false">IF(Tasks[[#This Row],[_RemFrom]]=0,0,Tasks[[#This Row],[Finish]])</f>
        <v>0</v>
      </c>
      <c r="GY100" s="90" t="b">
        <f aca="false">IF(Tasks[[#This Row],[Task Name]]="",FALSE(),OR(NOT(BaselineSet),N(Tasks[[#This Row],[Baseline Start]])&gt;0))</f>
        <v>0</v>
      </c>
      <c r="GZ10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92" t="str">
        <f aca="false">IF(Tasks[[#This Row],[_IsLeaf]]=1,Tasks[[#This Row],[_Row]],"")</f>
        <v/>
      </c>
      <c r="HD100" s="92" t="str">
        <f aca="false">IFERROR(INDEX(Tasks[UID],SMALL(Tasks[_PickKey],Tasks[[#This Row],[_Row]]))&amp;" "&amp;INDEX(Tasks[Task Name],SMALL(Tasks[_PickKey],Tasks[[#This Row],[_Row]])),"")</f>
        <v/>
      </c>
      <c r="HE100" s="43" t="str">
        <f aca="false">IF(Tasks[[#This Row],[Task Name]]="","",IF(Tasks[[#This Row],[_IsSummary]],NETWORKDAYS.INTL(Tasks[[#This Row],[Start]],Tasks[[#This Row],[Finish]],WorkWeek,Holidays),N(Tasks[[#This Row],[_Days]])))</f>
        <v/>
      </c>
      <c r="HF100" s="43" t="n">
        <f aca="false">IF(Tasks[[#This Row],[Expected]]="",0,((Tasks[[#This Row],[Pessimistic]]-Tasks[[#This Row],[Optimistic]])/6)^2)</f>
        <v>0</v>
      </c>
      <c r="HG100" s="43" t="n">
        <f aca="false">IF(Tasks[[#This Row],[Expected]]="",0,Tasks[[#This Row],[Expected]]-N(Tasks[[#This Row],[_Days]]))</f>
        <v>0</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4"/>
      <c r="U101" s="23"/>
      <c r="V101" s="84"/>
      <c r="W101" s="23"/>
      <c r="X101" s="84"/>
      <c r="Y101" s="23"/>
      <c r="Z101" s="84"/>
      <c r="AA101" s="23"/>
      <c r="AB101" s="23"/>
      <c r="AC101" s="7"/>
      <c r="AD101" s="7"/>
      <c r="AE101" s="63" t="str">
        <f aca="false">IF(Tasks[[#This Row],[Task Name]]="","",IF(Tasks[[#This Row],[_IsSummary]],MIN(INDEX(Tasks[_ShownFcstStart],Tasks[[#This Row],[_Row]]+1):INDEX(Tasks[_ShownFcstStart],Tasks[[#This Row],[_Row]]+Tasks[[#This Row],[_Descendants]])),Tasks[[#This Row],[_ShownFcstStart]]))</f>
        <v/>
      </c>
      <c r="AF101" s="63"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1" s="7"/>
      <c r="AK101" s="22"/>
      <c r="AL101" s="23"/>
      <c r="AM101" s="7"/>
      <c r="AN101" s="47"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3" t="str">
        <f aca="false">IF(Tasks[[#This Row],[Task Name]]="","",IF(N(Tasks[[#This Row],[Baseline Start]])&gt;0,Tasks[[#This Row],[Baseline Start]],Tasks[[#This Row],[_CalcStart]]))</f>
        <v/>
      </c>
      <c r="AR101" s="63" t="str">
        <f aca="false">IF(Tasks[[#This Row],[Task Name]]="","",IF(N(Tasks[[#This Row],[Baseline Finish]])&gt;0,Tasks[[#This Row],[Baseline Finish]],Tasks[[#This Row],[_CalcFinish]]))</f>
        <v/>
      </c>
      <c r="AS101" s="47" t="str">
        <f aca="false">IF(Tasks[[#This Row],[Task Name]]="","",IF(Tasks[[#This Row],[Start]]&gt;=Tasks[[#This Row],[Planned Start]],NETWORKDAYS.INTL(Tasks[[#This Row],[Planned Start]],Tasks[[#This Row],[Start]],WorkWeek,Holidays)-1,1-NETWORKDAYS.INTL(Tasks[[#This Row],[Start]],Tasks[[#This Row],[Planned Start]],WorkWeek,Holidays)))</f>
        <v/>
      </c>
      <c r="AT101" s="63" t="str">
        <f aca="false">IF(Tasks[[#This Row],[Task Name]]="","",IF(Tasks[[#This Row],[_IsSummary]],MIN(INDEX(Tasks[_LeafLateStart],Tasks[[#This Row],[_Row]]+1):INDEX(Tasks[_LeafLateStart],Tasks[[#This Row],[_Row]]+Tasks[[#This Row],[_Descendants]])),Tasks[[#This Row],[_LeafLateStart]]))</f>
        <v/>
      </c>
      <c r="AU101" s="63" t="str">
        <f aca="false">IF(Tasks[[#This Row],[Task Name]]="","",IF(Tasks[[#This Row],[_IsSummary]],MAX(INDEX(Tasks[_LeafLateFinish],Tasks[[#This Row],[_Row]]+1):INDEX(Tasks[_LeafLateFinish],Tasks[[#This Row],[_Row]]+Tasks[[#This Row],[_Descendants]])),Tasks[[#This Row],[_LeafLateFinish]]))</f>
        <v/>
      </c>
      <c r="AV101" s="47"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5"/>
      <c r="BA1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6"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7"/>
      <c r="BJ101" s="22"/>
      <c r="BK101" s="47" t="str">
        <f aca="false">IF(OR(Tasks[[#This Row],[Task Name]]="",Tasks[[#This Row],[Baseline Duration]]=""),"",Tasks[[#This Row],[_SpanDays]]-N(Tasks[[#This Row],[Baseline Duration]]))</f>
        <v/>
      </c>
      <c r="BL101" s="86" t="str">
        <f aca="false">IF(OR(Tasks[[#This Row],[Task Name]]="",Tasks[[#This Row],[Baseline Work]]=""),"",Tasks[[#This Row],[Work]]-N(Tasks[[#This Row],[Baseline Work]]))</f>
        <v/>
      </c>
      <c r="BM101" s="63" t="str">
        <f aca="false">IF(Tasks[[#This Row],[Task Name]]="","",IF(OR(TakeBaseline="Yes",N(Tasks[[#This Row],[Baseline Start]])=0),Tasks[[#This Row],[Start]],Tasks[[#This Row],[Baseline Start]]))</f>
        <v/>
      </c>
      <c r="BN101" s="63" t="str">
        <f aca="false">IF(Tasks[[#This Row],[Task Name]]="","",IF(OR(TakeBaseline="Yes",N(Tasks[[#This Row],[Baseline Finish]])=0),Tasks[[#This Row],[Finish]],Tasks[[#This Row],[Baseline Finish]]))</f>
        <v/>
      </c>
      <c r="BO101" s="21" t="str">
        <f aca="false">IF(Tasks[[#This Row],[Task Name]]="","",IF(OR(TakeBaseline="Yes",N(Tasks[[#This Row],[Baseline Duration]])=0),Tasks[[#This Row],[_SpanDays]],Tasks[[#This Row],[Baseline Duration]]))</f>
        <v/>
      </c>
      <c r="BP101" s="86" t="str">
        <f aca="false">IF(Tasks[[#This Row],[Task Name]]="","",IF(OR(TakeBaseline="Yes",N(Tasks[[#This Row],[Baseline Work]])=0),Tasks[[#This Row],[Work]],Tasks[[#This Row],[Baseline Work]]))</f>
        <v/>
      </c>
      <c r="BQ101" s="7"/>
      <c r="BR101" s="7"/>
      <c r="BS101" s="22"/>
      <c r="BT101" s="88"/>
      <c r="BU101" s="23"/>
      <c r="BV101" s="23"/>
      <c r="BW101" s="23"/>
      <c r="BX101" s="89" t="str">
        <f aca="false">IF(AND(Tasks[[#This Row],[_IsLeaf]]=1,ISNUMBER(Tasks[[#This Row],[Optimistic]]),ISNUMBER(Tasks[[#This Row],[Pessimistic]])),ROUND((Tasks[[#This Row],[Optimistic]]+4*N(Tasks[[#This Row],[_Days]])+Tasks[[#This Row],[Pessimistic]])/6,1),"")</f>
        <v/>
      </c>
      <c r="BY101" s="87"/>
      <c r="BZ101" s="87"/>
      <c r="CA101" s="22"/>
      <c r="CB101" s="43" t="str">
        <f aca="false">IF(Tasks[[#This Row],[Task Name]]="","",MAX(1,N(Tasks[[#This Row],[Level]])))</f>
        <v/>
      </c>
      <c r="CC101" s="43" t="n">
        <f aca="false">ROW()-ROW(Tasks[[#Headers],[ID]])</f>
        <v>96</v>
      </c>
      <c r="CD101" s="43" t="n">
        <f aca="false">IF(OR(Tasks[[#This Row],[Task Name]]="",Tasks[[#This Row],[_Level]]&lt;=1),0,IFERROR(LOOKUP(2,1/(Tasks[[#Headers],[_Level]]:Tasks[[#This Row],[_Level]]=Tasks[[#This Row],[_Level]]-1),ROW(Tasks[[#Headers],[_Level]]:Tasks[[#This Row],[_Level]])),0))</f>
        <v>0</v>
      </c>
      <c r="CE101" s="43" t="n">
        <f aca="false">IFERROR(N(INDEX(Tasks[_Level],Tasks[[#This Row],[_Row]]+1)),0)</f>
        <v>0</v>
      </c>
      <c r="CF101" s="90" t="b">
        <f aca="false">AND(Tasks[[#This Row],[Task Name]]&lt;&gt;"",Tasks[[#This Row],[_NextLevel]]&gt;Tasks[[#This Row],[_Level]])</f>
        <v>0</v>
      </c>
      <c r="CG101" s="43" t="n">
        <f aca="false">IF(Tasks[[#This Row],[_IsSummary]],COUNTIF(Tasks[WBS],Tasks[[#This Row],[WBS]]&amp;".*"),0)</f>
        <v>0</v>
      </c>
      <c r="CH101" s="43" t="n">
        <f aca="false">IF(AND(Tasks[[#This Row],[Task Name]]&lt;&gt;"",NOT(Tasks[[#This Row],[_IsSummary]])),1,0)</f>
        <v>0</v>
      </c>
      <c r="CI101" s="43" t="n">
        <f aca="false">IF(N(Tasks[[#This Row],[_Pred1UID]])=0,0,IFERROR(MATCH(Tasks[[#This Row],[_Pred1UID]],Tasks[UID],0),-1))</f>
        <v>0</v>
      </c>
      <c r="CJ101" s="43" t="n">
        <f aca="false">IF(N(Tasks[[#This Row],[_Pred2UID]])=0,0,IFERROR(MATCH(Tasks[[#This Row],[_Pred2UID]],Tasks[UID],0),-1))</f>
        <v>0</v>
      </c>
      <c r="CK101" s="43" t="n">
        <f aca="false">IF(N(Tasks[[#This Row],[_Pred3UID]])=0,0,IFERROR(MATCH(Tasks[[#This Row],[_Pred3UID]],Tasks[UID],0),-1))</f>
        <v>0</v>
      </c>
      <c r="CL101" s="43" t="n">
        <f aca="false">IF(N(Tasks[[#This Row],[_Pred4UID]])=0,0,IFERROR(MATCH(Tasks[[#This Row],[_Pred4UID]],Tasks[UID],0),-1))</f>
        <v>0</v>
      </c>
      <c r="CM1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1" s="91" t="n">
        <f aca="false">IF(OR(Tasks[[#This Row],[_ConstraintCode]]=2,Tasks[[#This Row],[_ConstraintCode]]=3,Tasks[[#This Row],[_ConstraintCode]]=4,Tasks[[#This Row],[_ConstraintCode]]=6),Tasks[[#This Row],[_ConstraintStart]],0)</f>
        <v>0</v>
      </c>
      <c r="CP101" s="91" t="n">
        <f aca="false">IF(OR(Tasks[[#This Row],[_ConstraintCode]]=2,Tasks[[#This Row],[_ConstraintCode]]=3,Tasks[[#This Row],[_ConstraintCode]]=5,Tasks[[#This Row],[_ConstraintCode]]=7),Tasks[[#This Row],[_ConstraintStart]],2958465)</f>
        <v>2958465</v>
      </c>
      <c r="CQ1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91" t="str">
        <f aca="false">IF(NOT(Tasks[[#This Row],[_IsLeaf]]=1),"",IF(N(Tasks[[#This Row],[_Days]])&lt;=0,Tasks[[#This Row],[_LeafCalcStart]],WORKDAY.INTL(Tasks[[#This Row],[_LeafCalcStart]],Tasks[[#This Row],[_Days]]-1,WorkWeek,Holidays)))</f>
        <v/>
      </c>
      <c r="CS1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3" t="str">
        <f aca="false">IF(Tasks[[#This Row],[_Predecessors]]="","",TRIM(MID(SUBSTITUTE(SUBSTITUTE(SUBSTITUTE(UPPER(Tasks[[#This Row],[_Predecessors]]),";",",")," ",""),",",REPT(" ",99)),1,99)))</f>
        <v/>
      </c>
      <c r="CV101" s="43" t="str">
        <f aca="false">IF(Tasks[[#This Row],[_Pred1Text]]="","",IFERROR(VALUE(LEFT(Tasks[[#This Row],[_Pred1Text]],MIN(FIND("F",Tasks[[#This Row],[_Pred1Text]]&amp;"F"),FIND("S",Tasks[[#This Row],[_Pred1Text]]&amp;"S"),FIND("+",Tasks[[#This Row],[_Pred1Text]]&amp;"+"),FIND("-",Tasks[[#This Row],[_Pred1Text]]&amp;"-"))-1)),""))</f>
        <v/>
      </c>
      <c r="CW1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3" t="str">
        <f aca="false">IF(Tasks[[#This Row],[_Pred1Text]]="","",TRIM(MID(SUBSTITUTE(SUBSTITUTE(SUBSTITUTE(UPPER(Tasks[[#This Row],[_Predecessors]]),";",",")," ",""),",",REPT(" ",99)),100,99)))</f>
        <v/>
      </c>
      <c r="CZ101" s="43" t="str">
        <f aca="false">IF(Tasks[[#This Row],[_Pred2Text]]="","",IFERROR(VALUE(LEFT(Tasks[[#This Row],[_Pred2Text]],MIN(FIND("F",Tasks[[#This Row],[_Pred2Text]]&amp;"F"),FIND("S",Tasks[[#This Row],[_Pred2Text]]&amp;"S"),FIND("+",Tasks[[#This Row],[_Pred2Text]]&amp;"+"),FIND("-",Tasks[[#This Row],[_Pred2Text]]&amp;"-"))-1)),""))</f>
        <v/>
      </c>
      <c r="DA1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3" t="str">
        <f aca="false">IF(Tasks[[#This Row],[_Pred2Text]]="","",TRIM(MID(SUBSTITUTE(SUBSTITUTE(SUBSTITUTE(UPPER(Tasks[[#This Row],[_Predecessors]]),";",",")," ",""),",",REPT(" ",99)),199,99)))</f>
        <v/>
      </c>
      <c r="DD101" s="43" t="str">
        <f aca="false">IF(Tasks[[#This Row],[_Pred3Text]]="","",IFERROR(VALUE(LEFT(Tasks[[#This Row],[_Pred3Text]],MIN(FIND("F",Tasks[[#This Row],[_Pred3Text]]&amp;"F"),FIND("S",Tasks[[#This Row],[_Pred3Text]]&amp;"S"),FIND("+",Tasks[[#This Row],[_Pred3Text]]&amp;"+"),FIND("-",Tasks[[#This Row],[_Pred3Text]]&amp;"-"))-1)),""))</f>
        <v/>
      </c>
      <c r="DE1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3" t="str">
        <f aca="false">IF(Tasks[[#This Row],[_Pred3Text]]="","",TRIM(MID(SUBSTITUTE(SUBSTITUTE(SUBSTITUTE(UPPER(Tasks[[#This Row],[_Predecessors]]),";",",")," ",""),",",REPT(" ",99)),298,99)))</f>
        <v/>
      </c>
      <c r="DH101" s="43" t="str">
        <f aca="false">IF(Tasks[[#This Row],[_Pred4Text]]="","",IFERROR(VALUE(LEFT(Tasks[[#This Row],[_Pred4Text]],MIN(FIND("F",Tasks[[#This Row],[_Pred4Text]]&amp;"F"),FIND("S",Tasks[[#This Row],[_Pred4Text]]&amp;"S"),FIND("+",Tasks[[#This Row],[_Pred4Text]]&amp;"+"),FIND("-",Tasks[[#This Row],[_Pred4Text]]&amp;"-"))-1)),""))</f>
        <v/>
      </c>
      <c r="DI1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3" t="str">
        <f aca="false">IF(OR(Tasks[[#This Row],[Task Name]]="",Tasks[[#This Row],[_Resources]]=""),"",TRIM(MID(SUBSTITUTE(Tasks[[#This Row],[_Resources]],",",REPT(" ",99)),1,99)))</f>
        <v/>
      </c>
      <c r="DL101" s="43" t="str">
        <f aca="false">IF(Tasks[[#This Row],[_Res1Text]]="","",TRIM(MID(SUBSTITUTE(Tasks[[#This Row],[_Resources]],",",REPT(" ",99)),100,99)))</f>
        <v/>
      </c>
      <c r="DM101" s="43" t="str">
        <f aca="false">IF(Tasks[[#This Row],[_Res2Text]]="","",TRIM(MID(SUBSTITUTE(Tasks[[#This Row],[_Resources]],",",REPT(" ",99)),199,99)))</f>
        <v/>
      </c>
      <c r="DN101" s="43" t="str">
        <f aca="false">IF(Tasks[[#This Row],[_Res3Text]]="","",TRIM(MID(SUBSTITUTE(Tasks[[#This Row],[_Resources]],",",REPT(" ",99)),298,99)))</f>
        <v/>
      </c>
      <c r="DO101" s="43" t="n">
        <f aca="false">IF(Tasks[[#This Row],[_Res1Text]]="",0,IFERROR(MATCH(TRIM(LEFT(Tasks[[#This Row],[_Res1Text]],FIND("[",Tasks[[#This Row],[_Res1Text]]&amp;"[")-1)),res_Name,0),IFERROR(MATCH(TRIM(LEFT(Tasks[[#This Row],[_Res1Text]],FIND("[",Tasks[[#This Row],[_Res1Text]]&amp;"[")-1)),res_Initials,0),0)))</f>
        <v>0</v>
      </c>
      <c r="DP101" s="43" t="n">
        <f aca="false">IF(Tasks[[#This Row],[_Res2Text]]="",0,IFERROR(MATCH(TRIM(LEFT(Tasks[[#This Row],[_Res2Text]],FIND("[",Tasks[[#This Row],[_Res2Text]]&amp;"[")-1)),res_Name,0),IFERROR(MATCH(TRIM(LEFT(Tasks[[#This Row],[_Res2Text]],FIND("[",Tasks[[#This Row],[_Res2Text]]&amp;"[")-1)),res_Initials,0),0)))</f>
        <v>0</v>
      </c>
      <c r="DQ101" s="43" t="n">
        <f aca="false">IF(Tasks[[#This Row],[_Res3Text]]="",0,IFERROR(MATCH(TRIM(LEFT(Tasks[[#This Row],[_Res3Text]],FIND("[",Tasks[[#This Row],[_Res3Text]]&amp;"[")-1)),res_Name,0),IFERROR(MATCH(TRIM(LEFT(Tasks[[#This Row],[_Res3Text]],FIND("[",Tasks[[#This Row],[_Res3Text]]&amp;"[")-1)),res_Initials,0),0)))</f>
        <v>0</v>
      </c>
      <c r="DR101" s="43" t="n">
        <f aca="false">IF(Tasks[[#This Row],[_Res4Text]]="",0,IFERROR(MATCH(TRIM(LEFT(Tasks[[#This Row],[_Res4Text]],FIND("[",Tasks[[#This Row],[_Res4Text]]&amp;"[")-1)),res_Name,0),IFERROR(MATCH(TRIM(LEFT(Tasks[[#This Row],[_Res4Text]],FIND("[",Tasks[[#This Row],[_Res4Text]]&amp;"[")-1)),res_Initials,0),0)))</f>
        <v>0</v>
      </c>
      <c r="DS101" s="43" t="str">
        <f aca="false">IF(Tasks[[#This Row],[_Res1Text]]="","",IF(Tasks[[#This Row],[_Res1Row]]&gt;0,INDEX(res_Name,Tasks[[#This Row],[_Res1Row]]),TRIM(LEFT(Tasks[[#This Row],[_Res1Text]],FIND("[",Tasks[[#This Row],[_Res1Text]]&amp;"[")-1))))</f>
        <v/>
      </c>
      <c r="DT1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3" t="n">
        <f aca="false">IF(NOT(Tasks[[#This Row],[_IsLeaf]]=1),0,(Tasks[[#This Row],[_Resource1]]&lt;&gt;"")+(Tasks[[#This Row],[_Res2]]&lt;&gt;"")+(Tasks[[#This Row],[_Res3]]&lt;&gt;"")+(Tasks[[#This Row],[_Res4]]&lt;&gt;""))</f>
        <v>0</v>
      </c>
      <c r="DV101" s="43" t="str">
        <f aca="false">IF(Tasks[[#This Row],[_Res2Text]]="","",IF(Tasks[[#This Row],[_Res2Row]]&gt;0,INDEX(res_Name,Tasks[[#This Row],[_Res2Row]]),TRIM(LEFT(Tasks[[#This Row],[_Res2Text]],FIND("[",Tasks[[#This Row],[_Res2Text]]&amp;"[")-1))))</f>
        <v/>
      </c>
      <c r="DW1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3" t="n">
        <f aca="false">IF(OR(NOT(Tasks[[#This Row],[_IsLeaf]]=1),Tasks[[#This Row],[_Res2Row]]=0),0,N(Tasks[[#This Row],[_Days]])*HoursPerDay*IF(Tasks[[#This Row],[_Res2Units]]="",DefaultUnits,Tasks[[#This Row],[_Res2Units]]))</f>
        <v>0</v>
      </c>
      <c r="DY101" s="43" t="n">
        <f aca="false">IF(AND(AND(Tasks[[#This Row],[_IsLeaf]]=1,Tasks[[#This Row],[_LeafTotalWork]]&gt;0),Tasks[[#This Row],[_Res2Work]]&gt;0),Tasks[[#This Row],[_Res2Work]]/(Tasks[[#This Row],[_FinishWorkday]]-Tasks[[#This Row],[_StartWorkday]]+1),0)</f>
        <v>0</v>
      </c>
      <c r="DZ101" s="43" t="n">
        <f aca="false">Tasks[[#This Row],[_Res2WorkPerWD]]*MAX(0,Tasks[[#This Row],[_StartWorkday]]-1)</f>
        <v>0</v>
      </c>
      <c r="EA101" s="43" t="n">
        <f aca="false">Tasks[[#This Row],[_Res2Work]]*Tasks[[#This Row],[_LeafProgress]]</f>
        <v>0</v>
      </c>
      <c r="EB101" s="43" t="str">
        <f aca="false">IF(Tasks[[#This Row],[_Res3Text]]="","",IF(Tasks[[#This Row],[_Res3Row]]&gt;0,INDEX(res_Name,Tasks[[#This Row],[_Res3Row]]),TRIM(LEFT(Tasks[[#This Row],[_Res3Text]],FIND("[",Tasks[[#This Row],[_Res3Text]]&amp;"[")-1))))</f>
        <v/>
      </c>
      <c r="EC1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3" t="n">
        <f aca="false">IF(OR(NOT(Tasks[[#This Row],[_IsLeaf]]=1),Tasks[[#This Row],[_Res3Row]]=0),0,N(Tasks[[#This Row],[_Days]])*HoursPerDay*IF(Tasks[[#This Row],[_Res3Units]]="",DefaultUnits,Tasks[[#This Row],[_Res3Units]]))</f>
        <v>0</v>
      </c>
      <c r="EE101" s="43" t="n">
        <f aca="false">IF(AND(AND(Tasks[[#This Row],[_IsLeaf]]=1,Tasks[[#This Row],[_LeafTotalWork]]&gt;0),Tasks[[#This Row],[_Res3Work]]&gt;0),Tasks[[#This Row],[_Res3Work]]/(Tasks[[#This Row],[_FinishWorkday]]-Tasks[[#This Row],[_StartWorkday]]+1),0)</f>
        <v>0</v>
      </c>
      <c r="EF101" s="43" t="n">
        <f aca="false">Tasks[[#This Row],[_Res3WorkPerWD]]*MAX(0,Tasks[[#This Row],[_StartWorkday]]-1)</f>
        <v>0</v>
      </c>
      <c r="EG101" s="43" t="n">
        <f aca="false">Tasks[[#This Row],[_Res3Work]]*Tasks[[#This Row],[_LeafProgress]]</f>
        <v>0</v>
      </c>
      <c r="EH101" s="43" t="str">
        <f aca="false">IF(Tasks[[#This Row],[_Res4Text]]="","",IF(Tasks[[#This Row],[_Res4Row]]&gt;0,INDEX(res_Name,Tasks[[#This Row],[_Res4Row]]),TRIM(LEFT(Tasks[[#This Row],[_Res4Text]],FIND("[",Tasks[[#This Row],[_Res4Text]]&amp;"[")-1))))</f>
        <v/>
      </c>
      <c r="EI1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3" t="n">
        <f aca="false">IF(OR(NOT(Tasks[[#This Row],[_IsLeaf]]=1),Tasks[[#This Row],[_Res4Row]]=0),0,N(Tasks[[#This Row],[_Days]])*HoursPerDay*IF(Tasks[[#This Row],[_Res4Units]]="",DefaultUnits,Tasks[[#This Row],[_Res4Units]]))</f>
        <v>0</v>
      </c>
      <c r="EK101" s="43" t="n">
        <f aca="false">IF(AND(AND(Tasks[[#This Row],[_IsLeaf]]=1,Tasks[[#This Row],[_LeafTotalWork]]&gt;0),Tasks[[#This Row],[_Res4Work]]&gt;0),Tasks[[#This Row],[_Res4Work]]/(Tasks[[#This Row],[_FinishWorkday]]-Tasks[[#This Row],[_StartWorkday]]+1),0)</f>
        <v>0</v>
      </c>
      <c r="EL101" s="43" t="n">
        <f aca="false">Tasks[[#This Row],[_Res4WorkPerWD]]*MAX(0,Tasks[[#This Row],[_StartWorkday]]-1)</f>
        <v>0</v>
      </c>
      <c r="EM101" s="43" t="n">
        <f aca="false">Tasks[[#This Row],[_Res4Work]]*Tasks[[#This Row],[_LeafProgress]]</f>
        <v>0</v>
      </c>
      <c r="EN101" s="43" t="n">
        <f aca="false">IF(ISNUMBER(Tasks[[#This Row],[% Complete]]),Tasks[[#This Row],[% Complete]],IF(Tasks[[#This Row],[Stage]]="",0,IFERROR(INDEX(stg_Pct,MATCH(Tasks[[#This Row],[Stage]],stg_Name,0)),0)))</f>
        <v>0</v>
      </c>
      <c r="EO101" s="43" t="n">
        <f aca="false">IF(NOT(Tasks[[#This Row],[_IsLeaf]]=1),0,IF(N(Tasks[[#This Row],[Actual Finish]])&gt;0,1,MIN(1,Tasks[[#This Row],[_Pct]])))</f>
        <v>0</v>
      </c>
      <c r="EP101" s="43" t="n">
        <f aca="false">IF(OR(NOT(Tasks[[#This Row],[_IsLeaf]]=1),Tasks[[#This Row],[_Res1Row]]=0),0,N(Tasks[[#This Row],[_Days]])*HoursPerDay*IF(Tasks[[#This Row],[_Units1]]="",DefaultUnits,Tasks[[#This Row],[_Units1]]))</f>
        <v>0</v>
      </c>
      <c r="EQ101" s="43" t="n">
        <f aca="false">Tasks[[#This Row],[_LeafWork]]+Tasks[[#This Row],[_Res2Work]]+Tasks[[#This Row],[_Res3Work]]+Tasks[[#This Row],[_Res4Work]]</f>
        <v>0</v>
      </c>
      <c r="ER1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3" t="n">
        <f aca="false">IF(NOT(Tasks[[#This Row],[_IsLeaf]]=1),0,MAX(_xlfn.MAXIFS(Tasks[_Row],Tasks[_Pred1UID],Tasks[[#This Row],[UID]]),_xlfn.MAXIFS(Tasks[_Row],Tasks[_Pred2UID],Tasks[[#This Row],[UID]]),_xlfn.MAXIFS(Tasks[_Row],Tasks[_Pred3UID],Tasks[[#This Row],[UID]]),_xlfn.MAXIFS(Tasks[_Row],Tasks[_Pred4UID],Tasks[[#This Row],[UID]])))</f>
        <v>0</v>
      </c>
      <c r="FA1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91" t="str">
        <f aca="false">IF(NOT(Tasks[[#This Row],[_IsLeaf]]=1),"",IF(N(Tasks[[#This Row],[_Days]])&lt;=0,Tasks[[#This Row],[_LeafLateFinish]],WORKDAY.INTL(Tasks[[#This Row],[_LeafLateFinish]],-(Tasks[[#This Row],[_Days]]-1),WorkWeek,Holidays)))</f>
        <v/>
      </c>
      <c r="FD1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1" s="90" t="b">
        <f aca="false">AND(Tasks[[#This Row],[_IsLeaf]]=1,Tasks[[#This Row],[_LeafProgress]]&lt;1,N(Tasks[[#This Row],[_LeafTotalSlack]])&lt;=CriticalSlackDays)</f>
        <v>0</v>
      </c>
      <c r="FF101" s="43" t="n">
        <f aca="false">IF(AND(Tasks[[#This Row],[_IsLeaf]]=1,Tasks[[#This Row],[_ConstraintCode]]=1,Tasks[[#This Row],[Mode]]&lt;&gt;"Manual",N(Tasks[[#This Row],[Actual Start]])=0),MAX(0,N(Tasks[[#This Row],[Free Slack]])),0)</f>
        <v>0</v>
      </c>
      <c r="FG101" s="91" t="str">
        <f aca="false">IF(NOT(Tasks[[#This Row],[_IsLeaf]]=1),"",IF(Tasks[[#This Row],[_AlapShift]]=0,Tasks[[#This Row],[_LeafCalcStart]],WORKDAY.INTL(Tasks[[#This Row],[_LeafCalcStart]],Tasks[[#This Row],[_AlapShift]],WorkWeek,Holidays)))</f>
        <v/>
      </c>
      <c r="FH101" s="91" t="str">
        <f aca="false">IF(NOT(Tasks[[#This Row],[_IsLeaf]]=1),"",IF(Tasks[[#This Row],[_AlapShift]]=0,Tasks[[#This Row],[_LeafCalcFinish]],WORKDAY.INTL(Tasks[[#This Row],[_LeafCalcFinish]],Tasks[[#This Row],[_AlapShift]],WorkWeek,Holidays)))</f>
        <v/>
      </c>
      <c r="FI101" s="91" t="str">
        <f aca="false">IF(NOT(Tasks[[#This Row],[_IsLeaf]]=1),"",IF(Tasks[[#This Row],[_AlapShift]]=0,Tasks[[#This Row],[_LeafFcstStart]],WORKDAY.INTL(Tasks[[#This Row],[_LeafFcstStart]],Tasks[[#This Row],[_AlapShift]],WorkWeek,Holidays)))</f>
        <v/>
      </c>
      <c r="FJ101" s="91" t="str">
        <f aca="false">IF(NOT(Tasks[[#This Row],[_IsLeaf]]=1),"",IF(Tasks[[#This Row],[_AlapShift]]=0,Tasks[[#This Row],[_LeafFcstFinish]],WORKDAY.INTL(Tasks[[#This Row],[_LeafFcstFinish]],Tasks[[#This Row],[_AlapShift]],WorkWeek,Holidays)))</f>
        <v/>
      </c>
      <c r="FK101" s="91" t="str">
        <f aca="false">IF(Tasks[[#This Row],[Task Name]]="","",IF(Tasks[[#This Row],[_IsSummary]],MIN(INDEX(Tasks[_ShownCalcStart],Tasks[[#This Row],[_Row]]+1):INDEX(Tasks[_ShownCalcStart],Tasks[[#This Row],[_Row]]+Tasks[[#This Row],[_Descendants]])),Tasks[[#This Row],[_ShownCalcStart]]))</f>
        <v/>
      </c>
      <c r="FL101" s="91" t="str">
        <f aca="false">IF(Tasks[[#This Row],[Task Name]]="","",IF(Tasks[[#This Row],[_IsSummary]],MAX(INDEX(Tasks[_ShownCalcFinish],Tasks[[#This Row],[_Row]]+1):INDEX(Tasks[_ShownCalcFinish],Tasks[[#This Row],[_Row]]+Tasks[[#This Row],[_Descendants]])),Tasks[[#This Row],[_ShownCalcFinish]]))</f>
        <v/>
      </c>
      <c r="FM1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1" s="43" t="n">
        <f aca="false">IF(AND(Tasks[[#This Row],[_IsLeaf]]=1,Tasks[[#This Row],[_LeafTotalWork]]&gt;0),NETWORKDAYS.INTL(ProjectStart,Tasks[[#This Row],[_ShownFcstStart]],WorkWeek,Holidays),0)</f>
        <v>0</v>
      </c>
      <c r="FZ101" s="43" t="n">
        <f aca="false">IF(AND(Tasks[[#This Row],[_IsLeaf]]=1,Tasks[[#This Row],[_LeafTotalWork]]&gt;0),MAX(Tasks[[#This Row],[_StartWorkday]],NETWORKDAYS.INTL(ProjectStart,Tasks[[#This Row],[_ShownFcstFinish]],WorkWeek,Holidays)),0)</f>
        <v>0</v>
      </c>
      <c r="GA101" s="43" t="n">
        <f aca="false">IF(AND(Tasks[[#This Row],[_IsLeaf]]=1,Tasks[[#This Row],[_LeafTotalWork]]&gt;0),Tasks[[#This Row],[_LeafWork]]/(Tasks[[#This Row],[_FinishWorkday]]-Tasks[[#This Row],[_StartWorkday]]+1),0)</f>
        <v>0</v>
      </c>
      <c r="GB101" s="43" t="n">
        <f aca="false">Tasks[[#This Row],[_WorkPerWorkday]]*(Tasks[[#This Row],[_StartWorkday]]-1)</f>
        <v>-0</v>
      </c>
      <c r="GC101" s="43" t="n">
        <f aca="false">IF(Tasks[[#This Row],[_IsLeaf]]=1,MAX(N(Tasks[[#This Row],[_Days]]),0.1),0)</f>
        <v>0</v>
      </c>
      <c r="GD101" s="43" t="n">
        <f aca="false">Tasks[[#This Row],[_WeightDur]]*Tasks[[#This Row],[_LeafProgress]]</f>
        <v>0</v>
      </c>
      <c r="GE101" s="43" t="n">
        <f aca="false">Tasks[[#This Row],[_WeightDur]]*Tasks[[#This Row],[_PlannedPct]]</f>
        <v>0</v>
      </c>
      <c r="GF1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3" t="str">
        <f aca="false">IF(AND(Tasks[[#This Row],[_IsLeaf]]=1,N(Tasks[[#This Row],[_Days]])=0,Tasks[[#This Row],[_LeafProgress]]&lt;1),Tasks[[#This Row],[_ShownFcstFinish]]+Tasks[[#This Row],[_Row]]/100000,"")</f>
        <v/>
      </c>
      <c r="GH1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1" s="43" t="str">
        <f aca="false">IF(Tasks[[#This Row],[Task Name]]="","",LEFT(Tasks[[#This Row],[WBS]],FIND(".",Tasks[[#This Row],[WBS]]&amp;".")-1))</f>
        <v/>
      </c>
      <c r="GJ101" s="43" t="str">
        <f aca="false">IF(AND(Tasks[[#This Row],[Task Name]]&lt;&gt;"",Tasks[[#This Row],[_Level]]=1),Tasks[[#This Row],[_Row]],"")</f>
        <v/>
      </c>
      <c r="GK101" s="43" t="str">
        <f aca="false">IF(AND(Tasks[[#This Row],[_IsLeaf]]=1,N(Tasks[[#This Row],[_Days]])=0),Tasks[[#This Row],[Planned Finish]]+Tasks[[#This Row],[_Row]]/100000,"")</f>
        <v/>
      </c>
      <c r="GL101" s="43" t="str">
        <f aca="false">IF(AND(Tasks[[#This Row],[_IsLeaf]]=1,Tasks[[#This Row],[_LeafProgress]]&lt;1,OR(N(Tasks[[#This Row],[Finish Var]])&gt;0,Tasks[[#This Row],[Status]]="Late Start")),MAX(0,Tasks[[#This Row],[Finish Var]])+1-Tasks[[#This Row],[_Row]]/1000000,"")</f>
        <v/>
      </c>
      <c r="GM101" s="43" t="str">
        <f aca="false">IF(AND(Tasks[[#This Row],[_IsLeaf]]=1,N(Tasks[[#This Row],[Actual Start]])=0,Tasks[[#This Row],[_ShownFcstStart]]&gt;=StatusDate,Tasks[[#This Row],[_ShownFcstStart]]&lt;=LookaheadEnd),Tasks[[#This Row],[_ShownFcstStart]]+Tasks[[#This Row],[_Row]]/100000,"")</f>
        <v/>
      </c>
      <c r="GN101" s="43" t="str">
        <f aca="false">IF(AND(Tasks[[#This Row],[_IsLeaf]]=1,Tasks[[#This Row],[_LeafProgress]]&lt;1,Tasks[[#This Row],[_ShownFcstFinish]]&gt;=StatusDate,Tasks[[#This Row],[_ShownFcstFinish]]&lt;=LookaheadEnd),Tasks[[#This Row],[_ShownFcstFinish]]+Tasks[[#This Row],[_Row]]/100000,"")</f>
        <v/>
      </c>
      <c r="GO101" s="43" t="str">
        <f aca="false">IF(Tasks[[#This Row],[_LeafCritical]],Tasks[[#This Row],[_ShownFcstStart]]+Tasks[[#This Row],[_Row]]/100000,"")</f>
        <v/>
      </c>
      <c r="GP101" s="43" t="n">
        <f aca="false">Tasks[[#This Row],[_LeafWork]]*Tasks[[#This Row],[_LeafProgress]]</f>
        <v>0</v>
      </c>
      <c r="GQ101" s="91" t="str">
        <f aca="false">IF(AND(Tasks[[#This Row],[_IsLeaf]]=1,Tasks[[#This Row],[_LeafProgress]]&gt;=1),IF(N(Tasks[[#This Row],[Actual Finish]])&gt;0,Tasks[[#This Row],[Actual Finish]],Tasks[[#This Row],[_ShownFcstFinish]]),"")</f>
        <v/>
      </c>
      <c r="GR101" s="43" t="n">
        <f aca="false">IF(Tasks[[#This Row],[_IsLeaf]]=1,N(Tasks[[#This Row],[Story Points]]),0)</f>
        <v>0</v>
      </c>
      <c r="GS101" s="43" t="str">
        <f aca="false">""</f>
        <v/>
      </c>
      <c r="GT101" s="90" t="b">
        <f aca="false">IF(Tasks[[#This Row],[Task Name]]="",FALSE(),AND(Tasks[[#This Row],[_IsLeaf]]=1,N(Tasks[[#This Row],[_Days]])=0))</f>
        <v>0</v>
      </c>
      <c r="GU101" s="91" t="n">
        <f aca="false">IF(Tasks[[#This Row],[Task Name]]="",0,IF(AND(Tasks[[#This Row],[_IsLeaf]]=1,NOT(Tasks[[#This Row],[_IsMilestone]]),N(Tasks[[#This Row],[Progress]])&gt;0),Tasks[[#This Row],[Start]],0))</f>
        <v>0</v>
      </c>
      <c r="GV101" s="91" t="n">
        <f aca="false">IF(Tasks[[#This Row],[_DoneFrom]]=0,0,IF(Tasks[[#This Row],[Progress]]&gt;=1,Tasks[[#This Row],[Finish]],MAX(Tasks[[#This Row],[_DoneFrom]],Tasks[[#This Row],[Start]]+ROUND((Tasks[[#This Row],[Finish]]-Tasks[[#This Row],[Start]]+1)*Tasks[[#This Row],[Progress]],0)-1)))</f>
        <v>0</v>
      </c>
      <c r="GW101" s="91" t="n">
        <f aca="false">IF(Tasks[[#This Row],[Task Name]]="",0,IF(OR(NOT(Tasks[[#This Row],[_IsLeaf]]=1),Tasks[[#This Row],[_IsMilestone]],N(Tasks[[#This Row],[Progress]])&gt;=1),0,IF(Tasks[[#This Row],[_DoneTo]]&gt;0,Tasks[[#This Row],[_DoneTo]]+1,Tasks[[#This Row],[Start]])))</f>
        <v>0</v>
      </c>
      <c r="GX101" s="91" t="n">
        <f aca="false">IF(Tasks[[#This Row],[_RemFrom]]=0,0,Tasks[[#This Row],[Finish]])</f>
        <v>0</v>
      </c>
      <c r="GY101" s="90" t="b">
        <f aca="false">IF(Tasks[[#This Row],[Task Name]]="",FALSE(),OR(NOT(BaselineSet),N(Tasks[[#This Row],[Baseline Start]])&gt;0))</f>
        <v>0</v>
      </c>
      <c r="GZ10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92" t="str">
        <f aca="false">IF(Tasks[[#This Row],[_IsLeaf]]=1,Tasks[[#This Row],[_Row]],"")</f>
        <v/>
      </c>
      <c r="HD101" s="92" t="str">
        <f aca="false">IFERROR(INDEX(Tasks[UID],SMALL(Tasks[_PickKey],Tasks[[#This Row],[_Row]]))&amp;" "&amp;INDEX(Tasks[Task Name],SMALL(Tasks[_PickKey],Tasks[[#This Row],[_Row]])),"")</f>
        <v/>
      </c>
      <c r="HE101" s="43" t="str">
        <f aca="false">IF(Tasks[[#This Row],[Task Name]]="","",IF(Tasks[[#This Row],[_IsSummary]],NETWORKDAYS.INTL(Tasks[[#This Row],[Start]],Tasks[[#This Row],[Finish]],WorkWeek,Holidays),N(Tasks[[#This Row],[_Days]])))</f>
        <v/>
      </c>
      <c r="HF101" s="43" t="n">
        <f aca="false">IF(Tasks[[#This Row],[Expected]]="",0,((Tasks[[#This Row],[Pessimistic]]-Tasks[[#This Row],[Optimistic]])/6)^2)</f>
        <v>0</v>
      </c>
      <c r="HG101" s="43" t="n">
        <f aca="false">IF(Tasks[[#This Row],[Expected]]="",0,Tasks[[#This Row],[Expected]]-N(Tasks[[#This Row],[_Days]]))</f>
        <v>0</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4"/>
      <c r="U102" s="23"/>
      <c r="V102" s="84"/>
      <c r="W102" s="23"/>
      <c r="X102" s="84"/>
      <c r="Y102" s="23"/>
      <c r="Z102" s="84"/>
      <c r="AA102" s="23"/>
      <c r="AB102" s="23"/>
      <c r="AC102" s="7"/>
      <c r="AD102" s="7"/>
      <c r="AE102" s="63" t="str">
        <f aca="false">IF(Tasks[[#This Row],[Task Name]]="","",IF(Tasks[[#This Row],[_IsSummary]],MIN(INDEX(Tasks[_ShownFcstStart],Tasks[[#This Row],[_Row]]+1):INDEX(Tasks[_ShownFcstStart],Tasks[[#This Row],[_Row]]+Tasks[[#This Row],[_Descendants]])),Tasks[[#This Row],[_ShownFcstStart]]))</f>
        <v/>
      </c>
      <c r="AF102" s="63"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2" s="7"/>
      <c r="AK102" s="22"/>
      <c r="AL102" s="23"/>
      <c r="AM102" s="7"/>
      <c r="AN102" s="47"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3" t="str">
        <f aca="false">IF(Tasks[[#This Row],[Task Name]]="","",IF(N(Tasks[[#This Row],[Baseline Start]])&gt;0,Tasks[[#This Row],[Baseline Start]],Tasks[[#This Row],[_CalcStart]]))</f>
        <v/>
      </c>
      <c r="AR102" s="63" t="str">
        <f aca="false">IF(Tasks[[#This Row],[Task Name]]="","",IF(N(Tasks[[#This Row],[Baseline Finish]])&gt;0,Tasks[[#This Row],[Baseline Finish]],Tasks[[#This Row],[_CalcFinish]]))</f>
        <v/>
      </c>
      <c r="AS102" s="47" t="str">
        <f aca="false">IF(Tasks[[#This Row],[Task Name]]="","",IF(Tasks[[#This Row],[Start]]&gt;=Tasks[[#This Row],[Planned Start]],NETWORKDAYS.INTL(Tasks[[#This Row],[Planned Start]],Tasks[[#This Row],[Start]],WorkWeek,Holidays)-1,1-NETWORKDAYS.INTL(Tasks[[#This Row],[Start]],Tasks[[#This Row],[Planned Start]],WorkWeek,Holidays)))</f>
        <v/>
      </c>
      <c r="AT102" s="63" t="str">
        <f aca="false">IF(Tasks[[#This Row],[Task Name]]="","",IF(Tasks[[#This Row],[_IsSummary]],MIN(INDEX(Tasks[_LeafLateStart],Tasks[[#This Row],[_Row]]+1):INDEX(Tasks[_LeafLateStart],Tasks[[#This Row],[_Row]]+Tasks[[#This Row],[_Descendants]])),Tasks[[#This Row],[_LeafLateStart]]))</f>
        <v/>
      </c>
      <c r="AU102" s="63" t="str">
        <f aca="false">IF(Tasks[[#This Row],[Task Name]]="","",IF(Tasks[[#This Row],[_IsSummary]],MAX(INDEX(Tasks[_LeafLateFinish],Tasks[[#This Row],[_Row]]+1):INDEX(Tasks[_LeafLateFinish],Tasks[[#This Row],[_Row]]+Tasks[[#This Row],[_Descendants]])),Tasks[[#This Row],[_LeafLateFinish]]))</f>
        <v/>
      </c>
      <c r="AV102" s="47"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5"/>
      <c r="BA1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6"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7"/>
      <c r="BJ102" s="22"/>
      <c r="BK102" s="47" t="str">
        <f aca="false">IF(OR(Tasks[[#This Row],[Task Name]]="",Tasks[[#This Row],[Baseline Duration]]=""),"",Tasks[[#This Row],[_SpanDays]]-N(Tasks[[#This Row],[Baseline Duration]]))</f>
        <v/>
      </c>
      <c r="BL102" s="86" t="str">
        <f aca="false">IF(OR(Tasks[[#This Row],[Task Name]]="",Tasks[[#This Row],[Baseline Work]]=""),"",Tasks[[#This Row],[Work]]-N(Tasks[[#This Row],[Baseline Work]]))</f>
        <v/>
      </c>
      <c r="BM102" s="63" t="str">
        <f aca="false">IF(Tasks[[#This Row],[Task Name]]="","",IF(OR(TakeBaseline="Yes",N(Tasks[[#This Row],[Baseline Start]])=0),Tasks[[#This Row],[Start]],Tasks[[#This Row],[Baseline Start]]))</f>
        <v/>
      </c>
      <c r="BN102" s="63" t="str">
        <f aca="false">IF(Tasks[[#This Row],[Task Name]]="","",IF(OR(TakeBaseline="Yes",N(Tasks[[#This Row],[Baseline Finish]])=0),Tasks[[#This Row],[Finish]],Tasks[[#This Row],[Baseline Finish]]))</f>
        <v/>
      </c>
      <c r="BO102" s="21" t="str">
        <f aca="false">IF(Tasks[[#This Row],[Task Name]]="","",IF(OR(TakeBaseline="Yes",N(Tasks[[#This Row],[Baseline Duration]])=0),Tasks[[#This Row],[_SpanDays]],Tasks[[#This Row],[Baseline Duration]]))</f>
        <v/>
      </c>
      <c r="BP102" s="86" t="str">
        <f aca="false">IF(Tasks[[#This Row],[Task Name]]="","",IF(OR(TakeBaseline="Yes",N(Tasks[[#This Row],[Baseline Work]])=0),Tasks[[#This Row],[Work]],Tasks[[#This Row],[Baseline Work]]))</f>
        <v/>
      </c>
      <c r="BQ102" s="7"/>
      <c r="BR102" s="7"/>
      <c r="BS102" s="22"/>
      <c r="BT102" s="88"/>
      <c r="BU102" s="23"/>
      <c r="BV102" s="23"/>
      <c r="BW102" s="23"/>
      <c r="BX102" s="89" t="str">
        <f aca="false">IF(AND(Tasks[[#This Row],[_IsLeaf]]=1,ISNUMBER(Tasks[[#This Row],[Optimistic]]),ISNUMBER(Tasks[[#This Row],[Pessimistic]])),ROUND((Tasks[[#This Row],[Optimistic]]+4*N(Tasks[[#This Row],[_Days]])+Tasks[[#This Row],[Pessimistic]])/6,1),"")</f>
        <v/>
      </c>
      <c r="BY102" s="87"/>
      <c r="BZ102" s="87"/>
      <c r="CA102" s="22"/>
      <c r="CB102" s="43" t="str">
        <f aca="false">IF(Tasks[[#This Row],[Task Name]]="","",MAX(1,N(Tasks[[#This Row],[Level]])))</f>
        <v/>
      </c>
      <c r="CC102" s="43" t="n">
        <f aca="false">ROW()-ROW(Tasks[[#Headers],[ID]])</f>
        <v>97</v>
      </c>
      <c r="CD102" s="43" t="n">
        <f aca="false">IF(OR(Tasks[[#This Row],[Task Name]]="",Tasks[[#This Row],[_Level]]&lt;=1),0,IFERROR(LOOKUP(2,1/(Tasks[[#Headers],[_Level]]:Tasks[[#This Row],[_Level]]=Tasks[[#This Row],[_Level]]-1),ROW(Tasks[[#Headers],[_Level]]:Tasks[[#This Row],[_Level]])),0))</f>
        <v>0</v>
      </c>
      <c r="CE102" s="43" t="n">
        <f aca="false">IFERROR(N(INDEX(Tasks[_Level],Tasks[[#This Row],[_Row]]+1)),0)</f>
        <v>0</v>
      </c>
      <c r="CF102" s="90" t="b">
        <f aca="false">AND(Tasks[[#This Row],[Task Name]]&lt;&gt;"",Tasks[[#This Row],[_NextLevel]]&gt;Tasks[[#This Row],[_Level]])</f>
        <v>0</v>
      </c>
      <c r="CG102" s="43" t="n">
        <f aca="false">IF(Tasks[[#This Row],[_IsSummary]],COUNTIF(Tasks[WBS],Tasks[[#This Row],[WBS]]&amp;".*"),0)</f>
        <v>0</v>
      </c>
      <c r="CH102" s="43" t="n">
        <f aca="false">IF(AND(Tasks[[#This Row],[Task Name]]&lt;&gt;"",NOT(Tasks[[#This Row],[_IsSummary]])),1,0)</f>
        <v>0</v>
      </c>
      <c r="CI102" s="43" t="n">
        <f aca="false">IF(N(Tasks[[#This Row],[_Pred1UID]])=0,0,IFERROR(MATCH(Tasks[[#This Row],[_Pred1UID]],Tasks[UID],0),-1))</f>
        <v>0</v>
      </c>
      <c r="CJ102" s="43" t="n">
        <f aca="false">IF(N(Tasks[[#This Row],[_Pred2UID]])=0,0,IFERROR(MATCH(Tasks[[#This Row],[_Pred2UID]],Tasks[UID],0),-1))</f>
        <v>0</v>
      </c>
      <c r="CK102" s="43" t="n">
        <f aca="false">IF(N(Tasks[[#This Row],[_Pred3UID]])=0,0,IFERROR(MATCH(Tasks[[#This Row],[_Pred3UID]],Tasks[UID],0),-1))</f>
        <v>0</v>
      </c>
      <c r="CL102" s="43" t="n">
        <f aca="false">IF(N(Tasks[[#This Row],[_Pred4UID]])=0,0,IFERROR(MATCH(Tasks[[#This Row],[_Pred4UID]],Tasks[UID],0),-1))</f>
        <v>0</v>
      </c>
      <c r="CM1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2" s="91" t="n">
        <f aca="false">IF(OR(Tasks[[#This Row],[_ConstraintCode]]=2,Tasks[[#This Row],[_ConstraintCode]]=3,Tasks[[#This Row],[_ConstraintCode]]=4,Tasks[[#This Row],[_ConstraintCode]]=6),Tasks[[#This Row],[_ConstraintStart]],0)</f>
        <v>0</v>
      </c>
      <c r="CP102" s="91" t="n">
        <f aca="false">IF(OR(Tasks[[#This Row],[_ConstraintCode]]=2,Tasks[[#This Row],[_ConstraintCode]]=3,Tasks[[#This Row],[_ConstraintCode]]=5,Tasks[[#This Row],[_ConstraintCode]]=7),Tasks[[#This Row],[_ConstraintStart]],2958465)</f>
        <v>2958465</v>
      </c>
      <c r="CQ1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91" t="str">
        <f aca="false">IF(NOT(Tasks[[#This Row],[_IsLeaf]]=1),"",IF(N(Tasks[[#This Row],[_Days]])&lt;=0,Tasks[[#This Row],[_LeafCalcStart]],WORKDAY.INTL(Tasks[[#This Row],[_LeafCalcStart]],Tasks[[#This Row],[_Days]]-1,WorkWeek,Holidays)))</f>
        <v/>
      </c>
      <c r="CS1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3" t="str">
        <f aca="false">IF(Tasks[[#This Row],[_Predecessors]]="","",TRIM(MID(SUBSTITUTE(SUBSTITUTE(SUBSTITUTE(UPPER(Tasks[[#This Row],[_Predecessors]]),";",",")," ",""),",",REPT(" ",99)),1,99)))</f>
        <v/>
      </c>
      <c r="CV102" s="43" t="str">
        <f aca="false">IF(Tasks[[#This Row],[_Pred1Text]]="","",IFERROR(VALUE(LEFT(Tasks[[#This Row],[_Pred1Text]],MIN(FIND("F",Tasks[[#This Row],[_Pred1Text]]&amp;"F"),FIND("S",Tasks[[#This Row],[_Pred1Text]]&amp;"S"),FIND("+",Tasks[[#This Row],[_Pred1Text]]&amp;"+"),FIND("-",Tasks[[#This Row],[_Pred1Text]]&amp;"-"))-1)),""))</f>
        <v/>
      </c>
      <c r="CW1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3" t="str">
        <f aca="false">IF(Tasks[[#This Row],[_Pred1Text]]="","",TRIM(MID(SUBSTITUTE(SUBSTITUTE(SUBSTITUTE(UPPER(Tasks[[#This Row],[_Predecessors]]),";",",")," ",""),",",REPT(" ",99)),100,99)))</f>
        <v/>
      </c>
      <c r="CZ102" s="43" t="str">
        <f aca="false">IF(Tasks[[#This Row],[_Pred2Text]]="","",IFERROR(VALUE(LEFT(Tasks[[#This Row],[_Pred2Text]],MIN(FIND("F",Tasks[[#This Row],[_Pred2Text]]&amp;"F"),FIND("S",Tasks[[#This Row],[_Pred2Text]]&amp;"S"),FIND("+",Tasks[[#This Row],[_Pred2Text]]&amp;"+"),FIND("-",Tasks[[#This Row],[_Pred2Text]]&amp;"-"))-1)),""))</f>
        <v/>
      </c>
      <c r="DA1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3" t="str">
        <f aca="false">IF(Tasks[[#This Row],[_Pred2Text]]="","",TRIM(MID(SUBSTITUTE(SUBSTITUTE(SUBSTITUTE(UPPER(Tasks[[#This Row],[_Predecessors]]),";",",")," ",""),",",REPT(" ",99)),199,99)))</f>
        <v/>
      </c>
      <c r="DD102" s="43" t="str">
        <f aca="false">IF(Tasks[[#This Row],[_Pred3Text]]="","",IFERROR(VALUE(LEFT(Tasks[[#This Row],[_Pred3Text]],MIN(FIND("F",Tasks[[#This Row],[_Pred3Text]]&amp;"F"),FIND("S",Tasks[[#This Row],[_Pred3Text]]&amp;"S"),FIND("+",Tasks[[#This Row],[_Pred3Text]]&amp;"+"),FIND("-",Tasks[[#This Row],[_Pred3Text]]&amp;"-"))-1)),""))</f>
        <v/>
      </c>
      <c r="DE1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3" t="str">
        <f aca="false">IF(Tasks[[#This Row],[_Pred3Text]]="","",TRIM(MID(SUBSTITUTE(SUBSTITUTE(SUBSTITUTE(UPPER(Tasks[[#This Row],[_Predecessors]]),";",",")," ",""),",",REPT(" ",99)),298,99)))</f>
        <v/>
      </c>
      <c r="DH102" s="43" t="str">
        <f aca="false">IF(Tasks[[#This Row],[_Pred4Text]]="","",IFERROR(VALUE(LEFT(Tasks[[#This Row],[_Pred4Text]],MIN(FIND("F",Tasks[[#This Row],[_Pred4Text]]&amp;"F"),FIND("S",Tasks[[#This Row],[_Pred4Text]]&amp;"S"),FIND("+",Tasks[[#This Row],[_Pred4Text]]&amp;"+"),FIND("-",Tasks[[#This Row],[_Pred4Text]]&amp;"-"))-1)),""))</f>
        <v/>
      </c>
      <c r="DI1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3" t="str">
        <f aca="false">IF(OR(Tasks[[#This Row],[Task Name]]="",Tasks[[#This Row],[_Resources]]=""),"",TRIM(MID(SUBSTITUTE(Tasks[[#This Row],[_Resources]],",",REPT(" ",99)),1,99)))</f>
        <v/>
      </c>
      <c r="DL102" s="43" t="str">
        <f aca="false">IF(Tasks[[#This Row],[_Res1Text]]="","",TRIM(MID(SUBSTITUTE(Tasks[[#This Row],[_Resources]],",",REPT(" ",99)),100,99)))</f>
        <v/>
      </c>
      <c r="DM102" s="43" t="str">
        <f aca="false">IF(Tasks[[#This Row],[_Res2Text]]="","",TRIM(MID(SUBSTITUTE(Tasks[[#This Row],[_Resources]],",",REPT(" ",99)),199,99)))</f>
        <v/>
      </c>
      <c r="DN102" s="43" t="str">
        <f aca="false">IF(Tasks[[#This Row],[_Res3Text]]="","",TRIM(MID(SUBSTITUTE(Tasks[[#This Row],[_Resources]],",",REPT(" ",99)),298,99)))</f>
        <v/>
      </c>
      <c r="DO102" s="43" t="n">
        <f aca="false">IF(Tasks[[#This Row],[_Res1Text]]="",0,IFERROR(MATCH(TRIM(LEFT(Tasks[[#This Row],[_Res1Text]],FIND("[",Tasks[[#This Row],[_Res1Text]]&amp;"[")-1)),res_Name,0),IFERROR(MATCH(TRIM(LEFT(Tasks[[#This Row],[_Res1Text]],FIND("[",Tasks[[#This Row],[_Res1Text]]&amp;"[")-1)),res_Initials,0),0)))</f>
        <v>0</v>
      </c>
      <c r="DP102" s="43" t="n">
        <f aca="false">IF(Tasks[[#This Row],[_Res2Text]]="",0,IFERROR(MATCH(TRIM(LEFT(Tasks[[#This Row],[_Res2Text]],FIND("[",Tasks[[#This Row],[_Res2Text]]&amp;"[")-1)),res_Name,0),IFERROR(MATCH(TRIM(LEFT(Tasks[[#This Row],[_Res2Text]],FIND("[",Tasks[[#This Row],[_Res2Text]]&amp;"[")-1)),res_Initials,0),0)))</f>
        <v>0</v>
      </c>
      <c r="DQ102" s="43" t="n">
        <f aca="false">IF(Tasks[[#This Row],[_Res3Text]]="",0,IFERROR(MATCH(TRIM(LEFT(Tasks[[#This Row],[_Res3Text]],FIND("[",Tasks[[#This Row],[_Res3Text]]&amp;"[")-1)),res_Name,0),IFERROR(MATCH(TRIM(LEFT(Tasks[[#This Row],[_Res3Text]],FIND("[",Tasks[[#This Row],[_Res3Text]]&amp;"[")-1)),res_Initials,0),0)))</f>
        <v>0</v>
      </c>
      <c r="DR102" s="43" t="n">
        <f aca="false">IF(Tasks[[#This Row],[_Res4Text]]="",0,IFERROR(MATCH(TRIM(LEFT(Tasks[[#This Row],[_Res4Text]],FIND("[",Tasks[[#This Row],[_Res4Text]]&amp;"[")-1)),res_Name,0),IFERROR(MATCH(TRIM(LEFT(Tasks[[#This Row],[_Res4Text]],FIND("[",Tasks[[#This Row],[_Res4Text]]&amp;"[")-1)),res_Initials,0),0)))</f>
        <v>0</v>
      </c>
      <c r="DS102" s="43" t="str">
        <f aca="false">IF(Tasks[[#This Row],[_Res1Text]]="","",IF(Tasks[[#This Row],[_Res1Row]]&gt;0,INDEX(res_Name,Tasks[[#This Row],[_Res1Row]]),TRIM(LEFT(Tasks[[#This Row],[_Res1Text]],FIND("[",Tasks[[#This Row],[_Res1Text]]&amp;"[")-1))))</f>
        <v/>
      </c>
      <c r="DT1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3" t="n">
        <f aca="false">IF(NOT(Tasks[[#This Row],[_IsLeaf]]=1),0,(Tasks[[#This Row],[_Resource1]]&lt;&gt;"")+(Tasks[[#This Row],[_Res2]]&lt;&gt;"")+(Tasks[[#This Row],[_Res3]]&lt;&gt;"")+(Tasks[[#This Row],[_Res4]]&lt;&gt;""))</f>
        <v>0</v>
      </c>
      <c r="DV102" s="43" t="str">
        <f aca="false">IF(Tasks[[#This Row],[_Res2Text]]="","",IF(Tasks[[#This Row],[_Res2Row]]&gt;0,INDEX(res_Name,Tasks[[#This Row],[_Res2Row]]),TRIM(LEFT(Tasks[[#This Row],[_Res2Text]],FIND("[",Tasks[[#This Row],[_Res2Text]]&amp;"[")-1))))</f>
        <v/>
      </c>
      <c r="DW1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3" t="n">
        <f aca="false">IF(OR(NOT(Tasks[[#This Row],[_IsLeaf]]=1),Tasks[[#This Row],[_Res2Row]]=0),0,N(Tasks[[#This Row],[_Days]])*HoursPerDay*IF(Tasks[[#This Row],[_Res2Units]]="",DefaultUnits,Tasks[[#This Row],[_Res2Units]]))</f>
        <v>0</v>
      </c>
      <c r="DY102" s="43" t="n">
        <f aca="false">IF(AND(AND(Tasks[[#This Row],[_IsLeaf]]=1,Tasks[[#This Row],[_LeafTotalWork]]&gt;0),Tasks[[#This Row],[_Res2Work]]&gt;0),Tasks[[#This Row],[_Res2Work]]/(Tasks[[#This Row],[_FinishWorkday]]-Tasks[[#This Row],[_StartWorkday]]+1),0)</f>
        <v>0</v>
      </c>
      <c r="DZ102" s="43" t="n">
        <f aca="false">Tasks[[#This Row],[_Res2WorkPerWD]]*MAX(0,Tasks[[#This Row],[_StartWorkday]]-1)</f>
        <v>0</v>
      </c>
      <c r="EA102" s="43" t="n">
        <f aca="false">Tasks[[#This Row],[_Res2Work]]*Tasks[[#This Row],[_LeafProgress]]</f>
        <v>0</v>
      </c>
      <c r="EB102" s="43" t="str">
        <f aca="false">IF(Tasks[[#This Row],[_Res3Text]]="","",IF(Tasks[[#This Row],[_Res3Row]]&gt;0,INDEX(res_Name,Tasks[[#This Row],[_Res3Row]]),TRIM(LEFT(Tasks[[#This Row],[_Res3Text]],FIND("[",Tasks[[#This Row],[_Res3Text]]&amp;"[")-1))))</f>
        <v/>
      </c>
      <c r="EC1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3" t="n">
        <f aca="false">IF(OR(NOT(Tasks[[#This Row],[_IsLeaf]]=1),Tasks[[#This Row],[_Res3Row]]=0),0,N(Tasks[[#This Row],[_Days]])*HoursPerDay*IF(Tasks[[#This Row],[_Res3Units]]="",DefaultUnits,Tasks[[#This Row],[_Res3Units]]))</f>
        <v>0</v>
      </c>
      <c r="EE102" s="43" t="n">
        <f aca="false">IF(AND(AND(Tasks[[#This Row],[_IsLeaf]]=1,Tasks[[#This Row],[_LeafTotalWork]]&gt;0),Tasks[[#This Row],[_Res3Work]]&gt;0),Tasks[[#This Row],[_Res3Work]]/(Tasks[[#This Row],[_FinishWorkday]]-Tasks[[#This Row],[_StartWorkday]]+1),0)</f>
        <v>0</v>
      </c>
      <c r="EF102" s="43" t="n">
        <f aca="false">Tasks[[#This Row],[_Res3WorkPerWD]]*MAX(0,Tasks[[#This Row],[_StartWorkday]]-1)</f>
        <v>0</v>
      </c>
      <c r="EG102" s="43" t="n">
        <f aca="false">Tasks[[#This Row],[_Res3Work]]*Tasks[[#This Row],[_LeafProgress]]</f>
        <v>0</v>
      </c>
      <c r="EH102" s="43" t="str">
        <f aca="false">IF(Tasks[[#This Row],[_Res4Text]]="","",IF(Tasks[[#This Row],[_Res4Row]]&gt;0,INDEX(res_Name,Tasks[[#This Row],[_Res4Row]]),TRIM(LEFT(Tasks[[#This Row],[_Res4Text]],FIND("[",Tasks[[#This Row],[_Res4Text]]&amp;"[")-1))))</f>
        <v/>
      </c>
      <c r="EI1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3" t="n">
        <f aca="false">IF(OR(NOT(Tasks[[#This Row],[_IsLeaf]]=1),Tasks[[#This Row],[_Res4Row]]=0),0,N(Tasks[[#This Row],[_Days]])*HoursPerDay*IF(Tasks[[#This Row],[_Res4Units]]="",DefaultUnits,Tasks[[#This Row],[_Res4Units]]))</f>
        <v>0</v>
      </c>
      <c r="EK102" s="43" t="n">
        <f aca="false">IF(AND(AND(Tasks[[#This Row],[_IsLeaf]]=1,Tasks[[#This Row],[_LeafTotalWork]]&gt;0),Tasks[[#This Row],[_Res4Work]]&gt;0),Tasks[[#This Row],[_Res4Work]]/(Tasks[[#This Row],[_FinishWorkday]]-Tasks[[#This Row],[_StartWorkday]]+1),0)</f>
        <v>0</v>
      </c>
      <c r="EL102" s="43" t="n">
        <f aca="false">Tasks[[#This Row],[_Res4WorkPerWD]]*MAX(0,Tasks[[#This Row],[_StartWorkday]]-1)</f>
        <v>0</v>
      </c>
      <c r="EM102" s="43" t="n">
        <f aca="false">Tasks[[#This Row],[_Res4Work]]*Tasks[[#This Row],[_LeafProgress]]</f>
        <v>0</v>
      </c>
      <c r="EN102" s="43" t="n">
        <f aca="false">IF(ISNUMBER(Tasks[[#This Row],[% Complete]]),Tasks[[#This Row],[% Complete]],IF(Tasks[[#This Row],[Stage]]="",0,IFERROR(INDEX(stg_Pct,MATCH(Tasks[[#This Row],[Stage]],stg_Name,0)),0)))</f>
        <v>0</v>
      </c>
      <c r="EO102" s="43" t="n">
        <f aca="false">IF(NOT(Tasks[[#This Row],[_IsLeaf]]=1),0,IF(N(Tasks[[#This Row],[Actual Finish]])&gt;0,1,MIN(1,Tasks[[#This Row],[_Pct]])))</f>
        <v>0</v>
      </c>
      <c r="EP102" s="43" t="n">
        <f aca="false">IF(OR(NOT(Tasks[[#This Row],[_IsLeaf]]=1),Tasks[[#This Row],[_Res1Row]]=0),0,N(Tasks[[#This Row],[_Days]])*HoursPerDay*IF(Tasks[[#This Row],[_Units1]]="",DefaultUnits,Tasks[[#This Row],[_Units1]]))</f>
        <v>0</v>
      </c>
      <c r="EQ102" s="43" t="n">
        <f aca="false">Tasks[[#This Row],[_LeafWork]]+Tasks[[#This Row],[_Res2Work]]+Tasks[[#This Row],[_Res3Work]]+Tasks[[#This Row],[_Res4Work]]</f>
        <v>0</v>
      </c>
      <c r="ER1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3" t="n">
        <f aca="false">IF(NOT(Tasks[[#This Row],[_IsLeaf]]=1),0,MAX(_xlfn.MAXIFS(Tasks[_Row],Tasks[_Pred1UID],Tasks[[#This Row],[UID]]),_xlfn.MAXIFS(Tasks[_Row],Tasks[_Pred2UID],Tasks[[#This Row],[UID]]),_xlfn.MAXIFS(Tasks[_Row],Tasks[_Pred3UID],Tasks[[#This Row],[UID]]),_xlfn.MAXIFS(Tasks[_Row],Tasks[_Pred4UID],Tasks[[#This Row],[UID]])))</f>
        <v>0</v>
      </c>
      <c r="FA1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91" t="str">
        <f aca="false">IF(NOT(Tasks[[#This Row],[_IsLeaf]]=1),"",IF(N(Tasks[[#This Row],[_Days]])&lt;=0,Tasks[[#This Row],[_LeafLateFinish]],WORKDAY.INTL(Tasks[[#This Row],[_LeafLateFinish]],-(Tasks[[#This Row],[_Days]]-1),WorkWeek,Holidays)))</f>
        <v/>
      </c>
      <c r="FD1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2" s="90" t="b">
        <f aca="false">AND(Tasks[[#This Row],[_IsLeaf]]=1,Tasks[[#This Row],[_LeafProgress]]&lt;1,N(Tasks[[#This Row],[_LeafTotalSlack]])&lt;=CriticalSlackDays)</f>
        <v>0</v>
      </c>
      <c r="FF102" s="43" t="n">
        <f aca="false">IF(AND(Tasks[[#This Row],[_IsLeaf]]=1,Tasks[[#This Row],[_ConstraintCode]]=1,Tasks[[#This Row],[Mode]]&lt;&gt;"Manual",N(Tasks[[#This Row],[Actual Start]])=0),MAX(0,N(Tasks[[#This Row],[Free Slack]])),0)</f>
        <v>0</v>
      </c>
      <c r="FG102" s="91" t="str">
        <f aca="false">IF(NOT(Tasks[[#This Row],[_IsLeaf]]=1),"",IF(Tasks[[#This Row],[_AlapShift]]=0,Tasks[[#This Row],[_LeafCalcStart]],WORKDAY.INTL(Tasks[[#This Row],[_LeafCalcStart]],Tasks[[#This Row],[_AlapShift]],WorkWeek,Holidays)))</f>
        <v/>
      </c>
      <c r="FH102" s="91" t="str">
        <f aca="false">IF(NOT(Tasks[[#This Row],[_IsLeaf]]=1),"",IF(Tasks[[#This Row],[_AlapShift]]=0,Tasks[[#This Row],[_LeafCalcFinish]],WORKDAY.INTL(Tasks[[#This Row],[_LeafCalcFinish]],Tasks[[#This Row],[_AlapShift]],WorkWeek,Holidays)))</f>
        <v/>
      </c>
      <c r="FI102" s="91" t="str">
        <f aca="false">IF(NOT(Tasks[[#This Row],[_IsLeaf]]=1),"",IF(Tasks[[#This Row],[_AlapShift]]=0,Tasks[[#This Row],[_LeafFcstStart]],WORKDAY.INTL(Tasks[[#This Row],[_LeafFcstStart]],Tasks[[#This Row],[_AlapShift]],WorkWeek,Holidays)))</f>
        <v/>
      </c>
      <c r="FJ102" s="91" t="str">
        <f aca="false">IF(NOT(Tasks[[#This Row],[_IsLeaf]]=1),"",IF(Tasks[[#This Row],[_AlapShift]]=0,Tasks[[#This Row],[_LeafFcstFinish]],WORKDAY.INTL(Tasks[[#This Row],[_LeafFcstFinish]],Tasks[[#This Row],[_AlapShift]],WorkWeek,Holidays)))</f>
        <v/>
      </c>
      <c r="FK102" s="91" t="str">
        <f aca="false">IF(Tasks[[#This Row],[Task Name]]="","",IF(Tasks[[#This Row],[_IsSummary]],MIN(INDEX(Tasks[_ShownCalcStart],Tasks[[#This Row],[_Row]]+1):INDEX(Tasks[_ShownCalcStart],Tasks[[#This Row],[_Row]]+Tasks[[#This Row],[_Descendants]])),Tasks[[#This Row],[_ShownCalcStart]]))</f>
        <v/>
      </c>
      <c r="FL102" s="91" t="str">
        <f aca="false">IF(Tasks[[#This Row],[Task Name]]="","",IF(Tasks[[#This Row],[_IsSummary]],MAX(INDEX(Tasks[_ShownCalcFinish],Tasks[[#This Row],[_Row]]+1):INDEX(Tasks[_ShownCalcFinish],Tasks[[#This Row],[_Row]]+Tasks[[#This Row],[_Descendants]])),Tasks[[#This Row],[_ShownCalcFinish]]))</f>
        <v/>
      </c>
      <c r="FM1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2" s="43" t="n">
        <f aca="false">IF(AND(Tasks[[#This Row],[_IsLeaf]]=1,Tasks[[#This Row],[_LeafTotalWork]]&gt;0),NETWORKDAYS.INTL(ProjectStart,Tasks[[#This Row],[_ShownFcstStart]],WorkWeek,Holidays),0)</f>
        <v>0</v>
      </c>
      <c r="FZ102" s="43" t="n">
        <f aca="false">IF(AND(Tasks[[#This Row],[_IsLeaf]]=1,Tasks[[#This Row],[_LeafTotalWork]]&gt;0),MAX(Tasks[[#This Row],[_StartWorkday]],NETWORKDAYS.INTL(ProjectStart,Tasks[[#This Row],[_ShownFcstFinish]],WorkWeek,Holidays)),0)</f>
        <v>0</v>
      </c>
      <c r="GA102" s="43" t="n">
        <f aca="false">IF(AND(Tasks[[#This Row],[_IsLeaf]]=1,Tasks[[#This Row],[_LeafTotalWork]]&gt;0),Tasks[[#This Row],[_LeafWork]]/(Tasks[[#This Row],[_FinishWorkday]]-Tasks[[#This Row],[_StartWorkday]]+1),0)</f>
        <v>0</v>
      </c>
      <c r="GB102" s="43" t="n">
        <f aca="false">Tasks[[#This Row],[_WorkPerWorkday]]*(Tasks[[#This Row],[_StartWorkday]]-1)</f>
        <v>-0</v>
      </c>
      <c r="GC102" s="43" t="n">
        <f aca="false">IF(Tasks[[#This Row],[_IsLeaf]]=1,MAX(N(Tasks[[#This Row],[_Days]]),0.1),0)</f>
        <v>0</v>
      </c>
      <c r="GD102" s="43" t="n">
        <f aca="false">Tasks[[#This Row],[_WeightDur]]*Tasks[[#This Row],[_LeafProgress]]</f>
        <v>0</v>
      </c>
      <c r="GE102" s="43" t="n">
        <f aca="false">Tasks[[#This Row],[_WeightDur]]*Tasks[[#This Row],[_PlannedPct]]</f>
        <v>0</v>
      </c>
      <c r="GF1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3" t="str">
        <f aca="false">IF(AND(Tasks[[#This Row],[_IsLeaf]]=1,N(Tasks[[#This Row],[_Days]])=0,Tasks[[#This Row],[_LeafProgress]]&lt;1),Tasks[[#This Row],[_ShownFcstFinish]]+Tasks[[#This Row],[_Row]]/100000,"")</f>
        <v/>
      </c>
      <c r="GH1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2" s="43" t="str">
        <f aca="false">IF(Tasks[[#This Row],[Task Name]]="","",LEFT(Tasks[[#This Row],[WBS]],FIND(".",Tasks[[#This Row],[WBS]]&amp;".")-1))</f>
        <v/>
      </c>
      <c r="GJ102" s="43" t="str">
        <f aca="false">IF(AND(Tasks[[#This Row],[Task Name]]&lt;&gt;"",Tasks[[#This Row],[_Level]]=1),Tasks[[#This Row],[_Row]],"")</f>
        <v/>
      </c>
      <c r="GK102" s="43" t="str">
        <f aca="false">IF(AND(Tasks[[#This Row],[_IsLeaf]]=1,N(Tasks[[#This Row],[_Days]])=0),Tasks[[#This Row],[Planned Finish]]+Tasks[[#This Row],[_Row]]/100000,"")</f>
        <v/>
      </c>
      <c r="GL102" s="43" t="str">
        <f aca="false">IF(AND(Tasks[[#This Row],[_IsLeaf]]=1,Tasks[[#This Row],[_LeafProgress]]&lt;1,OR(N(Tasks[[#This Row],[Finish Var]])&gt;0,Tasks[[#This Row],[Status]]="Late Start")),MAX(0,Tasks[[#This Row],[Finish Var]])+1-Tasks[[#This Row],[_Row]]/1000000,"")</f>
        <v/>
      </c>
      <c r="GM102" s="43" t="str">
        <f aca="false">IF(AND(Tasks[[#This Row],[_IsLeaf]]=1,N(Tasks[[#This Row],[Actual Start]])=0,Tasks[[#This Row],[_ShownFcstStart]]&gt;=StatusDate,Tasks[[#This Row],[_ShownFcstStart]]&lt;=LookaheadEnd),Tasks[[#This Row],[_ShownFcstStart]]+Tasks[[#This Row],[_Row]]/100000,"")</f>
        <v/>
      </c>
      <c r="GN102" s="43" t="str">
        <f aca="false">IF(AND(Tasks[[#This Row],[_IsLeaf]]=1,Tasks[[#This Row],[_LeafProgress]]&lt;1,Tasks[[#This Row],[_ShownFcstFinish]]&gt;=StatusDate,Tasks[[#This Row],[_ShownFcstFinish]]&lt;=LookaheadEnd),Tasks[[#This Row],[_ShownFcstFinish]]+Tasks[[#This Row],[_Row]]/100000,"")</f>
        <v/>
      </c>
      <c r="GO102" s="43" t="str">
        <f aca="false">IF(Tasks[[#This Row],[_LeafCritical]],Tasks[[#This Row],[_ShownFcstStart]]+Tasks[[#This Row],[_Row]]/100000,"")</f>
        <v/>
      </c>
      <c r="GP102" s="43" t="n">
        <f aca="false">Tasks[[#This Row],[_LeafWork]]*Tasks[[#This Row],[_LeafProgress]]</f>
        <v>0</v>
      </c>
      <c r="GQ102" s="91" t="str">
        <f aca="false">IF(AND(Tasks[[#This Row],[_IsLeaf]]=1,Tasks[[#This Row],[_LeafProgress]]&gt;=1),IF(N(Tasks[[#This Row],[Actual Finish]])&gt;0,Tasks[[#This Row],[Actual Finish]],Tasks[[#This Row],[_ShownFcstFinish]]),"")</f>
        <v/>
      </c>
      <c r="GR102" s="43" t="n">
        <f aca="false">IF(Tasks[[#This Row],[_IsLeaf]]=1,N(Tasks[[#This Row],[Story Points]]),0)</f>
        <v>0</v>
      </c>
      <c r="GS102" s="43" t="str">
        <f aca="false">""</f>
        <v/>
      </c>
      <c r="GT102" s="90" t="b">
        <f aca="false">IF(Tasks[[#This Row],[Task Name]]="",FALSE(),AND(Tasks[[#This Row],[_IsLeaf]]=1,N(Tasks[[#This Row],[_Days]])=0))</f>
        <v>0</v>
      </c>
      <c r="GU102" s="91" t="n">
        <f aca="false">IF(Tasks[[#This Row],[Task Name]]="",0,IF(AND(Tasks[[#This Row],[_IsLeaf]]=1,NOT(Tasks[[#This Row],[_IsMilestone]]),N(Tasks[[#This Row],[Progress]])&gt;0),Tasks[[#This Row],[Start]],0))</f>
        <v>0</v>
      </c>
      <c r="GV102" s="91" t="n">
        <f aca="false">IF(Tasks[[#This Row],[_DoneFrom]]=0,0,IF(Tasks[[#This Row],[Progress]]&gt;=1,Tasks[[#This Row],[Finish]],MAX(Tasks[[#This Row],[_DoneFrom]],Tasks[[#This Row],[Start]]+ROUND((Tasks[[#This Row],[Finish]]-Tasks[[#This Row],[Start]]+1)*Tasks[[#This Row],[Progress]],0)-1)))</f>
        <v>0</v>
      </c>
      <c r="GW102" s="91" t="n">
        <f aca="false">IF(Tasks[[#This Row],[Task Name]]="",0,IF(OR(NOT(Tasks[[#This Row],[_IsLeaf]]=1),Tasks[[#This Row],[_IsMilestone]],N(Tasks[[#This Row],[Progress]])&gt;=1),0,IF(Tasks[[#This Row],[_DoneTo]]&gt;0,Tasks[[#This Row],[_DoneTo]]+1,Tasks[[#This Row],[Start]])))</f>
        <v>0</v>
      </c>
      <c r="GX102" s="91" t="n">
        <f aca="false">IF(Tasks[[#This Row],[_RemFrom]]=0,0,Tasks[[#This Row],[Finish]])</f>
        <v>0</v>
      </c>
      <c r="GY102" s="90" t="b">
        <f aca="false">IF(Tasks[[#This Row],[Task Name]]="",FALSE(),OR(NOT(BaselineSet),N(Tasks[[#This Row],[Baseline Start]])&gt;0))</f>
        <v>0</v>
      </c>
      <c r="GZ10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92" t="str">
        <f aca="false">IF(Tasks[[#This Row],[_IsLeaf]]=1,Tasks[[#This Row],[_Row]],"")</f>
        <v/>
      </c>
      <c r="HD102" s="92" t="str">
        <f aca="false">IFERROR(INDEX(Tasks[UID],SMALL(Tasks[_PickKey],Tasks[[#This Row],[_Row]]))&amp;" "&amp;INDEX(Tasks[Task Name],SMALL(Tasks[_PickKey],Tasks[[#This Row],[_Row]])),"")</f>
        <v/>
      </c>
      <c r="HE102" s="43" t="str">
        <f aca="false">IF(Tasks[[#This Row],[Task Name]]="","",IF(Tasks[[#This Row],[_IsSummary]],NETWORKDAYS.INTL(Tasks[[#This Row],[Start]],Tasks[[#This Row],[Finish]],WorkWeek,Holidays),N(Tasks[[#This Row],[_Days]])))</f>
        <v/>
      </c>
      <c r="HF102" s="43" t="n">
        <f aca="false">IF(Tasks[[#This Row],[Expected]]="",0,((Tasks[[#This Row],[Pessimistic]]-Tasks[[#This Row],[Optimistic]])/6)^2)</f>
        <v>0</v>
      </c>
      <c r="HG102" s="43" t="n">
        <f aca="false">IF(Tasks[[#This Row],[Expected]]="",0,Tasks[[#This Row],[Expected]]-N(Tasks[[#This Row],[_Days]]))</f>
        <v>0</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4"/>
      <c r="U103" s="23"/>
      <c r="V103" s="84"/>
      <c r="W103" s="23"/>
      <c r="X103" s="84"/>
      <c r="Y103" s="23"/>
      <c r="Z103" s="84"/>
      <c r="AA103" s="23"/>
      <c r="AB103" s="23"/>
      <c r="AC103" s="7"/>
      <c r="AD103" s="7"/>
      <c r="AE103" s="63" t="str">
        <f aca="false">IF(Tasks[[#This Row],[Task Name]]="","",IF(Tasks[[#This Row],[_IsSummary]],MIN(INDEX(Tasks[_ShownFcstStart],Tasks[[#This Row],[_Row]]+1):INDEX(Tasks[_ShownFcstStart],Tasks[[#This Row],[_Row]]+Tasks[[#This Row],[_Descendants]])),Tasks[[#This Row],[_ShownFcstStart]]))</f>
        <v/>
      </c>
      <c r="AF103" s="63"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3" s="7"/>
      <c r="AK103" s="22"/>
      <c r="AL103" s="23"/>
      <c r="AM103" s="7"/>
      <c r="AN103" s="47"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3" t="str">
        <f aca="false">IF(Tasks[[#This Row],[Task Name]]="","",IF(N(Tasks[[#This Row],[Baseline Start]])&gt;0,Tasks[[#This Row],[Baseline Start]],Tasks[[#This Row],[_CalcStart]]))</f>
        <v/>
      </c>
      <c r="AR103" s="63" t="str">
        <f aca="false">IF(Tasks[[#This Row],[Task Name]]="","",IF(N(Tasks[[#This Row],[Baseline Finish]])&gt;0,Tasks[[#This Row],[Baseline Finish]],Tasks[[#This Row],[_CalcFinish]]))</f>
        <v/>
      </c>
      <c r="AS103" s="47" t="str">
        <f aca="false">IF(Tasks[[#This Row],[Task Name]]="","",IF(Tasks[[#This Row],[Start]]&gt;=Tasks[[#This Row],[Planned Start]],NETWORKDAYS.INTL(Tasks[[#This Row],[Planned Start]],Tasks[[#This Row],[Start]],WorkWeek,Holidays)-1,1-NETWORKDAYS.INTL(Tasks[[#This Row],[Start]],Tasks[[#This Row],[Planned Start]],WorkWeek,Holidays)))</f>
        <v/>
      </c>
      <c r="AT103" s="63" t="str">
        <f aca="false">IF(Tasks[[#This Row],[Task Name]]="","",IF(Tasks[[#This Row],[_IsSummary]],MIN(INDEX(Tasks[_LeafLateStart],Tasks[[#This Row],[_Row]]+1):INDEX(Tasks[_LeafLateStart],Tasks[[#This Row],[_Row]]+Tasks[[#This Row],[_Descendants]])),Tasks[[#This Row],[_LeafLateStart]]))</f>
        <v/>
      </c>
      <c r="AU103" s="63" t="str">
        <f aca="false">IF(Tasks[[#This Row],[Task Name]]="","",IF(Tasks[[#This Row],[_IsSummary]],MAX(INDEX(Tasks[_LeafLateFinish],Tasks[[#This Row],[_Row]]+1):INDEX(Tasks[_LeafLateFinish],Tasks[[#This Row],[_Row]]+Tasks[[#This Row],[_Descendants]])),Tasks[[#This Row],[_LeafLateFinish]]))</f>
        <v/>
      </c>
      <c r="AV103" s="47"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5"/>
      <c r="BA1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6"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7"/>
      <c r="BJ103" s="22"/>
      <c r="BK103" s="47" t="str">
        <f aca="false">IF(OR(Tasks[[#This Row],[Task Name]]="",Tasks[[#This Row],[Baseline Duration]]=""),"",Tasks[[#This Row],[_SpanDays]]-N(Tasks[[#This Row],[Baseline Duration]]))</f>
        <v/>
      </c>
      <c r="BL103" s="86" t="str">
        <f aca="false">IF(OR(Tasks[[#This Row],[Task Name]]="",Tasks[[#This Row],[Baseline Work]]=""),"",Tasks[[#This Row],[Work]]-N(Tasks[[#This Row],[Baseline Work]]))</f>
        <v/>
      </c>
      <c r="BM103" s="63" t="str">
        <f aca="false">IF(Tasks[[#This Row],[Task Name]]="","",IF(OR(TakeBaseline="Yes",N(Tasks[[#This Row],[Baseline Start]])=0),Tasks[[#This Row],[Start]],Tasks[[#This Row],[Baseline Start]]))</f>
        <v/>
      </c>
      <c r="BN103" s="63" t="str">
        <f aca="false">IF(Tasks[[#This Row],[Task Name]]="","",IF(OR(TakeBaseline="Yes",N(Tasks[[#This Row],[Baseline Finish]])=0),Tasks[[#This Row],[Finish]],Tasks[[#This Row],[Baseline Finish]]))</f>
        <v/>
      </c>
      <c r="BO103" s="21" t="str">
        <f aca="false">IF(Tasks[[#This Row],[Task Name]]="","",IF(OR(TakeBaseline="Yes",N(Tasks[[#This Row],[Baseline Duration]])=0),Tasks[[#This Row],[_SpanDays]],Tasks[[#This Row],[Baseline Duration]]))</f>
        <v/>
      </c>
      <c r="BP103" s="86" t="str">
        <f aca="false">IF(Tasks[[#This Row],[Task Name]]="","",IF(OR(TakeBaseline="Yes",N(Tasks[[#This Row],[Baseline Work]])=0),Tasks[[#This Row],[Work]],Tasks[[#This Row],[Baseline Work]]))</f>
        <v/>
      </c>
      <c r="BQ103" s="7"/>
      <c r="BR103" s="7"/>
      <c r="BS103" s="22"/>
      <c r="BT103" s="88"/>
      <c r="BU103" s="23"/>
      <c r="BV103" s="23"/>
      <c r="BW103" s="23"/>
      <c r="BX103" s="89" t="str">
        <f aca="false">IF(AND(Tasks[[#This Row],[_IsLeaf]]=1,ISNUMBER(Tasks[[#This Row],[Optimistic]]),ISNUMBER(Tasks[[#This Row],[Pessimistic]])),ROUND((Tasks[[#This Row],[Optimistic]]+4*N(Tasks[[#This Row],[_Days]])+Tasks[[#This Row],[Pessimistic]])/6,1),"")</f>
        <v/>
      </c>
      <c r="BY103" s="87"/>
      <c r="BZ103" s="87"/>
      <c r="CA103" s="22"/>
      <c r="CB103" s="43" t="str">
        <f aca="false">IF(Tasks[[#This Row],[Task Name]]="","",MAX(1,N(Tasks[[#This Row],[Level]])))</f>
        <v/>
      </c>
      <c r="CC103" s="43" t="n">
        <f aca="false">ROW()-ROW(Tasks[[#Headers],[ID]])</f>
        <v>98</v>
      </c>
      <c r="CD103" s="43" t="n">
        <f aca="false">IF(OR(Tasks[[#This Row],[Task Name]]="",Tasks[[#This Row],[_Level]]&lt;=1),0,IFERROR(LOOKUP(2,1/(Tasks[[#Headers],[_Level]]:Tasks[[#This Row],[_Level]]=Tasks[[#This Row],[_Level]]-1),ROW(Tasks[[#Headers],[_Level]]:Tasks[[#This Row],[_Level]])),0))</f>
        <v>0</v>
      </c>
      <c r="CE103" s="43" t="n">
        <f aca="false">IFERROR(N(INDEX(Tasks[_Level],Tasks[[#This Row],[_Row]]+1)),0)</f>
        <v>0</v>
      </c>
      <c r="CF103" s="90" t="b">
        <f aca="false">AND(Tasks[[#This Row],[Task Name]]&lt;&gt;"",Tasks[[#This Row],[_NextLevel]]&gt;Tasks[[#This Row],[_Level]])</f>
        <v>0</v>
      </c>
      <c r="CG103" s="43" t="n">
        <f aca="false">IF(Tasks[[#This Row],[_IsSummary]],COUNTIF(Tasks[WBS],Tasks[[#This Row],[WBS]]&amp;".*"),0)</f>
        <v>0</v>
      </c>
      <c r="CH103" s="43" t="n">
        <f aca="false">IF(AND(Tasks[[#This Row],[Task Name]]&lt;&gt;"",NOT(Tasks[[#This Row],[_IsSummary]])),1,0)</f>
        <v>0</v>
      </c>
      <c r="CI103" s="43" t="n">
        <f aca="false">IF(N(Tasks[[#This Row],[_Pred1UID]])=0,0,IFERROR(MATCH(Tasks[[#This Row],[_Pred1UID]],Tasks[UID],0),-1))</f>
        <v>0</v>
      </c>
      <c r="CJ103" s="43" t="n">
        <f aca="false">IF(N(Tasks[[#This Row],[_Pred2UID]])=0,0,IFERROR(MATCH(Tasks[[#This Row],[_Pred2UID]],Tasks[UID],0),-1))</f>
        <v>0</v>
      </c>
      <c r="CK103" s="43" t="n">
        <f aca="false">IF(N(Tasks[[#This Row],[_Pred3UID]])=0,0,IFERROR(MATCH(Tasks[[#This Row],[_Pred3UID]],Tasks[UID],0),-1))</f>
        <v>0</v>
      </c>
      <c r="CL103" s="43" t="n">
        <f aca="false">IF(N(Tasks[[#This Row],[_Pred4UID]])=0,0,IFERROR(MATCH(Tasks[[#This Row],[_Pred4UID]],Tasks[UID],0),-1))</f>
        <v>0</v>
      </c>
      <c r="CM1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3" s="91" t="n">
        <f aca="false">IF(OR(Tasks[[#This Row],[_ConstraintCode]]=2,Tasks[[#This Row],[_ConstraintCode]]=3,Tasks[[#This Row],[_ConstraintCode]]=4,Tasks[[#This Row],[_ConstraintCode]]=6),Tasks[[#This Row],[_ConstraintStart]],0)</f>
        <v>0</v>
      </c>
      <c r="CP103" s="91" t="n">
        <f aca="false">IF(OR(Tasks[[#This Row],[_ConstraintCode]]=2,Tasks[[#This Row],[_ConstraintCode]]=3,Tasks[[#This Row],[_ConstraintCode]]=5,Tasks[[#This Row],[_ConstraintCode]]=7),Tasks[[#This Row],[_ConstraintStart]],2958465)</f>
        <v>2958465</v>
      </c>
      <c r="CQ1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91" t="str">
        <f aca="false">IF(NOT(Tasks[[#This Row],[_IsLeaf]]=1),"",IF(N(Tasks[[#This Row],[_Days]])&lt;=0,Tasks[[#This Row],[_LeafCalcStart]],WORKDAY.INTL(Tasks[[#This Row],[_LeafCalcStart]],Tasks[[#This Row],[_Days]]-1,WorkWeek,Holidays)))</f>
        <v/>
      </c>
      <c r="CS1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3" t="str">
        <f aca="false">IF(Tasks[[#This Row],[_Predecessors]]="","",TRIM(MID(SUBSTITUTE(SUBSTITUTE(SUBSTITUTE(UPPER(Tasks[[#This Row],[_Predecessors]]),";",",")," ",""),",",REPT(" ",99)),1,99)))</f>
        <v/>
      </c>
      <c r="CV103" s="43" t="str">
        <f aca="false">IF(Tasks[[#This Row],[_Pred1Text]]="","",IFERROR(VALUE(LEFT(Tasks[[#This Row],[_Pred1Text]],MIN(FIND("F",Tasks[[#This Row],[_Pred1Text]]&amp;"F"),FIND("S",Tasks[[#This Row],[_Pred1Text]]&amp;"S"),FIND("+",Tasks[[#This Row],[_Pred1Text]]&amp;"+"),FIND("-",Tasks[[#This Row],[_Pred1Text]]&amp;"-"))-1)),""))</f>
        <v/>
      </c>
      <c r="CW1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3" t="str">
        <f aca="false">IF(Tasks[[#This Row],[_Pred1Text]]="","",TRIM(MID(SUBSTITUTE(SUBSTITUTE(SUBSTITUTE(UPPER(Tasks[[#This Row],[_Predecessors]]),";",",")," ",""),",",REPT(" ",99)),100,99)))</f>
        <v/>
      </c>
      <c r="CZ103" s="43" t="str">
        <f aca="false">IF(Tasks[[#This Row],[_Pred2Text]]="","",IFERROR(VALUE(LEFT(Tasks[[#This Row],[_Pred2Text]],MIN(FIND("F",Tasks[[#This Row],[_Pred2Text]]&amp;"F"),FIND("S",Tasks[[#This Row],[_Pred2Text]]&amp;"S"),FIND("+",Tasks[[#This Row],[_Pred2Text]]&amp;"+"),FIND("-",Tasks[[#This Row],[_Pred2Text]]&amp;"-"))-1)),""))</f>
        <v/>
      </c>
      <c r="DA1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3" t="str">
        <f aca="false">IF(Tasks[[#This Row],[_Pred2Text]]="","",TRIM(MID(SUBSTITUTE(SUBSTITUTE(SUBSTITUTE(UPPER(Tasks[[#This Row],[_Predecessors]]),";",",")," ",""),",",REPT(" ",99)),199,99)))</f>
        <v/>
      </c>
      <c r="DD103" s="43" t="str">
        <f aca="false">IF(Tasks[[#This Row],[_Pred3Text]]="","",IFERROR(VALUE(LEFT(Tasks[[#This Row],[_Pred3Text]],MIN(FIND("F",Tasks[[#This Row],[_Pred3Text]]&amp;"F"),FIND("S",Tasks[[#This Row],[_Pred3Text]]&amp;"S"),FIND("+",Tasks[[#This Row],[_Pred3Text]]&amp;"+"),FIND("-",Tasks[[#This Row],[_Pred3Text]]&amp;"-"))-1)),""))</f>
        <v/>
      </c>
      <c r="DE1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3" t="str">
        <f aca="false">IF(Tasks[[#This Row],[_Pred3Text]]="","",TRIM(MID(SUBSTITUTE(SUBSTITUTE(SUBSTITUTE(UPPER(Tasks[[#This Row],[_Predecessors]]),";",",")," ",""),",",REPT(" ",99)),298,99)))</f>
        <v/>
      </c>
      <c r="DH103" s="43" t="str">
        <f aca="false">IF(Tasks[[#This Row],[_Pred4Text]]="","",IFERROR(VALUE(LEFT(Tasks[[#This Row],[_Pred4Text]],MIN(FIND("F",Tasks[[#This Row],[_Pred4Text]]&amp;"F"),FIND("S",Tasks[[#This Row],[_Pred4Text]]&amp;"S"),FIND("+",Tasks[[#This Row],[_Pred4Text]]&amp;"+"),FIND("-",Tasks[[#This Row],[_Pred4Text]]&amp;"-"))-1)),""))</f>
        <v/>
      </c>
      <c r="DI1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3" t="str">
        <f aca="false">IF(OR(Tasks[[#This Row],[Task Name]]="",Tasks[[#This Row],[_Resources]]=""),"",TRIM(MID(SUBSTITUTE(Tasks[[#This Row],[_Resources]],",",REPT(" ",99)),1,99)))</f>
        <v/>
      </c>
      <c r="DL103" s="43" t="str">
        <f aca="false">IF(Tasks[[#This Row],[_Res1Text]]="","",TRIM(MID(SUBSTITUTE(Tasks[[#This Row],[_Resources]],",",REPT(" ",99)),100,99)))</f>
        <v/>
      </c>
      <c r="DM103" s="43" t="str">
        <f aca="false">IF(Tasks[[#This Row],[_Res2Text]]="","",TRIM(MID(SUBSTITUTE(Tasks[[#This Row],[_Resources]],",",REPT(" ",99)),199,99)))</f>
        <v/>
      </c>
      <c r="DN103" s="43" t="str">
        <f aca="false">IF(Tasks[[#This Row],[_Res3Text]]="","",TRIM(MID(SUBSTITUTE(Tasks[[#This Row],[_Resources]],",",REPT(" ",99)),298,99)))</f>
        <v/>
      </c>
      <c r="DO103" s="43" t="n">
        <f aca="false">IF(Tasks[[#This Row],[_Res1Text]]="",0,IFERROR(MATCH(TRIM(LEFT(Tasks[[#This Row],[_Res1Text]],FIND("[",Tasks[[#This Row],[_Res1Text]]&amp;"[")-1)),res_Name,0),IFERROR(MATCH(TRIM(LEFT(Tasks[[#This Row],[_Res1Text]],FIND("[",Tasks[[#This Row],[_Res1Text]]&amp;"[")-1)),res_Initials,0),0)))</f>
        <v>0</v>
      </c>
      <c r="DP103" s="43" t="n">
        <f aca="false">IF(Tasks[[#This Row],[_Res2Text]]="",0,IFERROR(MATCH(TRIM(LEFT(Tasks[[#This Row],[_Res2Text]],FIND("[",Tasks[[#This Row],[_Res2Text]]&amp;"[")-1)),res_Name,0),IFERROR(MATCH(TRIM(LEFT(Tasks[[#This Row],[_Res2Text]],FIND("[",Tasks[[#This Row],[_Res2Text]]&amp;"[")-1)),res_Initials,0),0)))</f>
        <v>0</v>
      </c>
      <c r="DQ103" s="43" t="n">
        <f aca="false">IF(Tasks[[#This Row],[_Res3Text]]="",0,IFERROR(MATCH(TRIM(LEFT(Tasks[[#This Row],[_Res3Text]],FIND("[",Tasks[[#This Row],[_Res3Text]]&amp;"[")-1)),res_Name,0),IFERROR(MATCH(TRIM(LEFT(Tasks[[#This Row],[_Res3Text]],FIND("[",Tasks[[#This Row],[_Res3Text]]&amp;"[")-1)),res_Initials,0),0)))</f>
        <v>0</v>
      </c>
      <c r="DR103" s="43" t="n">
        <f aca="false">IF(Tasks[[#This Row],[_Res4Text]]="",0,IFERROR(MATCH(TRIM(LEFT(Tasks[[#This Row],[_Res4Text]],FIND("[",Tasks[[#This Row],[_Res4Text]]&amp;"[")-1)),res_Name,0),IFERROR(MATCH(TRIM(LEFT(Tasks[[#This Row],[_Res4Text]],FIND("[",Tasks[[#This Row],[_Res4Text]]&amp;"[")-1)),res_Initials,0),0)))</f>
        <v>0</v>
      </c>
      <c r="DS103" s="43" t="str">
        <f aca="false">IF(Tasks[[#This Row],[_Res1Text]]="","",IF(Tasks[[#This Row],[_Res1Row]]&gt;0,INDEX(res_Name,Tasks[[#This Row],[_Res1Row]]),TRIM(LEFT(Tasks[[#This Row],[_Res1Text]],FIND("[",Tasks[[#This Row],[_Res1Text]]&amp;"[")-1))))</f>
        <v/>
      </c>
      <c r="DT1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3" t="n">
        <f aca="false">IF(NOT(Tasks[[#This Row],[_IsLeaf]]=1),0,(Tasks[[#This Row],[_Resource1]]&lt;&gt;"")+(Tasks[[#This Row],[_Res2]]&lt;&gt;"")+(Tasks[[#This Row],[_Res3]]&lt;&gt;"")+(Tasks[[#This Row],[_Res4]]&lt;&gt;""))</f>
        <v>0</v>
      </c>
      <c r="DV103" s="43" t="str">
        <f aca="false">IF(Tasks[[#This Row],[_Res2Text]]="","",IF(Tasks[[#This Row],[_Res2Row]]&gt;0,INDEX(res_Name,Tasks[[#This Row],[_Res2Row]]),TRIM(LEFT(Tasks[[#This Row],[_Res2Text]],FIND("[",Tasks[[#This Row],[_Res2Text]]&amp;"[")-1))))</f>
        <v/>
      </c>
      <c r="DW1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3" t="n">
        <f aca="false">IF(OR(NOT(Tasks[[#This Row],[_IsLeaf]]=1),Tasks[[#This Row],[_Res2Row]]=0),0,N(Tasks[[#This Row],[_Days]])*HoursPerDay*IF(Tasks[[#This Row],[_Res2Units]]="",DefaultUnits,Tasks[[#This Row],[_Res2Units]]))</f>
        <v>0</v>
      </c>
      <c r="DY103" s="43" t="n">
        <f aca="false">IF(AND(AND(Tasks[[#This Row],[_IsLeaf]]=1,Tasks[[#This Row],[_LeafTotalWork]]&gt;0),Tasks[[#This Row],[_Res2Work]]&gt;0),Tasks[[#This Row],[_Res2Work]]/(Tasks[[#This Row],[_FinishWorkday]]-Tasks[[#This Row],[_StartWorkday]]+1),0)</f>
        <v>0</v>
      </c>
      <c r="DZ103" s="43" t="n">
        <f aca="false">Tasks[[#This Row],[_Res2WorkPerWD]]*MAX(0,Tasks[[#This Row],[_StartWorkday]]-1)</f>
        <v>0</v>
      </c>
      <c r="EA103" s="43" t="n">
        <f aca="false">Tasks[[#This Row],[_Res2Work]]*Tasks[[#This Row],[_LeafProgress]]</f>
        <v>0</v>
      </c>
      <c r="EB103" s="43" t="str">
        <f aca="false">IF(Tasks[[#This Row],[_Res3Text]]="","",IF(Tasks[[#This Row],[_Res3Row]]&gt;0,INDEX(res_Name,Tasks[[#This Row],[_Res3Row]]),TRIM(LEFT(Tasks[[#This Row],[_Res3Text]],FIND("[",Tasks[[#This Row],[_Res3Text]]&amp;"[")-1))))</f>
        <v/>
      </c>
      <c r="EC1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3" t="n">
        <f aca="false">IF(OR(NOT(Tasks[[#This Row],[_IsLeaf]]=1),Tasks[[#This Row],[_Res3Row]]=0),0,N(Tasks[[#This Row],[_Days]])*HoursPerDay*IF(Tasks[[#This Row],[_Res3Units]]="",DefaultUnits,Tasks[[#This Row],[_Res3Units]]))</f>
        <v>0</v>
      </c>
      <c r="EE103" s="43" t="n">
        <f aca="false">IF(AND(AND(Tasks[[#This Row],[_IsLeaf]]=1,Tasks[[#This Row],[_LeafTotalWork]]&gt;0),Tasks[[#This Row],[_Res3Work]]&gt;0),Tasks[[#This Row],[_Res3Work]]/(Tasks[[#This Row],[_FinishWorkday]]-Tasks[[#This Row],[_StartWorkday]]+1),0)</f>
        <v>0</v>
      </c>
      <c r="EF103" s="43" t="n">
        <f aca="false">Tasks[[#This Row],[_Res3WorkPerWD]]*MAX(0,Tasks[[#This Row],[_StartWorkday]]-1)</f>
        <v>0</v>
      </c>
      <c r="EG103" s="43" t="n">
        <f aca="false">Tasks[[#This Row],[_Res3Work]]*Tasks[[#This Row],[_LeafProgress]]</f>
        <v>0</v>
      </c>
      <c r="EH103" s="43" t="str">
        <f aca="false">IF(Tasks[[#This Row],[_Res4Text]]="","",IF(Tasks[[#This Row],[_Res4Row]]&gt;0,INDEX(res_Name,Tasks[[#This Row],[_Res4Row]]),TRIM(LEFT(Tasks[[#This Row],[_Res4Text]],FIND("[",Tasks[[#This Row],[_Res4Text]]&amp;"[")-1))))</f>
        <v/>
      </c>
      <c r="EI1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3" t="n">
        <f aca="false">IF(OR(NOT(Tasks[[#This Row],[_IsLeaf]]=1),Tasks[[#This Row],[_Res4Row]]=0),0,N(Tasks[[#This Row],[_Days]])*HoursPerDay*IF(Tasks[[#This Row],[_Res4Units]]="",DefaultUnits,Tasks[[#This Row],[_Res4Units]]))</f>
        <v>0</v>
      </c>
      <c r="EK103" s="43" t="n">
        <f aca="false">IF(AND(AND(Tasks[[#This Row],[_IsLeaf]]=1,Tasks[[#This Row],[_LeafTotalWork]]&gt;0),Tasks[[#This Row],[_Res4Work]]&gt;0),Tasks[[#This Row],[_Res4Work]]/(Tasks[[#This Row],[_FinishWorkday]]-Tasks[[#This Row],[_StartWorkday]]+1),0)</f>
        <v>0</v>
      </c>
      <c r="EL103" s="43" t="n">
        <f aca="false">Tasks[[#This Row],[_Res4WorkPerWD]]*MAX(0,Tasks[[#This Row],[_StartWorkday]]-1)</f>
        <v>0</v>
      </c>
      <c r="EM103" s="43" t="n">
        <f aca="false">Tasks[[#This Row],[_Res4Work]]*Tasks[[#This Row],[_LeafProgress]]</f>
        <v>0</v>
      </c>
      <c r="EN103" s="43" t="n">
        <f aca="false">IF(ISNUMBER(Tasks[[#This Row],[% Complete]]),Tasks[[#This Row],[% Complete]],IF(Tasks[[#This Row],[Stage]]="",0,IFERROR(INDEX(stg_Pct,MATCH(Tasks[[#This Row],[Stage]],stg_Name,0)),0)))</f>
        <v>0</v>
      </c>
      <c r="EO103" s="43" t="n">
        <f aca="false">IF(NOT(Tasks[[#This Row],[_IsLeaf]]=1),0,IF(N(Tasks[[#This Row],[Actual Finish]])&gt;0,1,MIN(1,Tasks[[#This Row],[_Pct]])))</f>
        <v>0</v>
      </c>
      <c r="EP103" s="43" t="n">
        <f aca="false">IF(OR(NOT(Tasks[[#This Row],[_IsLeaf]]=1),Tasks[[#This Row],[_Res1Row]]=0),0,N(Tasks[[#This Row],[_Days]])*HoursPerDay*IF(Tasks[[#This Row],[_Units1]]="",DefaultUnits,Tasks[[#This Row],[_Units1]]))</f>
        <v>0</v>
      </c>
      <c r="EQ103" s="43" t="n">
        <f aca="false">Tasks[[#This Row],[_LeafWork]]+Tasks[[#This Row],[_Res2Work]]+Tasks[[#This Row],[_Res3Work]]+Tasks[[#This Row],[_Res4Work]]</f>
        <v>0</v>
      </c>
      <c r="ER1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3" t="n">
        <f aca="false">IF(NOT(Tasks[[#This Row],[_IsLeaf]]=1),0,MAX(_xlfn.MAXIFS(Tasks[_Row],Tasks[_Pred1UID],Tasks[[#This Row],[UID]]),_xlfn.MAXIFS(Tasks[_Row],Tasks[_Pred2UID],Tasks[[#This Row],[UID]]),_xlfn.MAXIFS(Tasks[_Row],Tasks[_Pred3UID],Tasks[[#This Row],[UID]]),_xlfn.MAXIFS(Tasks[_Row],Tasks[_Pred4UID],Tasks[[#This Row],[UID]])))</f>
        <v>0</v>
      </c>
      <c r="FA1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91" t="str">
        <f aca="false">IF(NOT(Tasks[[#This Row],[_IsLeaf]]=1),"",IF(N(Tasks[[#This Row],[_Days]])&lt;=0,Tasks[[#This Row],[_LeafLateFinish]],WORKDAY.INTL(Tasks[[#This Row],[_LeafLateFinish]],-(Tasks[[#This Row],[_Days]]-1),WorkWeek,Holidays)))</f>
        <v/>
      </c>
      <c r="FD1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3" s="90" t="b">
        <f aca="false">AND(Tasks[[#This Row],[_IsLeaf]]=1,Tasks[[#This Row],[_LeafProgress]]&lt;1,N(Tasks[[#This Row],[_LeafTotalSlack]])&lt;=CriticalSlackDays)</f>
        <v>0</v>
      </c>
      <c r="FF103" s="43" t="n">
        <f aca="false">IF(AND(Tasks[[#This Row],[_IsLeaf]]=1,Tasks[[#This Row],[_ConstraintCode]]=1,Tasks[[#This Row],[Mode]]&lt;&gt;"Manual",N(Tasks[[#This Row],[Actual Start]])=0),MAX(0,N(Tasks[[#This Row],[Free Slack]])),0)</f>
        <v>0</v>
      </c>
      <c r="FG103" s="91" t="str">
        <f aca="false">IF(NOT(Tasks[[#This Row],[_IsLeaf]]=1),"",IF(Tasks[[#This Row],[_AlapShift]]=0,Tasks[[#This Row],[_LeafCalcStart]],WORKDAY.INTL(Tasks[[#This Row],[_LeafCalcStart]],Tasks[[#This Row],[_AlapShift]],WorkWeek,Holidays)))</f>
        <v/>
      </c>
      <c r="FH103" s="91" t="str">
        <f aca="false">IF(NOT(Tasks[[#This Row],[_IsLeaf]]=1),"",IF(Tasks[[#This Row],[_AlapShift]]=0,Tasks[[#This Row],[_LeafCalcFinish]],WORKDAY.INTL(Tasks[[#This Row],[_LeafCalcFinish]],Tasks[[#This Row],[_AlapShift]],WorkWeek,Holidays)))</f>
        <v/>
      </c>
      <c r="FI103" s="91" t="str">
        <f aca="false">IF(NOT(Tasks[[#This Row],[_IsLeaf]]=1),"",IF(Tasks[[#This Row],[_AlapShift]]=0,Tasks[[#This Row],[_LeafFcstStart]],WORKDAY.INTL(Tasks[[#This Row],[_LeafFcstStart]],Tasks[[#This Row],[_AlapShift]],WorkWeek,Holidays)))</f>
        <v/>
      </c>
      <c r="FJ103" s="91" t="str">
        <f aca="false">IF(NOT(Tasks[[#This Row],[_IsLeaf]]=1),"",IF(Tasks[[#This Row],[_AlapShift]]=0,Tasks[[#This Row],[_LeafFcstFinish]],WORKDAY.INTL(Tasks[[#This Row],[_LeafFcstFinish]],Tasks[[#This Row],[_AlapShift]],WorkWeek,Holidays)))</f>
        <v/>
      </c>
      <c r="FK103" s="91" t="str">
        <f aca="false">IF(Tasks[[#This Row],[Task Name]]="","",IF(Tasks[[#This Row],[_IsSummary]],MIN(INDEX(Tasks[_ShownCalcStart],Tasks[[#This Row],[_Row]]+1):INDEX(Tasks[_ShownCalcStart],Tasks[[#This Row],[_Row]]+Tasks[[#This Row],[_Descendants]])),Tasks[[#This Row],[_ShownCalcStart]]))</f>
        <v/>
      </c>
      <c r="FL103" s="91" t="str">
        <f aca="false">IF(Tasks[[#This Row],[Task Name]]="","",IF(Tasks[[#This Row],[_IsSummary]],MAX(INDEX(Tasks[_ShownCalcFinish],Tasks[[#This Row],[_Row]]+1):INDEX(Tasks[_ShownCalcFinish],Tasks[[#This Row],[_Row]]+Tasks[[#This Row],[_Descendants]])),Tasks[[#This Row],[_ShownCalcFinish]]))</f>
        <v/>
      </c>
      <c r="FM1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3" s="43" t="n">
        <f aca="false">IF(AND(Tasks[[#This Row],[_IsLeaf]]=1,Tasks[[#This Row],[_LeafTotalWork]]&gt;0),NETWORKDAYS.INTL(ProjectStart,Tasks[[#This Row],[_ShownFcstStart]],WorkWeek,Holidays),0)</f>
        <v>0</v>
      </c>
      <c r="FZ103" s="43" t="n">
        <f aca="false">IF(AND(Tasks[[#This Row],[_IsLeaf]]=1,Tasks[[#This Row],[_LeafTotalWork]]&gt;0),MAX(Tasks[[#This Row],[_StartWorkday]],NETWORKDAYS.INTL(ProjectStart,Tasks[[#This Row],[_ShownFcstFinish]],WorkWeek,Holidays)),0)</f>
        <v>0</v>
      </c>
      <c r="GA103" s="43" t="n">
        <f aca="false">IF(AND(Tasks[[#This Row],[_IsLeaf]]=1,Tasks[[#This Row],[_LeafTotalWork]]&gt;0),Tasks[[#This Row],[_LeafWork]]/(Tasks[[#This Row],[_FinishWorkday]]-Tasks[[#This Row],[_StartWorkday]]+1),0)</f>
        <v>0</v>
      </c>
      <c r="GB103" s="43" t="n">
        <f aca="false">Tasks[[#This Row],[_WorkPerWorkday]]*(Tasks[[#This Row],[_StartWorkday]]-1)</f>
        <v>-0</v>
      </c>
      <c r="GC103" s="43" t="n">
        <f aca="false">IF(Tasks[[#This Row],[_IsLeaf]]=1,MAX(N(Tasks[[#This Row],[_Days]]),0.1),0)</f>
        <v>0</v>
      </c>
      <c r="GD103" s="43" t="n">
        <f aca="false">Tasks[[#This Row],[_WeightDur]]*Tasks[[#This Row],[_LeafProgress]]</f>
        <v>0</v>
      </c>
      <c r="GE103" s="43" t="n">
        <f aca="false">Tasks[[#This Row],[_WeightDur]]*Tasks[[#This Row],[_PlannedPct]]</f>
        <v>0</v>
      </c>
      <c r="GF1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3" t="str">
        <f aca="false">IF(AND(Tasks[[#This Row],[_IsLeaf]]=1,N(Tasks[[#This Row],[_Days]])=0,Tasks[[#This Row],[_LeafProgress]]&lt;1),Tasks[[#This Row],[_ShownFcstFinish]]+Tasks[[#This Row],[_Row]]/100000,"")</f>
        <v/>
      </c>
      <c r="GH1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3" s="43" t="str">
        <f aca="false">IF(Tasks[[#This Row],[Task Name]]="","",LEFT(Tasks[[#This Row],[WBS]],FIND(".",Tasks[[#This Row],[WBS]]&amp;".")-1))</f>
        <v/>
      </c>
      <c r="GJ103" s="43" t="str">
        <f aca="false">IF(AND(Tasks[[#This Row],[Task Name]]&lt;&gt;"",Tasks[[#This Row],[_Level]]=1),Tasks[[#This Row],[_Row]],"")</f>
        <v/>
      </c>
      <c r="GK103" s="43" t="str">
        <f aca="false">IF(AND(Tasks[[#This Row],[_IsLeaf]]=1,N(Tasks[[#This Row],[_Days]])=0),Tasks[[#This Row],[Planned Finish]]+Tasks[[#This Row],[_Row]]/100000,"")</f>
        <v/>
      </c>
      <c r="GL103" s="43" t="str">
        <f aca="false">IF(AND(Tasks[[#This Row],[_IsLeaf]]=1,Tasks[[#This Row],[_LeafProgress]]&lt;1,OR(N(Tasks[[#This Row],[Finish Var]])&gt;0,Tasks[[#This Row],[Status]]="Late Start")),MAX(0,Tasks[[#This Row],[Finish Var]])+1-Tasks[[#This Row],[_Row]]/1000000,"")</f>
        <v/>
      </c>
      <c r="GM103" s="43" t="str">
        <f aca="false">IF(AND(Tasks[[#This Row],[_IsLeaf]]=1,N(Tasks[[#This Row],[Actual Start]])=0,Tasks[[#This Row],[_ShownFcstStart]]&gt;=StatusDate,Tasks[[#This Row],[_ShownFcstStart]]&lt;=LookaheadEnd),Tasks[[#This Row],[_ShownFcstStart]]+Tasks[[#This Row],[_Row]]/100000,"")</f>
        <v/>
      </c>
      <c r="GN103" s="43" t="str">
        <f aca="false">IF(AND(Tasks[[#This Row],[_IsLeaf]]=1,Tasks[[#This Row],[_LeafProgress]]&lt;1,Tasks[[#This Row],[_ShownFcstFinish]]&gt;=StatusDate,Tasks[[#This Row],[_ShownFcstFinish]]&lt;=LookaheadEnd),Tasks[[#This Row],[_ShownFcstFinish]]+Tasks[[#This Row],[_Row]]/100000,"")</f>
        <v/>
      </c>
      <c r="GO103" s="43" t="str">
        <f aca="false">IF(Tasks[[#This Row],[_LeafCritical]],Tasks[[#This Row],[_ShownFcstStart]]+Tasks[[#This Row],[_Row]]/100000,"")</f>
        <v/>
      </c>
      <c r="GP103" s="43" t="n">
        <f aca="false">Tasks[[#This Row],[_LeafWork]]*Tasks[[#This Row],[_LeafProgress]]</f>
        <v>0</v>
      </c>
      <c r="GQ103" s="91" t="str">
        <f aca="false">IF(AND(Tasks[[#This Row],[_IsLeaf]]=1,Tasks[[#This Row],[_LeafProgress]]&gt;=1),IF(N(Tasks[[#This Row],[Actual Finish]])&gt;0,Tasks[[#This Row],[Actual Finish]],Tasks[[#This Row],[_ShownFcstFinish]]),"")</f>
        <v/>
      </c>
      <c r="GR103" s="43" t="n">
        <f aca="false">IF(Tasks[[#This Row],[_IsLeaf]]=1,N(Tasks[[#This Row],[Story Points]]),0)</f>
        <v>0</v>
      </c>
      <c r="GS103" s="43" t="str">
        <f aca="false">""</f>
        <v/>
      </c>
      <c r="GT103" s="90" t="b">
        <f aca="false">IF(Tasks[[#This Row],[Task Name]]="",FALSE(),AND(Tasks[[#This Row],[_IsLeaf]]=1,N(Tasks[[#This Row],[_Days]])=0))</f>
        <v>0</v>
      </c>
      <c r="GU103" s="91" t="n">
        <f aca="false">IF(Tasks[[#This Row],[Task Name]]="",0,IF(AND(Tasks[[#This Row],[_IsLeaf]]=1,NOT(Tasks[[#This Row],[_IsMilestone]]),N(Tasks[[#This Row],[Progress]])&gt;0),Tasks[[#This Row],[Start]],0))</f>
        <v>0</v>
      </c>
      <c r="GV103" s="91" t="n">
        <f aca="false">IF(Tasks[[#This Row],[_DoneFrom]]=0,0,IF(Tasks[[#This Row],[Progress]]&gt;=1,Tasks[[#This Row],[Finish]],MAX(Tasks[[#This Row],[_DoneFrom]],Tasks[[#This Row],[Start]]+ROUND((Tasks[[#This Row],[Finish]]-Tasks[[#This Row],[Start]]+1)*Tasks[[#This Row],[Progress]],0)-1)))</f>
        <v>0</v>
      </c>
      <c r="GW103" s="91" t="n">
        <f aca="false">IF(Tasks[[#This Row],[Task Name]]="",0,IF(OR(NOT(Tasks[[#This Row],[_IsLeaf]]=1),Tasks[[#This Row],[_IsMilestone]],N(Tasks[[#This Row],[Progress]])&gt;=1),0,IF(Tasks[[#This Row],[_DoneTo]]&gt;0,Tasks[[#This Row],[_DoneTo]]+1,Tasks[[#This Row],[Start]])))</f>
        <v>0</v>
      </c>
      <c r="GX103" s="91" t="n">
        <f aca="false">IF(Tasks[[#This Row],[_RemFrom]]=0,0,Tasks[[#This Row],[Finish]])</f>
        <v>0</v>
      </c>
      <c r="GY103" s="90" t="b">
        <f aca="false">IF(Tasks[[#This Row],[Task Name]]="",FALSE(),OR(NOT(BaselineSet),N(Tasks[[#This Row],[Baseline Start]])&gt;0))</f>
        <v>0</v>
      </c>
      <c r="GZ10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92" t="str">
        <f aca="false">IF(Tasks[[#This Row],[_IsLeaf]]=1,Tasks[[#This Row],[_Row]],"")</f>
        <v/>
      </c>
      <c r="HD103" s="92" t="str">
        <f aca="false">IFERROR(INDEX(Tasks[UID],SMALL(Tasks[_PickKey],Tasks[[#This Row],[_Row]]))&amp;" "&amp;INDEX(Tasks[Task Name],SMALL(Tasks[_PickKey],Tasks[[#This Row],[_Row]])),"")</f>
        <v/>
      </c>
      <c r="HE103" s="43" t="str">
        <f aca="false">IF(Tasks[[#This Row],[Task Name]]="","",IF(Tasks[[#This Row],[_IsSummary]],NETWORKDAYS.INTL(Tasks[[#This Row],[Start]],Tasks[[#This Row],[Finish]],WorkWeek,Holidays),N(Tasks[[#This Row],[_Days]])))</f>
        <v/>
      </c>
      <c r="HF103" s="43" t="n">
        <f aca="false">IF(Tasks[[#This Row],[Expected]]="",0,((Tasks[[#This Row],[Pessimistic]]-Tasks[[#This Row],[Optimistic]])/6)^2)</f>
        <v>0</v>
      </c>
      <c r="HG103" s="43" t="n">
        <f aca="false">IF(Tasks[[#This Row],[Expected]]="",0,Tasks[[#This Row],[Expected]]-N(Tasks[[#This Row],[_Days]]))</f>
        <v>0</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4"/>
      <c r="U104" s="23"/>
      <c r="V104" s="84"/>
      <c r="W104" s="23"/>
      <c r="X104" s="84"/>
      <c r="Y104" s="23"/>
      <c r="Z104" s="84"/>
      <c r="AA104" s="23"/>
      <c r="AB104" s="23"/>
      <c r="AC104" s="7"/>
      <c r="AD104" s="7"/>
      <c r="AE104" s="63" t="str">
        <f aca="false">IF(Tasks[[#This Row],[Task Name]]="","",IF(Tasks[[#This Row],[_IsSummary]],MIN(INDEX(Tasks[_ShownFcstStart],Tasks[[#This Row],[_Row]]+1):INDEX(Tasks[_ShownFcstStart],Tasks[[#This Row],[_Row]]+Tasks[[#This Row],[_Descendants]])),Tasks[[#This Row],[_ShownFcstStart]]))</f>
        <v/>
      </c>
      <c r="AF104" s="63"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4" s="7"/>
      <c r="AK104" s="22"/>
      <c r="AL104" s="23"/>
      <c r="AM104" s="7"/>
      <c r="AN104" s="47"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3" t="str">
        <f aca="false">IF(Tasks[[#This Row],[Task Name]]="","",IF(N(Tasks[[#This Row],[Baseline Start]])&gt;0,Tasks[[#This Row],[Baseline Start]],Tasks[[#This Row],[_CalcStart]]))</f>
        <v/>
      </c>
      <c r="AR104" s="63" t="str">
        <f aca="false">IF(Tasks[[#This Row],[Task Name]]="","",IF(N(Tasks[[#This Row],[Baseline Finish]])&gt;0,Tasks[[#This Row],[Baseline Finish]],Tasks[[#This Row],[_CalcFinish]]))</f>
        <v/>
      </c>
      <c r="AS104" s="47" t="str">
        <f aca="false">IF(Tasks[[#This Row],[Task Name]]="","",IF(Tasks[[#This Row],[Start]]&gt;=Tasks[[#This Row],[Planned Start]],NETWORKDAYS.INTL(Tasks[[#This Row],[Planned Start]],Tasks[[#This Row],[Start]],WorkWeek,Holidays)-1,1-NETWORKDAYS.INTL(Tasks[[#This Row],[Start]],Tasks[[#This Row],[Planned Start]],WorkWeek,Holidays)))</f>
        <v/>
      </c>
      <c r="AT104" s="63" t="str">
        <f aca="false">IF(Tasks[[#This Row],[Task Name]]="","",IF(Tasks[[#This Row],[_IsSummary]],MIN(INDEX(Tasks[_LeafLateStart],Tasks[[#This Row],[_Row]]+1):INDEX(Tasks[_LeafLateStart],Tasks[[#This Row],[_Row]]+Tasks[[#This Row],[_Descendants]])),Tasks[[#This Row],[_LeafLateStart]]))</f>
        <v/>
      </c>
      <c r="AU104" s="63" t="str">
        <f aca="false">IF(Tasks[[#This Row],[Task Name]]="","",IF(Tasks[[#This Row],[_IsSummary]],MAX(INDEX(Tasks[_LeafLateFinish],Tasks[[#This Row],[_Row]]+1):INDEX(Tasks[_LeafLateFinish],Tasks[[#This Row],[_Row]]+Tasks[[#This Row],[_Descendants]])),Tasks[[#This Row],[_LeafLateFinish]]))</f>
        <v/>
      </c>
      <c r="AV104" s="47"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5"/>
      <c r="BA1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6"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7"/>
      <c r="BJ104" s="22"/>
      <c r="BK104" s="47" t="str">
        <f aca="false">IF(OR(Tasks[[#This Row],[Task Name]]="",Tasks[[#This Row],[Baseline Duration]]=""),"",Tasks[[#This Row],[_SpanDays]]-N(Tasks[[#This Row],[Baseline Duration]]))</f>
        <v/>
      </c>
      <c r="BL104" s="86" t="str">
        <f aca="false">IF(OR(Tasks[[#This Row],[Task Name]]="",Tasks[[#This Row],[Baseline Work]]=""),"",Tasks[[#This Row],[Work]]-N(Tasks[[#This Row],[Baseline Work]]))</f>
        <v/>
      </c>
      <c r="BM104" s="63" t="str">
        <f aca="false">IF(Tasks[[#This Row],[Task Name]]="","",IF(OR(TakeBaseline="Yes",N(Tasks[[#This Row],[Baseline Start]])=0),Tasks[[#This Row],[Start]],Tasks[[#This Row],[Baseline Start]]))</f>
        <v/>
      </c>
      <c r="BN104" s="63" t="str">
        <f aca="false">IF(Tasks[[#This Row],[Task Name]]="","",IF(OR(TakeBaseline="Yes",N(Tasks[[#This Row],[Baseline Finish]])=0),Tasks[[#This Row],[Finish]],Tasks[[#This Row],[Baseline Finish]]))</f>
        <v/>
      </c>
      <c r="BO104" s="21" t="str">
        <f aca="false">IF(Tasks[[#This Row],[Task Name]]="","",IF(OR(TakeBaseline="Yes",N(Tasks[[#This Row],[Baseline Duration]])=0),Tasks[[#This Row],[_SpanDays]],Tasks[[#This Row],[Baseline Duration]]))</f>
        <v/>
      </c>
      <c r="BP104" s="86" t="str">
        <f aca="false">IF(Tasks[[#This Row],[Task Name]]="","",IF(OR(TakeBaseline="Yes",N(Tasks[[#This Row],[Baseline Work]])=0),Tasks[[#This Row],[Work]],Tasks[[#This Row],[Baseline Work]]))</f>
        <v/>
      </c>
      <c r="BQ104" s="7"/>
      <c r="BR104" s="7"/>
      <c r="BS104" s="22"/>
      <c r="BT104" s="88"/>
      <c r="BU104" s="23"/>
      <c r="BV104" s="23"/>
      <c r="BW104" s="23"/>
      <c r="BX104" s="89" t="str">
        <f aca="false">IF(AND(Tasks[[#This Row],[_IsLeaf]]=1,ISNUMBER(Tasks[[#This Row],[Optimistic]]),ISNUMBER(Tasks[[#This Row],[Pessimistic]])),ROUND((Tasks[[#This Row],[Optimistic]]+4*N(Tasks[[#This Row],[_Days]])+Tasks[[#This Row],[Pessimistic]])/6,1),"")</f>
        <v/>
      </c>
      <c r="BY104" s="87"/>
      <c r="BZ104" s="87"/>
      <c r="CA104" s="22"/>
      <c r="CB104" s="43" t="str">
        <f aca="false">IF(Tasks[[#This Row],[Task Name]]="","",MAX(1,N(Tasks[[#This Row],[Level]])))</f>
        <v/>
      </c>
      <c r="CC104" s="43" t="n">
        <f aca="false">ROW()-ROW(Tasks[[#Headers],[ID]])</f>
        <v>99</v>
      </c>
      <c r="CD104" s="43" t="n">
        <f aca="false">IF(OR(Tasks[[#This Row],[Task Name]]="",Tasks[[#This Row],[_Level]]&lt;=1),0,IFERROR(LOOKUP(2,1/(Tasks[[#Headers],[_Level]]:Tasks[[#This Row],[_Level]]=Tasks[[#This Row],[_Level]]-1),ROW(Tasks[[#Headers],[_Level]]:Tasks[[#This Row],[_Level]])),0))</f>
        <v>0</v>
      </c>
      <c r="CE104" s="43" t="n">
        <f aca="false">IFERROR(N(INDEX(Tasks[_Level],Tasks[[#This Row],[_Row]]+1)),0)</f>
        <v>0</v>
      </c>
      <c r="CF104" s="90" t="b">
        <f aca="false">AND(Tasks[[#This Row],[Task Name]]&lt;&gt;"",Tasks[[#This Row],[_NextLevel]]&gt;Tasks[[#This Row],[_Level]])</f>
        <v>0</v>
      </c>
      <c r="CG104" s="43" t="n">
        <f aca="false">IF(Tasks[[#This Row],[_IsSummary]],COUNTIF(Tasks[WBS],Tasks[[#This Row],[WBS]]&amp;".*"),0)</f>
        <v>0</v>
      </c>
      <c r="CH104" s="43" t="n">
        <f aca="false">IF(AND(Tasks[[#This Row],[Task Name]]&lt;&gt;"",NOT(Tasks[[#This Row],[_IsSummary]])),1,0)</f>
        <v>0</v>
      </c>
      <c r="CI104" s="43" t="n">
        <f aca="false">IF(N(Tasks[[#This Row],[_Pred1UID]])=0,0,IFERROR(MATCH(Tasks[[#This Row],[_Pred1UID]],Tasks[UID],0),-1))</f>
        <v>0</v>
      </c>
      <c r="CJ104" s="43" t="n">
        <f aca="false">IF(N(Tasks[[#This Row],[_Pred2UID]])=0,0,IFERROR(MATCH(Tasks[[#This Row],[_Pred2UID]],Tasks[UID],0),-1))</f>
        <v>0</v>
      </c>
      <c r="CK104" s="43" t="n">
        <f aca="false">IF(N(Tasks[[#This Row],[_Pred3UID]])=0,0,IFERROR(MATCH(Tasks[[#This Row],[_Pred3UID]],Tasks[UID],0),-1))</f>
        <v>0</v>
      </c>
      <c r="CL104" s="43" t="n">
        <f aca="false">IF(N(Tasks[[#This Row],[_Pred4UID]])=0,0,IFERROR(MATCH(Tasks[[#This Row],[_Pred4UID]],Tasks[UID],0),-1))</f>
        <v>0</v>
      </c>
      <c r="CM1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4" s="91" t="n">
        <f aca="false">IF(OR(Tasks[[#This Row],[_ConstraintCode]]=2,Tasks[[#This Row],[_ConstraintCode]]=3,Tasks[[#This Row],[_ConstraintCode]]=4,Tasks[[#This Row],[_ConstraintCode]]=6),Tasks[[#This Row],[_ConstraintStart]],0)</f>
        <v>0</v>
      </c>
      <c r="CP104" s="91" t="n">
        <f aca="false">IF(OR(Tasks[[#This Row],[_ConstraintCode]]=2,Tasks[[#This Row],[_ConstraintCode]]=3,Tasks[[#This Row],[_ConstraintCode]]=5,Tasks[[#This Row],[_ConstraintCode]]=7),Tasks[[#This Row],[_ConstraintStart]],2958465)</f>
        <v>2958465</v>
      </c>
      <c r="CQ1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91" t="str">
        <f aca="false">IF(NOT(Tasks[[#This Row],[_IsLeaf]]=1),"",IF(N(Tasks[[#This Row],[_Days]])&lt;=0,Tasks[[#This Row],[_LeafCalcStart]],WORKDAY.INTL(Tasks[[#This Row],[_LeafCalcStart]],Tasks[[#This Row],[_Days]]-1,WorkWeek,Holidays)))</f>
        <v/>
      </c>
      <c r="CS1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3" t="str">
        <f aca="false">IF(Tasks[[#This Row],[_Predecessors]]="","",TRIM(MID(SUBSTITUTE(SUBSTITUTE(SUBSTITUTE(UPPER(Tasks[[#This Row],[_Predecessors]]),";",",")," ",""),",",REPT(" ",99)),1,99)))</f>
        <v/>
      </c>
      <c r="CV104" s="43" t="str">
        <f aca="false">IF(Tasks[[#This Row],[_Pred1Text]]="","",IFERROR(VALUE(LEFT(Tasks[[#This Row],[_Pred1Text]],MIN(FIND("F",Tasks[[#This Row],[_Pred1Text]]&amp;"F"),FIND("S",Tasks[[#This Row],[_Pred1Text]]&amp;"S"),FIND("+",Tasks[[#This Row],[_Pred1Text]]&amp;"+"),FIND("-",Tasks[[#This Row],[_Pred1Text]]&amp;"-"))-1)),""))</f>
        <v/>
      </c>
      <c r="CW1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3" t="str">
        <f aca="false">IF(Tasks[[#This Row],[_Pred1Text]]="","",TRIM(MID(SUBSTITUTE(SUBSTITUTE(SUBSTITUTE(UPPER(Tasks[[#This Row],[_Predecessors]]),";",",")," ",""),",",REPT(" ",99)),100,99)))</f>
        <v/>
      </c>
      <c r="CZ104" s="43" t="str">
        <f aca="false">IF(Tasks[[#This Row],[_Pred2Text]]="","",IFERROR(VALUE(LEFT(Tasks[[#This Row],[_Pred2Text]],MIN(FIND("F",Tasks[[#This Row],[_Pred2Text]]&amp;"F"),FIND("S",Tasks[[#This Row],[_Pred2Text]]&amp;"S"),FIND("+",Tasks[[#This Row],[_Pred2Text]]&amp;"+"),FIND("-",Tasks[[#This Row],[_Pred2Text]]&amp;"-"))-1)),""))</f>
        <v/>
      </c>
      <c r="DA1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3" t="str">
        <f aca="false">IF(Tasks[[#This Row],[_Pred2Text]]="","",TRIM(MID(SUBSTITUTE(SUBSTITUTE(SUBSTITUTE(UPPER(Tasks[[#This Row],[_Predecessors]]),";",",")," ",""),",",REPT(" ",99)),199,99)))</f>
        <v/>
      </c>
      <c r="DD104" s="43" t="str">
        <f aca="false">IF(Tasks[[#This Row],[_Pred3Text]]="","",IFERROR(VALUE(LEFT(Tasks[[#This Row],[_Pred3Text]],MIN(FIND("F",Tasks[[#This Row],[_Pred3Text]]&amp;"F"),FIND("S",Tasks[[#This Row],[_Pred3Text]]&amp;"S"),FIND("+",Tasks[[#This Row],[_Pred3Text]]&amp;"+"),FIND("-",Tasks[[#This Row],[_Pred3Text]]&amp;"-"))-1)),""))</f>
        <v/>
      </c>
      <c r="DE1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3" t="str">
        <f aca="false">IF(Tasks[[#This Row],[_Pred3Text]]="","",TRIM(MID(SUBSTITUTE(SUBSTITUTE(SUBSTITUTE(UPPER(Tasks[[#This Row],[_Predecessors]]),";",",")," ",""),",",REPT(" ",99)),298,99)))</f>
        <v/>
      </c>
      <c r="DH104" s="43" t="str">
        <f aca="false">IF(Tasks[[#This Row],[_Pred4Text]]="","",IFERROR(VALUE(LEFT(Tasks[[#This Row],[_Pred4Text]],MIN(FIND("F",Tasks[[#This Row],[_Pred4Text]]&amp;"F"),FIND("S",Tasks[[#This Row],[_Pred4Text]]&amp;"S"),FIND("+",Tasks[[#This Row],[_Pred4Text]]&amp;"+"),FIND("-",Tasks[[#This Row],[_Pred4Text]]&amp;"-"))-1)),""))</f>
        <v/>
      </c>
      <c r="DI1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3" t="str">
        <f aca="false">IF(OR(Tasks[[#This Row],[Task Name]]="",Tasks[[#This Row],[_Resources]]=""),"",TRIM(MID(SUBSTITUTE(Tasks[[#This Row],[_Resources]],",",REPT(" ",99)),1,99)))</f>
        <v/>
      </c>
      <c r="DL104" s="43" t="str">
        <f aca="false">IF(Tasks[[#This Row],[_Res1Text]]="","",TRIM(MID(SUBSTITUTE(Tasks[[#This Row],[_Resources]],",",REPT(" ",99)),100,99)))</f>
        <v/>
      </c>
      <c r="DM104" s="43" t="str">
        <f aca="false">IF(Tasks[[#This Row],[_Res2Text]]="","",TRIM(MID(SUBSTITUTE(Tasks[[#This Row],[_Resources]],",",REPT(" ",99)),199,99)))</f>
        <v/>
      </c>
      <c r="DN104" s="43" t="str">
        <f aca="false">IF(Tasks[[#This Row],[_Res3Text]]="","",TRIM(MID(SUBSTITUTE(Tasks[[#This Row],[_Resources]],",",REPT(" ",99)),298,99)))</f>
        <v/>
      </c>
      <c r="DO104" s="43" t="n">
        <f aca="false">IF(Tasks[[#This Row],[_Res1Text]]="",0,IFERROR(MATCH(TRIM(LEFT(Tasks[[#This Row],[_Res1Text]],FIND("[",Tasks[[#This Row],[_Res1Text]]&amp;"[")-1)),res_Name,0),IFERROR(MATCH(TRIM(LEFT(Tasks[[#This Row],[_Res1Text]],FIND("[",Tasks[[#This Row],[_Res1Text]]&amp;"[")-1)),res_Initials,0),0)))</f>
        <v>0</v>
      </c>
      <c r="DP104" s="43" t="n">
        <f aca="false">IF(Tasks[[#This Row],[_Res2Text]]="",0,IFERROR(MATCH(TRIM(LEFT(Tasks[[#This Row],[_Res2Text]],FIND("[",Tasks[[#This Row],[_Res2Text]]&amp;"[")-1)),res_Name,0),IFERROR(MATCH(TRIM(LEFT(Tasks[[#This Row],[_Res2Text]],FIND("[",Tasks[[#This Row],[_Res2Text]]&amp;"[")-1)),res_Initials,0),0)))</f>
        <v>0</v>
      </c>
      <c r="DQ104" s="43" t="n">
        <f aca="false">IF(Tasks[[#This Row],[_Res3Text]]="",0,IFERROR(MATCH(TRIM(LEFT(Tasks[[#This Row],[_Res3Text]],FIND("[",Tasks[[#This Row],[_Res3Text]]&amp;"[")-1)),res_Name,0),IFERROR(MATCH(TRIM(LEFT(Tasks[[#This Row],[_Res3Text]],FIND("[",Tasks[[#This Row],[_Res3Text]]&amp;"[")-1)),res_Initials,0),0)))</f>
        <v>0</v>
      </c>
      <c r="DR104" s="43" t="n">
        <f aca="false">IF(Tasks[[#This Row],[_Res4Text]]="",0,IFERROR(MATCH(TRIM(LEFT(Tasks[[#This Row],[_Res4Text]],FIND("[",Tasks[[#This Row],[_Res4Text]]&amp;"[")-1)),res_Name,0),IFERROR(MATCH(TRIM(LEFT(Tasks[[#This Row],[_Res4Text]],FIND("[",Tasks[[#This Row],[_Res4Text]]&amp;"[")-1)),res_Initials,0),0)))</f>
        <v>0</v>
      </c>
      <c r="DS104" s="43" t="str">
        <f aca="false">IF(Tasks[[#This Row],[_Res1Text]]="","",IF(Tasks[[#This Row],[_Res1Row]]&gt;0,INDEX(res_Name,Tasks[[#This Row],[_Res1Row]]),TRIM(LEFT(Tasks[[#This Row],[_Res1Text]],FIND("[",Tasks[[#This Row],[_Res1Text]]&amp;"[")-1))))</f>
        <v/>
      </c>
      <c r="DT1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3" t="n">
        <f aca="false">IF(NOT(Tasks[[#This Row],[_IsLeaf]]=1),0,(Tasks[[#This Row],[_Resource1]]&lt;&gt;"")+(Tasks[[#This Row],[_Res2]]&lt;&gt;"")+(Tasks[[#This Row],[_Res3]]&lt;&gt;"")+(Tasks[[#This Row],[_Res4]]&lt;&gt;""))</f>
        <v>0</v>
      </c>
      <c r="DV104" s="43" t="str">
        <f aca="false">IF(Tasks[[#This Row],[_Res2Text]]="","",IF(Tasks[[#This Row],[_Res2Row]]&gt;0,INDEX(res_Name,Tasks[[#This Row],[_Res2Row]]),TRIM(LEFT(Tasks[[#This Row],[_Res2Text]],FIND("[",Tasks[[#This Row],[_Res2Text]]&amp;"[")-1))))</f>
        <v/>
      </c>
      <c r="DW1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3" t="n">
        <f aca="false">IF(OR(NOT(Tasks[[#This Row],[_IsLeaf]]=1),Tasks[[#This Row],[_Res2Row]]=0),0,N(Tasks[[#This Row],[_Days]])*HoursPerDay*IF(Tasks[[#This Row],[_Res2Units]]="",DefaultUnits,Tasks[[#This Row],[_Res2Units]]))</f>
        <v>0</v>
      </c>
      <c r="DY104" s="43" t="n">
        <f aca="false">IF(AND(AND(Tasks[[#This Row],[_IsLeaf]]=1,Tasks[[#This Row],[_LeafTotalWork]]&gt;0),Tasks[[#This Row],[_Res2Work]]&gt;0),Tasks[[#This Row],[_Res2Work]]/(Tasks[[#This Row],[_FinishWorkday]]-Tasks[[#This Row],[_StartWorkday]]+1),0)</f>
        <v>0</v>
      </c>
      <c r="DZ104" s="43" t="n">
        <f aca="false">Tasks[[#This Row],[_Res2WorkPerWD]]*MAX(0,Tasks[[#This Row],[_StartWorkday]]-1)</f>
        <v>0</v>
      </c>
      <c r="EA104" s="43" t="n">
        <f aca="false">Tasks[[#This Row],[_Res2Work]]*Tasks[[#This Row],[_LeafProgress]]</f>
        <v>0</v>
      </c>
      <c r="EB104" s="43" t="str">
        <f aca="false">IF(Tasks[[#This Row],[_Res3Text]]="","",IF(Tasks[[#This Row],[_Res3Row]]&gt;0,INDEX(res_Name,Tasks[[#This Row],[_Res3Row]]),TRIM(LEFT(Tasks[[#This Row],[_Res3Text]],FIND("[",Tasks[[#This Row],[_Res3Text]]&amp;"[")-1))))</f>
        <v/>
      </c>
      <c r="EC1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3" t="n">
        <f aca="false">IF(OR(NOT(Tasks[[#This Row],[_IsLeaf]]=1),Tasks[[#This Row],[_Res3Row]]=0),0,N(Tasks[[#This Row],[_Days]])*HoursPerDay*IF(Tasks[[#This Row],[_Res3Units]]="",DefaultUnits,Tasks[[#This Row],[_Res3Units]]))</f>
        <v>0</v>
      </c>
      <c r="EE104" s="43" t="n">
        <f aca="false">IF(AND(AND(Tasks[[#This Row],[_IsLeaf]]=1,Tasks[[#This Row],[_LeafTotalWork]]&gt;0),Tasks[[#This Row],[_Res3Work]]&gt;0),Tasks[[#This Row],[_Res3Work]]/(Tasks[[#This Row],[_FinishWorkday]]-Tasks[[#This Row],[_StartWorkday]]+1),0)</f>
        <v>0</v>
      </c>
      <c r="EF104" s="43" t="n">
        <f aca="false">Tasks[[#This Row],[_Res3WorkPerWD]]*MAX(0,Tasks[[#This Row],[_StartWorkday]]-1)</f>
        <v>0</v>
      </c>
      <c r="EG104" s="43" t="n">
        <f aca="false">Tasks[[#This Row],[_Res3Work]]*Tasks[[#This Row],[_LeafProgress]]</f>
        <v>0</v>
      </c>
      <c r="EH104" s="43" t="str">
        <f aca="false">IF(Tasks[[#This Row],[_Res4Text]]="","",IF(Tasks[[#This Row],[_Res4Row]]&gt;0,INDEX(res_Name,Tasks[[#This Row],[_Res4Row]]),TRIM(LEFT(Tasks[[#This Row],[_Res4Text]],FIND("[",Tasks[[#This Row],[_Res4Text]]&amp;"[")-1))))</f>
        <v/>
      </c>
      <c r="EI1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3" t="n">
        <f aca="false">IF(OR(NOT(Tasks[[#This Row],[_IsLeaf]]=1),Tasks[[#This Row],[_Res4Row]]=0),0,N(Tasks[[#This Row],[_Days]])*HoursPerDay*IF(Tasks[[#This Row],[_Res4Units]]="",DefaultUnits,Tasks[[#This Row],[_Res4Units]]))</f>
        <v>0</v>
      </c>
      <c r="EK104" s="43" t="n">
        <f aca="false">IF(AND(AND(Tasks[[#This Row],[_IsLeaf]]=1,Tasks[[#This Row],[_LeafTotalWork]]&gt;0),Tasks[[#This Row],[_Res4Work]]&gt;0),Tasks[[#This Row],[_Res4Work]]/(Tasks[[#This Row],[_FinishWorkday]]-Tasks[[#This Row],[_StartWorkday]]+1),0)</f>
        <v>0</v>
      </c>
      <c r="EL104" s="43" t="n">
        <f aca="false">Tasks[[#This Row],[_Res4WorkPerWD]]*MAX(0,Tasks[[#This Row],[_StartWorkday]]-1)</f>
        <v>0</v>
      </c>
      <c r="EM104" s="43" t="n">
        <f aca="false">Tasks[[#This Row],[_Res4Work]]*Tasks[[#This Row],[_LeafProgress]]</f>
        <v>0</v>
      </c>
      <c r="EN104" s="43" t="n">
        <f aca="false">IF(ISNUMBER(Tasks[[#This Row],[% Complete]]),Tasks[[#This Row],[% Complete]],IF(Tasks[[#This Row],[Stage]]="",0,IFERROR(INDEX(stg_Pct,MATCH(Tasks[[#This Row],[Stage]],stg_Name,0)),0)))</f>
        <v>0</v>
      </c>
      <c r="EO104" s="43" t="n">
        <f aca="false">IF(NOT(Tasks[[#This Row],[_IsLeaf]]=1),0,IF(N(Tasks[[#This Row],[Actual Finish]])&gt;0,1,MIN(1,Tasks[[#This Row],[_Pct]])))</f>
        <v>0</v>
      </c>
      <c r="EP104" s="43" t="n">
        <f aca="false">IF(OR(NOT(Tasks[[#This Row],[_IsLeaf]]=1),Tasks[[#This Row],[_Res1Row]]=0),0,N(Tasks[[#This Row],[_Days]])*HoursPerDay*IF(Tasks[[#This Row],[_Units1]]="",DefaultUnits,Tasks[[#This Row],[_Units1]]))</f>
        <v>0</v>
      </c>
      <c r="EQ104" s="43" t="n">
        <f aca="false">Tasks[[#This Row],[_LeafWork]]+Tasks[[#This Row],[_Res2Work]]+Tasks[[#This Row],[_Res3Work]]+Tasks[[#This Row],[_Res4Work]]</f>
        <v>0</v>
      </c>
      <c r="ER1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3" t="n">
        <f aca="false">IF(NOT(Tasks[[#This Row],[_IsLeaf]]=1),0,MAX(_xlfn.MAXIFS(Tasks[_Row],Tasks[_Pred1UID],Tasks[[#This Row],[UID]]),_xlfn.MAXIFS(Tasks[_Row],Tasks[_Pred2UID],Tasks[[#This Row],[UID]]),_xlfn.MAXIFS(Tasks[_Row],Tasks[_Pred3UID],Tasks[[#This Row],[UID]]),_xlfn.MAXIFS(Tasks[_Row],Tasks[_Pred4UID],Tasks[[#This Row],[UID]])))</f>
        <v>0</v>
      </c>
      <c r="FA1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91" t="str">
        <f aca="false">IF(NOT(Tasks[[#This Row],[_IsLeaf]]=1),"",IF(N(Tasks[[#This Row],[_Days]])&lt;=0,Tasks[[#This Row],[_LeafLateFinish]],WORKDAY.INTL(Tasks[[#This Row],[_LeafLateFinish]],-(Tasks[[#This Row],[_Days]]-1),WorkWeek,Holidays)))</f>
        <v/>
      </c>
      <c r="FD1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4" s="90" t="b">
        <f aca="false">AND(Tasks[[#This Row],[_IsLeaf]]=1,Tasks[[#This Row],[_LeafProgress]]&lt;1,N(Tasks[[#This Row],[_LeafTotalSlack]])&lt;=CriticalSlackDays)</f>
        <v>0</v>
      </c>
      <c r="FF104" s="43" t="n">
        <f aca="false">IF(AND(Tasks[[#This Row],[_IsLeaf]]=1,Tasks[[#This Row],[_ConstraintCode]]=1,Tasks[[#This Row],[Mode]]&lt;&gt;"Manual",N(Tasks[[#This Row],[Actual Start]])=0),MAX(0,N(Tasks[[#This Row],[Free Slack]])),0)</f>
        <v>0</v>
      </c>
      <c r="FG104" s="91" t="str">
        <f aca="false">IF(NOT(Tasks[[#This Row],[_IsLeaf]]=1),"",IF(Tasks[[#This Row],[_AlapShift]]=0,Tasks[[#This Row],[_LeafCalcStart]],WORKDAY.INTL(Tasks[[#This Row],[_LeafCalcStart]],Tasks[[#This Row],[_AlapShift]],WorkWeek,Holidays)))</f>
        <v/>
      </c>
      <c r="FH104" s="91" t="str">
        <f aca="false">IF(NOT(Tasks[[#This Row],[_IsLeaf]]=1),"",IF(Tasks[[#This Row],[_AlapShift]]=0,Tasks[[#This Row],[_LeafCalcFinish]],WORKDAY.INTL(Tasks[[#This Row],[_LeafCalcFinish]],Tasks[[#This Row],[_AlapShift]],WorkWeek,Holidays)))</f>
        <v/>
      </c>
      <c r="FI104" s="91" t="str">
        <f aca="false">IF(NOT(Tasks[[#This Row],[_IsLeaf]]=1),"",IF(Tasks[[#This Row],[_AlapShift]]=0,Tasks[[#This Row],[_LeafFcstStart]],WORKDAY.INTL(Tasks[[#This Row],[_LeafFcstStart]],Tasks[[#This Row],[_AlapShift]],WorkWeek,Holidays)))</f>
        <v/>
      </c>
      <c r="FJ104" s="91" t="str">
        <f aca="false">IF(NOT(Tasks[[#This Row],[_IsLeaf]]=1),"",IF(Tasks[[#This Row],[_AlapShift]]=0,Tasks[[#This Row],[_LeafFcstFinish]],WORKDAY.INTL(Tasks[[#This Row],[_LeafFcstFinish]],Tasks[[#This Row],[_AlapShift]],WorkWeek,Holidays)))</f>
        <v/>
      </c>
      <c r="FK104" s="91" t="str">
        <f aca="false">IF(Tasks[[#This Row],[Task Name]]="","",IF(Tasks[[#This Row],[_IsSummary]],MIN(INDEX(Tasks[_ShownCalcStart],Tasks[[#This Row],[_Row]]+1):INDEX(Tasks[_ShownCalcStart],Tasks[[#This Row],[_Row]]+Tasks[[#This Row],[_Descendants]])),Tasks[[#This Row],[_ShownCalcStart]]))</f>
        <v/>
      </c>
      <c r="FL104" s="91" t="str">
        <f aca="false">IF(Tasks[[#This Row],[Task Name]]="","",IF(Tasks[[#This Row],[_IsSummary]],MAX(INDEX(Tasks[_ShownCalcFinish],Tasks[[#This Row],[_Row]]+1):INDEX(Tasks[_ShownCalcFinish],Tasks[[#This Row],[_Row]]+Tasks[[#This Row],[_Descendants]])),Tasks[[#This Row],[_ShownCalcFinish]]))</f>
        <v/>
      </c>
      <c r="FM1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4" s="43" t="n">
        <f aca="false">IF(AND(Tasks[[#This Row],[_IsLeaf]]=1,Tasks[[#This Row],[_LeafTotalWork]]&gt;0),NETWORKDAYS.INTL(ProjectStart,Tasks[[#This Row],[_ShownFcstStart]],WorkWeek,Holidays),0)</f>
        <v>0</v>
      </c>
      <c r="FZ104" s="43" t="n">
        <f aca="false">IF(AND(Tasks[[#This Row],[_IsLeaf]]=1,Tasks[[#This Row],[_LeafTotalWork]]&gt;0),MAX(Tasks[[#This Row],[_StartWorkday]],NETWORKDAYS.INTL(ProjectStart,Tasks[[#This Row],[_ShownFcstFinish]],WorkWeek,Holidays)),0)</f>
        <v>0</v>
      </c>
      <c r="GA104" s="43" t="n">
        <f aca="false">IF(AND(Tasks[[#This Row],[_IsLeaf]]=1,Tasks[[#This Row],[_LeafTotalWork]]&gt;0),Tasks[[#This Row],[_LeafWork]]/(Tasks[[#This Row],[_FinishWorkday]]-Tasks[[#This Row],[_StartWorkday]]+1),0)</f>
        <v>0</v>
      </c>
      <c r="GB104" s="43" t="n">
        <f aca="false">Tasks[[#This Row],[_WorkPerWorkday]]*(Tasks[[#This Row],[_StartWorkday]]-1)</f>
        <v>-0</v>
      </c>
      <c r="GC104" s="43" t="n">
        <f aca="false">IF(Tasks[[#This Row],[_IsLeaf]]=1,MAX(N(Tasks[[#This Row],[_Days]]),0.1),0)</f>
        <v>0</v>
      </c>
      <c r="GD104" s="43" t="n">
        <f aca="false">Tasks[[#This Row],[_WeightDur]]*Tasks[[#This Row],[_LeafProgress]]</f>
        <v>0</v>
      </c>
      <c r="GE104" s="43" t="n">
        <f aca="false">Tasks[[#This Row],[_WeightDur]]*Tasks[[#This Row],[_PlannedPct]]</f>
        <v>0</v>
      </c>
      <c r="GF1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3" t="str">
        <f aca="false">IF(AND(Tasks[[#This Row],[_IsLeaf]]=1,N(Tasks[[#This Row],[_Days]])=0,Tasks[[#This Row],[_LeafProgress]]&lt;1),Tasks[[#This Row],[_ShownFcstFinish]]+Tasks[[#This Row],[_Row]]/100000,"")</f>
        <v/>
      </c>
      <c r="GH1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4" s="43" t="str">
        <f aca="false">IF(Tasks[[#This Row],[Task Name]]="","",LEFT(Tasks[[#This Row],[WBS]],FIND(".",Tasks[[#This Row],[WBS]]&amp;".")-1))</f>
        <v/>
      </c>
      <c r="GJ104" s="43" t="str">
        <f aca="false">IF(AND(Tasks[[#This Row],[Task Name]]&lt;&gt;"",Tasks[[#This Row],[_Level]]=1),Tasks[[#This Row],[_Row]],"")</f>
        <v/>
      </c>
      <c r="GK104" s="43" t="str">
        <f aca="false">IF(AND(Tasks[[#This Row],[_IsLeaf]]=1,N(Tasks[[#This Row],[_Days]])=0),Tasks[[#This Row],[Planned Finish]]+Tasks[[#This Row],[_Row]]/100000,"")</f>
        <v/>
      </c>
      <c r="GL104" s="43" t="str">
        <f aca="false">IF(AND(Tasks[[#This Row],[_IsLeaf]]=1,Tasks[[#This Row],[_LeafProgress]]&lt;1,OR(N(Tasks[[#This Row],[Finish Var]])&gt;0,Tasks[[#This Row],[Status]]="Late Start")),MAX(0,Tasks[[#This Row],[Finish Var]])+1-Tasks[[#This Row],[_Row]]/1000000,"")</f>
        <v/>
      </c>
      <c r="GM104" s="43" t="str">
        <f aca="false">IF(AND(Tasks[[#This Row],[_IsLeaf]]=1,N(Tasks[[#This Row],[Actual Start]])=0,Tasks[[#This Row],[_ShownFcstStart]]&gt;=StatusDate,Tasks[[#This Row],[_ShownFcstStart]]&lt;=LookaheadEnd),Tasks[[#This Row],[_ShownFcstStart]]+Tasks[[#This Row],[_Row]]/100000,"")</f>
        <v/>
      </c>
      <c r="GN104" s="43" t="str">
        <f aca="false">IF(AND(Tasks[[#This Row],[_IsLeaf]]=1,Tasks[[#This Row],[_LeafProgress]]&lt;1,Tasks[[#This Row],[_ShownFcstFinish]]&gt;=StatusDate,Tasks[[#This Row],[_ShownFcstFinish]]&lt;=LookaheadEnd),Tasks[[#This Row],[_ShownFcstFinish]]+Tasks[[#This Row],[_Row]]/100000,"")</f>
        <v/>
      </c>
      <c r="GO104" s="43" t="str">
        <f aca="false">IF(Tasks[[#This Row],[_LeafCritical]],Tasks[[#This Row],[_ShownFcstStart]]+Tasks[[#This Row],[_Row]]/100000,"")</f>
        <v/>
      </c>
      <c r="GP104" s="43" t="n">
        <f aca="false">Tasks[[#This Row],[_LeafWork]]*Tasks[[#This Row],[_LeafProgress]]</f>
        <v>0</v>
      </c>
      <c r="GQ104" s="91" t="str">
        <f aca="false">IF(AND(Tasks[[#This Row],[_IsLeaf]]=1,Tasks[[#This Row],[_LeafProgress]]&gt;=1),IF(N(Tasks[[#This Row],[Actual Finish]])&gt;0,Tasks[[#This Row],[Actual Finish]],Tasks[[#This Row],[_ShownFcstFinish]]),"")</f>
        <v/>
      </c>
      <c r="GR104" s="43" t="n">
        <f aca="false">IF(Tasks[[#This Row],[_IsLeaf]]=1,N(Tasks[[#This Row],[Story Points]]),0)</f>
        <v>0</v>
      </c>
      <c r="GS104" s="43" t="str">
        <f aca="false">""</f>
        <v/>
      </c>
      <c r="GT104" s="90" t="b">
        <f aca="false">IF(Tasks[[#This Row],[Task Name]]="",FALSE(),AND(Tasks[[#This Row],[_IsLeaf]]=1,N(Tasks[[#This Row],[_Days]])=0))</f>
        <v>0</v>
      </c>
      <c r="GU104" s="91" t="n">
        <f aca="false">IF(Tasks[[#This Row],[Task Name]]="",0,IF(AND(Tasks[[#This Row],[_IsLeaf]]=1,NOT(Tasks[[#This Row],[_IsMilestone]]),N(Tasks[[#This Row],[Progress]])&gt;0),Tasks[[#This Row],[Start]],0))</f>
        <v>0</v>
      </c>
      <c r="GV104" s="91" t="n">
        <f aca="false">IF(Tasks[[#This Row],[_DoneFrom]]=0,0,IF(Tasks[[#This Row],[Progress]]&gt;=1,Tasks[[#This Row],[Finish]],MAX(Tasks[[#This Row],[_DoneFrom]],Tasks[[#This Row],[Start]]+ROUND((Tasks[[#This Row],[Finish]]-Tasks[[#This Row],[Start]]+1)*Tasks[[#This Row],[Progress]],0)-1)))</f>
        <v>0</v>
      </c>
      <c r="GW104" s="91" t="n">
        <f aca="false">IF(Tasks[[#This Row],[Task Name]]="",0,IF(OR(NOT(Tasks[[#This Row],[_IsLeaf]]=1),Tasks[[#This Row],[_IsMilestone]],N(Tasks[[#This Row],[Progress]])&gt;=1),0,IF(Tasks[[#This Row],[_DoneTo]]&gt;0,Tasks[[#This Row],[_DoneTo]]+1,Tasks[[#This Row],[Start]])))</f>
        <v>0</v>
      </c>
      <c r="GX104" s="91" t="n">
        <f aca="false">IF(Tasks[[#This Row],[_RemFrom]]=0,0,Tasks[[#This Row],[Finish]])</f>
        <v>0</v>
      </c>
      <c r="GY104" s="90" t="b">
        <f aca="false">IF(Tasks[[#This Row],[Task Name]]="",FALSE(),OR(NOT(BaselineSet),N(Tasks[[#This Row],[Baseline Start]])&gt;0))</f>
        <v>0</v>
      </c>
      <c r="GZ10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92" t="str">
        <f aca="false">IF(Tasks[[#This Row],[_IsLeaf]]=1,Tasks[[#This Row],[_Row]],"")</f>
        <v/>
      </c>
      <c r="HD104" s="92" t="str">
        <f aca="false">IFERROR(INDEX(Tasks[UID],SMALL(Tasks[_PickKey],Tasks[[#This Row],[_Row]]))&amp;" "&amp;INDEX(Tasks[Task Name],SMALL(Tasks[_PickKey],Tasks[[#This Row],[_Row]])),"")</f>
        <v/>
      </c>
      <c r="HE104" s="43" t="str">
        <f aca="false">IF(Tasks[[#This Row],[Task Name]]="","",IF(Tasks[[#This Row],[_IsSummary]],NETWORKDAYS.INTL(Tasks[[#This Row],[Start]],Tasks[[#This Row],[Finish]],WorkWeek,Holidays),N(Tasks[[#This Row],[_Days]])))</f>
        <v/>
      </c>
      <c r="HF104" s="43" t="n">
        <f aca="false">IF(Tasks[[#This Row],[Expected]]="",0,((Tasks[[#This Row],[Pessimistic]]-Tasks[[#This Row],[Optimistic]])/6)^2)</f>
        <v>0</v>
      </c>
      <c r="HG104" s="43" t="n">
        <f aca="false">IF(Tasks[[#This Row],[Expected]]="",0,Tasks[[#This Row],[Expected]]-N(Tasks[[#This Row],[_Days]]))</f>
        <v>0</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4"/>
      <c r="U105" s="23"/>
      <c r="V105" s="84"/>
      <c r="W105" s="23"/>
      <c r="X105" s="84"/>
      <c r="Y105" s="23"/>
      <c r="Z105" s="84"/>
      <c r="AA105" s="23"/>
      <c r="AB105" s="23"/>
      <c r="AC105" s="7"/>
      <c r="AD105" s="7"/>
      <c r="AE105" s="63" t="str">
        <f aca="false">IF(Tasks[[#This Row],[Task Name]]="","",IF(Tasks[[#This Row],[_IsSummary]],MIN(INDEX(Tasks[_ShownFcstStart],Tasks[[#This Row],[_Row]]+1):INDEX(Tasks[_ShownFcstStart],Tasks[[#This Row],[_Row]]+Tasks[[#This Row],[_Descendants]])),Tasks[[#This Row],[_ShownFcstStart]]))</f>
        <v/>
      </c>
      <c r="AF105" s="63"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5" s="7"/>
      <c r="AK105" s="22"/>
      <c r="AL105" s="23"/>
      <c r="AM105" s="7"/>
      <c r="AN105" s="47"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3" t="str">
        <f aca="false">IF(Tasks[[#This Row],[Task Name]]="","",IF(N(Tasks[[#This Row],[Baseline Start]])&gt;0,Tasks[[#This Row],[Baseline Start]],Tasks[[#This Row],[_CalcStart]]))</f>
        <v/>
      </c>
      <c r="AR105" s="63" t="str">
        <f aca="false">IF(Tasks[[#This Row],[Task Name]]="","",IF(N(Tasks[[#This Row],[Baseline Finish]])&gt;0,Tasks[[#This Row],[Baseline Finish]],Tasks[[#This Row],[_CalcFinish]]))</f>
        <v/>
      </c>
      <c r="AS105" s="47" t="str">
        <f aca="false">IF(Tasks[[#This Row],[Task Name]]="","",IF(Tasks[[#This Row],[Start]]&gt;=Tasks[[#This Row],[Planned Start]],NETWORKDAYS.INTL(Tasks[[#This Row],[Planned Start]],Tasks[[#This Row],[Start]],WorkWeek,Holidays)-1,1-NETWORKDAYS.INTL(Tasks[[#This Row],[Start]],Tasks[[#This Row],[Planned Start]],WorkWeek,Holidays)))</f>
        <v/>
      </c>
      <c r="AT105" s="63" t="str">
        <f aca="false">IF(Tasks[[#This Row],[Task Name]]="","",IF(Tasks[[#This Row],[_IsSummary]],MIN(INDEX(Tasks[_LeafLateStart],Tasks[[#This Row],[_Row]]+1):INDEX(Tasks[_LeafLateStart],Tasks[[#This Row],[_Row]]+Tasks[[#This Row],[_Descendants]])),Tasks[[#This Row],[_LeafLateStart]]))</f>
        <v/>
      </c>
      <c r="AU105" s="63" t="str">
        <f aca="false">IF(Tasks[[#This Row],[Task Name]]="","",IF(Tasks[[#This Row],[_IsSummary]],MAX(INDEX(Tasks[_LeafLateFinish],Tasks[[#This Row],[_Row]]+1):INDEX(Tasks[_LeafLateFinish],Tasks[[#This Row],[_Row]]+Tasks[[#This Row],[_Descendants]])),Tasks[[#This Row],[_LeafLateFinish]]))</f>
        <v/>
      </c>
      <c r="AV105" s="47"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5"/>
      <c r="BA1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6"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7"/>
      <c r="BJ105" s="22"/>
      <c r="BK105" s="47" t="str">
        <f aca="false">IF(OR(Tasks[[#This Row],[Task Name]]="",Tasks[[#This Row],[Baseline Duration]]=""),"",Tasks[[#This Row],[_SpanDays]]-N(Tasks[[#This Row],[Baseline Duration]]))</f>
        <v/>
      </c>
      <c r="BL105" s="86" t="str">
        <f aca="false">IF(OR(Tasks[[#This Row],[Task Name]]="",Tasks[[#This Row],[Baseline Work]]=""),"",Tasks[[#This Row],[Work]]-N(Tasks[[#This Row],[Baseline Work]]))</f>
        <v/>
      </c>
      <c r="BM105" s="63" t="str">
        <f aca="false">IF(Tasks[[#This Row],[Task Name]]="","",IF(OR(TakeBaseline="Yes",N(Tasks[[#This Row],[Baseline Start]])=0),Tasks[[#This Row],[Start]],Tasks[[#This Row],[Baseline Start]]))</f>
        <v/>
      </c>
      <c r="BN105" s="63" t="str">
        <f aca="false">IF(Tasks[[#This Row],[Task Name]]="","",IF(OR(TakeBaseline="Yes",N(Tasks[[#This Row],[Baseline Finish]])=0),Tasks[[#This Row],[Finish]],Tasks[[#This Row],[Baseline Finish]]))</f>
        <v/>
      </c>
      <c r="BO105" s="21" t="str">
        <f aca="false">IF(Tasks[[#This Row],[Task Name]]="","",IF(OR(TakeBaseline="Yes",N(Tasks[[#This Row],[Baseline Duration]])=0),Tasks[[#This Row],[_SpanDays]],Tasks[[#This Row],[Baseline Duration]]))</f>
        <v/>
      </c>
      <c r="BP105" s="86" t="str">
        <f aca="false">IF(Tasks[[#This Row],[Task Name]]="","",IF(OR(TakeBaseline="Yes",N(Tasks[[#This Row],[Baseline Work]])=0),Tasks[[#This Row],[Work]],Tasks[[#This Row],[Baseline Work]]))</f>
        <v/>
      </c>
      <c r="BQ105" s="7"/>
      <c r="BR105" s="7"/>
      <c r="BS105" s="22"/>
      <c r="BT105" s="88"/>
      <c r="BU105" s="23"/>
      <c r="BV105" s="23"/>
      <c r="BW105" s="23"/>
      <c r="BX105" s="89" t="str">
        <f aca="false">IF(AND(Tasks[[#This Row],[_IsLeaf]]=1,ISNUMBER(Tasks[[#This Row],[Optimistic]]),ISNUMBER(Tasks[[#This Row],[Pessimistic]])),ROUND((Tasks[[#This Row],[Optimistic]]+4*N(Tasks[[#This Row],[_Days]])+Tasks[[#This Row],[Pessimistic]])/6,1),"")</f>
        <v/>
      </c>
      <c r="BY105" s="87"/>
      <c r="BZ105" s="87"/>
      <c r="CA105" s="22"/>
      <c r="CB105" s="43" t="str">
        <f aca="false">IF(Tasks[[#This Row],[Task Name]]="","",MAX(1,N(Tasks[[#This Row],[Level]])))</f>
        <v/>
      </c>
      <c r="CC105" s="43" t="n">
        <f aca="false">ROW()-ROW(Tasks[[#Headers],[ID]])</f>
        <v>100</v>
      </c>
      <c r="CD105" s="43" t="n">
        <f aca="false">IF(OR(Tasks[[#This Row],[Task Name]]="",Tasks[[#This Row],[_Level]]&lt;=1),0,IFERROR(LOOKUP(2,1/(Tasks[[#Headers],[_Level]]:Tasks[[#This Row],[_Level]]=Tasks[[#This Row],[_Level]]-1),ROW(Tasks[[#Headers],[_Level]]:Tasks[[#This Row],[_Level]])),0))</f>
        <v>0</v>
      </c>
      <c r="CE105" s="43" t="n">
        <f aca="false">IFERROR(N(INDEX(Tasks[_Level],Tasks[[#This Row],[_Row]]+1)),0)</f>
        <v>0</v>
      </c>
      <c r="CF105" s="90" t="b">
        <f aca="false">AND(Tasks[[#This Row],[Task Name]]&lt;&gt;"",Tasks[[#This Row],[_NextLevel]]&gt;Tasks[[#This Row],[_Level]])</f>
        <v>0</v>
      </c>
      <c r="CG105" s="43" t="n">
        <f aca="false">IF(Tasks[[#This Row],[_IsSummary]],COUNTIF(Tasks[WBS],Tasks[[#This Row],[WBS]]&amp;".*"),0)</f>
        <v>0</v>
      </c>
      <c r="CH105" s="43" t="n">
        <f aca="false">IF(AND(Tasks[[#This Row],[Task Name]]&lt;&gt;"",NOT(Tasks[[#This Row],[_IsSummary]])),1,0)</f>
        <v>0</v>
      </c>
      <c r="CI105" s="43" t="n">
        <f aca="false">IF(N(Tasks[[#This Row],[_Pred1UID]])=0,0,IFERROR(MATCH(Tasks[[#This Row],[_Pred1UID]],Tasks[UID],0),-1))</f>
        <v>0</v>
      </c>
      <c r="CJ105" s="43" t="n">
        <f aca="false">IF(N(Tasks[[#This Row],[_Pred2UID]])=0,0,IFERROR(MATCH(Tasks[[#This Row],[_Pred2UID]],Tasks[UID],0),-1))</f>
        <v>0</v>
      </c>
      <c r="CK105" s="43" t="n">
        <f aca="false">IF(N(Tasks[[#This Row],[_Pred3UID]])=0,0,IFERROR(MATCH(Tasks[[#This Row],[_Pred3UID]],Tasks[UID],0),-1))</f>
        <v>0</v>
      </c>
      <c r="CL105" s="43" t="n">
        <f aca="false">IF(N(Tasks[[#This Row],[_Pred4UID]])=0,0,IFERROR(MATCH(Tasks[[#This Row],[_Pred4UID]],Tasks[UID],0),-1))</f>
        <v>0</v>
      </c>
      <c r="CM1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5" s="91" t="n">
        <f aca="false">IF(OR(Tasks[[#This Row],[_ConstraintCode]]=2,Tasks[[#This Row],[_ConstraintCode]]=3,Tasks[[#This Row],[_ConstraintCode]]=4,Tasks[[#This Row],[_ConstraintCode]]=6),Tasks[[#This Row],[_ConstraintStart]],0)</f>
        <v>0</v>
      </c>
      <c r="CP105" s="91" t="n">
        <f aca="false">IF(OR(Tasks[[#This Row],[_ConstraintCode]]=2,Tasks[[#This Row],[_ConstraintCode]]=3,Tasks[[#This Row],[_ConstraintCode]]=5,Tasks[[#This Row],[_ConstraintCode]]=7),Tasks[[#This Row],[_ConstraintStart]],2958465)</f>
        <v>2958465</v>
      </c>
      <c r="CQ1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91" t="str">
        <f aca="false">IF(NOT(Tasks[[#This Row],[_IsLeaf]]=1),"",IF(N(Tasks[[#This Row],[_Days]])&lt;=0,Tasks[[#This Row],[_LeafCalcStart]],WORKDAY.INTL(Tasks[[#This Row],[_LeafCalcStart]],Tasks[[#This Row],[_Days]]-1,WorkWeek,Holidays)))</f>
        <v/>
      </c>
      <c r="CS1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3" t="str">
        <f aca="false">IF(Tasks[[#This Row],[_Predecessors]]="","",TRIM(MID(SUBSTITUTE(SUBSTITUTE(SUBSTITUTE(UPPER(Tasks[[#This Row],[_Predecessors]]),";",",")," ",""),",",REPT(" ",99)),1,99)))</f>
        <v/>
      </c>
      <c r="CV105" s="43" t="str">
        <f aca="false">IF(Tasks[[#This Row],[_Pred1Text]]="","",IFERROR(VALUE(LEFT(Tasks[[#This Row],[_Pred1Text]],MIN(FIND("F",Tasks[[#This Row],[_Pred1Text]]&amp;"F"),FIND("S",Tasks[[#This Row],[_Pred1Text]]&amp;"S"),FIND("+",Tasks[[#This Row],[_Pred1Text]]&amp;"+"),FIND("-",Tasks[[#This Row],[_Pred1Text]]&amp;"-"))-1)),""))</f>
        <v/>
      </c>
      <c r="CW1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3" t="str">
        <f aca="false">IF(Tasks[[#This Row],[_Pred1Text]]="","",TRIM(MID(SUBSTITUTE(SUBSTITUTE(SUBSTITUTE(UPPER(Tasks[[#This Row],[_Predecessors]]),";",",")," ",""),",",REPT(" ",99)),100,99)))</f>
        <v/>
      </c>
      <c r="CZ105" s="43" t="str">
        <f aca="false">IF(Tasks[[#This Row],[_Pred2Text]]="","",IFERROR(VALUE(LEFT(Tasks[[#This Row],[_Pred2Text]],MIN(FIND("F",Tasks[[#This Row],[_Pred2Text]]&amp;"F"),FIND("S",Tasks[[#This Row],[_Pred2Text]]&amp;"S"),FIND("+",Tasks[[#This Row],[_Pred2Text]]&amp;"+"),FIND("-",Tasks[[#This Row],[_Pred2Text]]&amp;"-"))-1)),""))</f>
        <v/>
      </c>
      <c r="DA1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3" t="str">
        <f aca="false">IF(Tasks[[#This Row],[_Pred2Text]]="","",TRIM(MID(SUBSTITUTE(SUBSTITUTE(SUBSTITUTE(UPPER(Tasks[[#This Row],[_Predecessors]]),";",",")," ",""),",",REPT(" ",99)),199,99)))</f>
        <v/>
      </c>
      <c r="DD105" s="43" t="str">
        <f aca="false">IF(Tasks[[#This Row],[_Pred3Text]]="","",IFERROR(VALUE(LEFT(Tasks[[#This Row],[_Pred3Text]],MIN(FIND("F",Tasks[[#This Row],[_Pred3Text]]&amp;"F"),FIND("S",Tasks[[#This Row],[_Pred3Text]]&amp;"S"),FIND("+",Tasks[[#This Row],[_Pred3Text]]&amp;"+"),FIND("-",Tasks[[#This Row],[_Pred3Text]]&amp;"-"))-1)),""))</f>
        <v/>
      </c>
      <c r="DE1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3" t="str">
        <f aca="false">IF(Tasks[[#This Row],[_Pred3Text]]="","",TRIM(MID(SUBSTITUTE(SUBSTITUTE(SUBSTITUTE(UPPER(Tasks[[#This Row],[_Predecessors]]),";",",")," ",""),",",REPT(" ",99)),298,99)))</f>
        <v/>
      </c>
      <c r="DH105" s="43" t="str">
        <f aca="false">IF(Tasks[[#This Row],[_Pred4Text]]="","",IFERROR(VALUE(LEFT(Tasks[[#This Row],[_Pred4Text]],MIN(FIND("F",Tasks[[#This Row],[_Pred4Text]]&amp;"F"),FIND("S",Tasks[[#This Row],[_Pred4Text]]&amp;"S"),FIND("+",Tasks[[#This Row],[_Pred4Text]]&amp;"+"),FIND("-",Tasks[[#This Row],[_Pred4Text]]&amp;"-"))-1)),""))</f>
        <v/>
      </c>
      <c r="DI1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3" t="str">
        <f aca="false">IF(OR(Tasks[[#This Row],[Task Name]]="",Tasks[[#This Row],[_Resources]]=""),"",TRIM(MID(SUBSTITUTE(Tasks[[#This Row],[_Resources]],",",REPT(" ",99)),1,99)))</f>
        <v/>
      </c>
      <c r="DL105" s="43" t="str">
        <f aca="false">IF(Tasks[[#This Row],[_Res1Text]]="","",TRIM(MID(SUBSTITUTE(Tasks[[#This Row],[_Resources]],",",REPT(" ",99)),100,99)))</f>
        <v/>
      </c>
      <c r="DM105" s="43" t="str">
        <f aca="false">IF(Tasks[[#This Row],[_Res2Text]]="","",TRIM(MID(SUBSTITUTE(Tasks[[#This Row],[_Resources]],",",REPT(" ",99)),199,99)))</f>
        <v/>
      </c>
      <c r="DN105" s="43" t="str">
        <f aca="false">IF(Tasks[[#This Row],[_Res3Text]]="","",TRIM(MID(SUBSTITUTE(Tasks[[#This Row],[_Resources]],",",REPT(" ",99)),298,99)))</f>
        <v/>
      </c>
      <c r="DO105" s="43" t="n">
        <f aca="false">IF(Tasks[[#This Row],[_Res1Text]]="",0,IFERROR(MATCH(TRIM(LEFT(Tasks[[#This Row],[_Res1Text]],FIND("[",Tasks[[#This Row],[_Res1Text]]&amp;"[")-1)),res_Name,0),IFERROR(MATCH(TRIM(LEFT(Tasks[[#This Row],[_Res1Text]],FIND("[",Tasks[[#This Row],[_Res1Text]]&amp;"[")-1)),res_Initials,0),0)))</f>
        <v>0</v>
      </c>
      <c r="DP105" s="43" t="n">
        <f aca="false">IF(Tasks[[#This Row],[_Res2Text]]="",0,IFERROR(MATCH(TRIM(LEFT(Tasks[[#This Row],[_Res2Text]],FIND("[",Tasks[[#This Row],[_Res2Text]]&amp;"[")-1)),res_Name,0),IFERROR(MATCH(TRIM(LEFT(Tasks[[#This Row],[_Res2Text]],FIND("[",Tasks[[#This Row],[_Res2Text]]&amp;"[")-1)),res_Initials,0),0)))</f>
        <v>0</v>
      </c>
      <c r="DQ105" s="43" t="n">
        <f aca="false">IF(Tasks[[#This Row],[_Res3Text]]="",0,IFERROR(MATCH(TRIM(LEFT(Tasks[[#This Row],[_Res3Text]],FIND("[",Tasks[[#This Row],[_Res3Text]]&amp;"[")-1)),res_Name,0),IFERROR(MATCH(TRIM(LEFT(Tasks[[#This Row],[_Res3Text]],FIND("[",Tasks[[#This Row],[_Res3Text]]&amp;"[")-1)),res_Initials,0),0)))</f>
        <v>0</v>
      </c>
      <c r="DR105" s="43" t="n">
        <f aca="false">IF(Tasks[[#This Row],[_Res4Text]]="",0,IFERROR(MATCH(TRIM(LEFT(Tasks[[#This Row],[_Res4Text]],FIND("[",Tasks[[#This Row],[_Res4Text]]&amp;"[")-1)),res_Name,0),IFERROR(MATCH(TRIM(LEFT(Tasks[[#This Row],[_Res4Text]],FIND("[",Tasks[[#This Row],[_Res4Text]]&amp;"[")-1)),res_Initials,0),0)))</f>
        <v>0</v>
      </c>
      <c r="DS105" s="43" t="str">
        <f aca="false">IF(Tasks[[#This Row],[_Res1Text]]="","",IF(Tasks[[#This Row],[_Res1Row]]&gt;0,INDEX(res_Name,Tasks[[#This Row],[_Res1Row]]),TRIM(LEFT(Tasks[[#This Row],[_Res1Text]],FIND("[",Tasks[[#This Row],[_Res1Text]]&amp;"[")-1))))</f>
        <v/>
      </c>
      <c r="DT1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3" t="n">
        <f aca="false">IF(NOT(Tasks[[#This Row],[_IsLeaf]]=1),0,(Tasks[[#This Row],[_Resource1]]&lt;&gt;"")+(Tasks[[#This Row],[_Res2]]&lt;&gt;"")+(Tasks[[#This Row],[_Res3]]&lt;&gt;"")+(Tasks[[#This Row],[_Res4]]&lt;&gt;""))</f>
        <v>0</v>
      </c>
      <c r="DV105" s="43" t="str">
        <f aca="false">IF(Tasks[[#This Row],[_Res2Text]]="","",IF(Tasks[[#This Row],[_Res2Row]]&gt;0,INDEX(res_Name,Tasks[[#This Row],[_Res2Row]]),TRIM(LEFT(Tasks[[#This Row],[_Res2Text]],FIND("[",Tasks[[#This Row],[_Res2Text]]&amp;"[")-1))))</f>
        <v/>
      </c>
      <c r="DW1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3" t="n">
        <f aca="false">IF(OR(NOT(Tasks[[#This Row],[_IsLeaf]]=1),Tasks[[#This Row],[_Res2Row]]=0),0,N(Tasks[[#This Row],[_Days]])*HoursPerDay*IF(Tasks[[#This Row],[_Res2Units]]="",DefaultUnits,Tasks[[#This Row],[_Res2Units]]))</f>
        <v>0</v>
      </c>
      <c r="DY105" s="43" t="n">
        <f aca="false">IF(AND(AND(Tasks[[#This Row],[_IsLeaf]]=1,Tasks[[#This Row],[_LeafTotalWork]]&gt;0),Tasks[[#This Row],[_Res2Work]]&gt;0),Tasks[[#This Row],[_Res2Work]]/(Tasks[[#This Row],[_FinishWorkday]]-Tasks[[#This Row],[_StartWorkday]]+1),0)</f>
        <v>0</v>
      </c>
      <c r="DZ105" s="43" t="n">
        <f aca="false">Tasks[[#This Row],[_Res2WorkPerWD]]*MAX(0,Tasks[[#This Row],[_StartWorkday]]-1)</f>
        <v>0</v>
      </c>
      <c r="EA105" s="43" t="n">
        <f aca="false">Tasks[[#This Row],[_Res2Work]]*Tasks[[#This Row],[_LeafProgress]]</f>
        <v>0</v>
      </c>
      <c r="EB105" s="43" t="str">
        <f aca="false">IF(Tasks[[#This Row],[_Res3Text]]="","",IF(Tasks[[#This Row],[_Res3Row]]&gt;0,INDEX(res_Name,Tasks[[#This Row],[_Res3Row]]),TRIM(LEFT(Tasks[[#This Row],[_Res3Text]],FIND("[",Tasks[[#This Row],[_Res3Text]]&amp;"[")-1))))</f>
        <v/>
      </c>
      <c r="EC1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3" t="n">
        <f aca="false">IF(OR(NOT(Tasks[[#This Row],[_IsLeaf]]=1),Tasks[[#This Row],[_Res3Row]]=0),0,N(Tasks[[#This Row],[_Days]])*HoursPerDay*IF(Tasks[[#This Row],[_Res3Units]]="",DefaultUnits,Tasks[[#This Row],[_Res3Units]]))</f>
        <v>0</v>
      </c>
      <c r="EE105" s="43" t="n">
        <f aca="false">IF(AND(AND(Tasks[[#This Row],[_IsLeaf]]=1,Tasks[[#This Row],[_LeafTotalWork]]&gt;0),Tasks[[#This Row],[_Res3Work]]&gt;0),Tasks[[#This Row],[_Res3Work]]/(Tasks[[#This Row],[_FinishWorkday]]-Tasks[[#This Row],[_StartWorkday]]+1),0)</f>
        <v>0</v>
      </c>
      <c r="EF105" s="43" t="n">
        <f aca="false">Tasks[[#This Row],[_Res3WorkPerWD]]*MAX(0,Tasks[[#This Row],[_StartWorkday]]-1)</f>
        <v>0</v>
      </c>
      <c r="EG105" s="43" t="n">
        <f aca="false">Tasks[[#This Row],[_Res3Work]]*Tasks[[#This Row],[_LeafProgress]]</f>
        <v>0</v>
      </c>
      <c r="EH105" s="43" t="str">
        <f aca="false">IF(Tasks[[#This Row],[_Res4Text]]="","",IF(Tasks[[#This Row],[_Res4Row]]&gt;0,INDEX(res_Name,Tasks[[#This Row],[_Res4Row]]),TRIM(LEFT(Tasks[[#This Row],[_Res4Text]],FIND("[",Tasks[[#This Row],[_Res4Text]]&amp;"[")-1))))</f>
        <v/>
      </c>
      <c r="EI1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3" t="n">
        <f aca="false">IF(OR(NOT(Tasks[[#This Row],[_IsLeaf]]=1),Tasks[[#This Row],[_Res4Row]]=0),0,N(Tasks[[#This Row],[_Days]])*HoursPerDay*IF(Tasks[[#This Row],[_Res4Units]]="",DefaultUnits,Tasks[[#This Row],[_Res4Units]]))</f>
        <v>0</v>
      </c>
      <c r="EK105" s="43" t="n">
        <f aca="false">IF(AND(AND(Tasks[[#This Row],[_IsLeaf]]=1,Tasks[[#This Row],[_LeafTotalWork]]&gt;0),Tasks[[#This Row],[_Res4Work]]&gt;0),Tasks[[#This Row],[_Res4Work]]/(Tasks[[#This Row],[_FinishWorkday]]-Tasks[[#This Row],[_StartWorkday]]+1),0)</f>
        <v>0</v>
      </c>
      <c r="EL105" s="43" t="n">
        <f aca="false">Tasks[[#This Row],[_Res4WorkPerWD]]*MAX(0,Tasks[[#This Row],[_StartWorkday]]-1)</f>
        <v>0</v>
      </c>
      <c r="EM105" s="43" t="n">
        <f aca="false">Tasks[[#This Row],[_Res4Work]]*Tasks[[#This Row],[_LeafProgress]]</f>
        <v>0</v>
      </c>
      <c r="EN105" s="43" t="n">
        <f aca="false">IF(ISNUMBER(Tasks[[#This Row],[% Complete]]),Tasks[[#This Row],[% Complete]],IF(Tasks[[#This Row],[Stage]]="",0,IFERROR(INDEX(stg_Pct,MATCH(Tasks[[#This Row],[Stage]],stg_Name,0)),0)))</f>
        <v>0</v>
      </c>
      <c r="EO105" s="43" t="n">
        <f aca="false">IF(NOT(Tasks[[#This Row],[_IsLeaf]]=1),0,IF(N(Tasks[[#This Row],[Actual Finish]])&gt;0,1,MIN(1,Tasks[[#This Row],[_Pct]])))</f>
        <v>0</v>
      </c>
      <c r="EP105" s="43" t="n">
        <f aca="false">IF(OR(NOT(Tasks[[#This Row],[_IsLeaf]]=1),Tasks[[#This Row],[_Res1Row]]=0),0,N(Tasks[[#This Row],[_Days]])*HoursPerDay*IF(Tasks[[#This Row],[_Units1]]="",DefaultUnits,Tasks[[#This Row],[_Units1]]))</f>
        <v>0</v>
      </c>
      <c r="EQ105" s="43" t="n">
        <f aca="false">Tasks[[#This Row],[_LeafWork]]+Tasks[[#This Row],[_Res2Work]]+Tasks[[#This Row],[_Res3Work]]+Tasks[[#This Row],[_Res4Work]]</f>
        <v>0</v>
      </c>
      <c r="ER1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3" t="n">
        <f aca="false">IF(NOT(Tasks[[#This Row],[_IsLeaf]]=1),0,MAX(_xlfn.MAXIFS(Tasks[_Row],Tasks[_Pred1UID],Tasks[[#This Row],[UID]]),_xlfn.MAXIFS(Tasks[_Row],Tasks[_Pred2UID],Tasks[[#This Row],[UID]]),_xlfn.MAXIFS(Tasks[_Row],Tasks[_Pred3UID],Tasks[[#This Row],[UID]]),_xlfn.MAXIFS(Tasks[_Row],Tasks[_Pred4UID],Tasks[[#This Row],[UID]])))</f>
        <v>0</v>
      </c>
      <c r="FA1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91" t="str">
        <f aca="false">IF(NOT(Tasks[[#This Row],[_IsLeaf]]=1),"",IF(N(Tasks[[#This Row],[_Days]])&lt;=0,Tasks[[#This Row],[_LeafLateFinish]],WORKDAY.INTL(Tasks[[#This Row],[_LeafLateFinish]],-(Tasks[[#This Row],[_Days]]-1),WorkWeek,Holidays)))</f>
        <v/>
      </c>
      <c r="FD1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5" s="90" t="b">
        <f aca="false">AND(Tasks[[#This Row],[_IsLeaf]]=1,Tasks[[#This Row],[_LeafProgress]]&lt;1,N(Tasks[[#This Row],[_LeafTotalSlack]])&lt;=CriticalSlackDays)</f>
        <v>0</v>
      </c>
      <c r="FF105" s="43" t="n">
        <f aca="false">IF(AND(Tasks[[#This Row],[_IsLeaf]]=1,Tasks[[#This Row],[_ConstraintCode]]=1,Tasks[[#This Row],[Mode]]&lt;&gt;"Manual",N(Tasks[[#This Row],[Actual Start]])=0),MAX(0,N(Tasks[[#This Row],[Free Slack]])),0)</f>
        <v>0</v>
      </c>
      <c r="FG105" s="91" t="str">
        <f aca="false">IF(NOT(Tasks[[#This Row],[_IsLeaf]]=1),"",IF(Tasks[[#This Row],[_AlapShift]]=0,Tasks[[#This Row],[_LeafCalcStart]],WORKDAY.INTL(Tasks[[#This Row],[_LeafCalcStart]],Tasks[[#This Row],[_AlapShift]],WorkWeek,Holidays)))</f>
        <v/>
      </c>
      <c r="FH105" s="91" t="str">
        <f aca="false">IF(NOT(Tasks[[#This Row],[_IsLeaf]]=1),"",IF(Tasks[[#This Row],[_AlapShift]]=0,Tasks[[#This Row],[_LeafCalcFinish]],WORKDAY.INTL(Tasks[[#This Row],[_LeafCalcFinish]],Tasks[[#This Row],[_AlapShift]],WorkWeek,Holidays)))</f>
        <v/>
      </c>
      <c r="FI105" s="91" t="str">
        <f aca="false">IF(NOT(Tasks[[#This Row],[_IsLeaf]]=1),"",IF(Tasks[[#This Row],[_AlapShift]]=0,Tasks[[#This Row],[_LeafFcstStart]],WORKDAY.INTL(Tasks[[#This Row],[_LeafFcstStart]],Tasks[[#This Row],[_AlapShift]],WorkWeek,Holidays)))</f>
        <v/>
      </c>
      <c r="FJ105" s="91" t="str">
        <f aca="false">IF(NOT(Tasks[[#This Row],[_IsLeaf]]=1),"",IF(Tasks[[#This Row],[_AlapShift]]=0,Tasks[[#This Row],[_LeafFcstFinish]],WORKDAY.INTL(Tasks[[#This Row],[_LeafFcstFinish]],Tasks[[#This Row],[_AlapShift]],WorkWeek,Holidays)))</f>
        <v/>
      </c>
      <c r="FK105" s="91" t="str">
        <f aca="false">IF(Tasks[[#This Row],[Task Name]]="","",IF(Tasks[[#This Row],[_IsSummary]],MIN(INDEX(Tasks[_ShownCalcStart],Tasks[[#This Row],[_Row]]+1):INDEX(Tasks[_ShownCalcStart],Tasks[[#This Row],[_Row]]+Tasks[[#This Row],[_Descendants]])),Tasks[[#This Row],[_ShownCalcStart]]))</f>
        <v/>
      </c>
      <c r="FL105" s="91" t="str">
        <f aca="false">IF(Tasks[[#This Row],[Task Name]]="","",IF(Tasks[[#This Row],[_IsSummary]],MAX(INDEX(Tasks[_ShownCalcFinish],Tasks[[#This Row],[_Row]]+1):INDEX(Tasks[_ShownCalcFinish],Tasks[[#This Row],[_Row]]+Tasks[[#This Row],[_Descendants]])),Tasks[[#This Row],[_ShownCalcFinish]]))</f>
        <v/>
      </c>
      <c r="FM1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5" s="43" t="n">
        <f aca="false">IF(AND(Tasks[[#This Row],[_IsLeaf]]=1,Tasks[[#This Row],[_LeafTotalWork]]&gt;0),NETWORKDAYS.INTL(ProjectStart,Tasks[[#This Row],[_ShownFcstStart]],WorkWeek,Holidays),0)</f>
        <v>0</v>
      </c>
      <c r="FZ105" s="43" t="n">
        <f aca="false">IF(AND(Tasks[[#This Row],[_IsLeaf]]=1,Tasks[[#This Row],[_LeafTotalWork]]&gt;0),MAX(Tasks[[#This Row],[_StartWorkday]],NETWORKDAYS.INTL(ProjectStart,Tasks[[#This Row],[_ShownFcstFinish]],WorkWeek,Holidays)),0)</f>
        <v>0</v>
      </c>
      <c r="GA105" s="43" t="n">
        <f aca="false">IF(AND(Tasks[[#This Row],[_IsLeaf]]=1,Tasks[[#This Row],[_LeafTotalWork]]&gt;0),Tasks[[#This Row],[_LeafWork]]/(Tasks[[#This Row],[_FinishWorkday]]-Tasks[[#This Row],[_StartWorkday]]+1),0)</f>
        <v>0</v>
      </c>
      <c r="GB105" s="43" t="n">
        <f aca="false">Tasks[[#This Row],[_WorkPerWorkday]]*(Tasks[[#This Row],[_StartWorkday]]-1)</f>
        <v>-0</v>
      </c>
      <c r="GC105" s="43" t="n">
        <f aca="false">IF(Tasks[[#This Row],[_IsLeaf]]=1,MAX(N(Tasks[[#This Row],[_Days]]),0.1),0)</f>
        <v>0</v>
      </c>
      <c r="GD105" s="43" t="n">
        <f aca="false">Tasks[[#This Row],[_WeightDur]]*Tasks[[#This Row],[_LeafProgress]]</f>
        <v>0</v>
      </c>
      <c r="GE105" s="43" t="n">
        <f aca="false">Tasks[[#This Row],[_WeightDur]]*Tasks[[#This Row],[_PlannedPct]]</f>
        <v>0</v>
      </c>
      <c r="GF1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3" t="str">
        <f aca="false">IF(AND(Tasks[[#This Row],[_IsLeaf]]=1,N(Tasks[[#This Row],[_Days]])=0,Tasks[[#This Row],[_LeafProgress]]&lt;1),Tasks[[#This Row],[_ShownFcstFinish]]+Tasks[[#This Row],[_Row]]/100000,"")</f>
        <v/>
      </c>
      <c r="GH1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5" s="43" t="str">
        <f aca="false">IF(Tasks[[#This Row],[Task Name]]="","",LEFT(Tasks[[#This Row],[WBS]],FIND(".",Tasks[[#This Row],[WBS]]&amp;".")-1))</f>
        <v/>
      </c>
      <c r="GJ105" s="43" t="str">
        <f aca="false">IF(AND(Tasks[[#This Row],[Task Name]]&lt;&gt;"",Tasks[[#This Row],[_Level]]=1),Tasks[[#This Row],[_Row]],"")</f>
        <v/>
      </c>
      <c r="GK105" s="43" t="str">
        <f aca="false">IF(AND(Tasks[[#This Row],[_IsLeaf]]=1,N(Tasks[[#This Row],[_Days]])=0),Tasks[[#This Row],[Planned Finish]]+Tasks[[#This Row],[_Row]]/100000,"")</f>
        <v/>
      </c>
      <c r="GL105" s="43" t="str">
        <f aca="false">IF(AND(Tasks[[#This Row],[_IsLeaf]]=1,Tasks[[#This Row],[_LeafProgress]]&lt;1,OR(N(Tasks[[#This Row],[Finish Var]])&gt;0,Tasks[[#This Row],[Status]]="Late Start")),MAX(0,Tasks[[#This Row],[Finish Var]])+1-Tasks[[#This Row],[_Row]]/1000000,"")</f>
        <v/>
      </c>
      <c r="GM105" s="43" t="str">
        <f aca="false">IF(AND(Tasks[[#This Row],[_IsLeaf]]=1,N(Tasks[[#This Row],[Actual Start]])=0,Tasks[[#This Row],[_ShownFcstStart]]&gt;=StatusDate,Tasks[[#This Row],[_ShownFcstStart]]&lt;=LookaheadEnd),Tasks[[#This Row],[_ShownFcstStart]]+Tasks[[#This Row],[_Row]]/100000,"")</f>
        <v/>
      </c>
      <c r="GN105" s="43" t="str">
        <f aca="false">IF(AND(Tasks[[#This Row],[_IsLeaf]]=1,Tasks[[#This Row],[_LeafProgress]]&lt;1,Tasks[[#This Row],[_ShownFcstFinish]]&gt;=StatusDate,Tasks[[#This Row],[_ShownFcstFinish]]&lt;=LookaheadEnd),Tasks[[#This Row],[_ShownFcstFinish]]+Tasks[[#This Row],[_Row]]/100000,"")</f>
        <v/>
      </c>
      <c r="GO105" s="43" t="str">
        <f aca="false">IF(Tasks[[#This Row],[_LeafCritical]],Tasks[[#This Row],[_ShownFcstStart]]+Tasks[[#This Row],[_Row]]/100000,"")</f>
        <v/>
      </c>
      <c r="GP105" s="43" t="n">
        <f aca="false">Tasks[[#This Row],[_LeafWork]]*Tasks[[#This Row],[_LeafProgress]]</f>
        <v>0</v>
      </c>
      <c r="GQ105" s="91" t="str">
        <f aca="false">IF(AND(Tasks[[#This Row],[_IsLeaf]]=1,Tasks[[#This Row],[_LeafProgress]]&gt;=1),IF(N(Tasks[[#This Row],[Actual Finish]])&gt;0,Tasks[[#This Row],[Actual Finish]],Tasks[[#This Row],[_ShownFcstFinish]]),"")</f>
        <v/>
      </c>
      <c r="GR105" s="43" t="n">
        <f aca="false">IF(Tasks[[#This Row],[_IsLeaf]]=1,N(Tasks[[#This Row],[Story Points]]),0)</f>
        <v>0</v>
      </c>
      <c r="GS105" s="43" t="str">
        <f aca="false">""</f>
        <v/>
      </c>
      <c r="GT105" s="90" t="b">
        <f aca="false">IF(Tasks[[#This Row],[Task Name]]="",FALSE(),AND(Tasks[[#This Row],[_IsLeaf]]=1,N(Tasks[[#This Row],[_Days]])=0))</f>
        <v>0</v>
      </c>
      <c r="GU105" s="91" t="n">
        <f aca="false">IF(Tasks[[#This Row],[Task Name]]="",0,IF(AND(Tasks[[#This Row],[_IsLeaf]]=1,NOT(Tasks[[#This Row],[_IsMilestone]]),N(Tasks[[#This Row],[Progress]])&gt;0),Tasks[[#This Row],[Start]],0))</f>
        <v>0</v>
      </c>
      <c r="GV105" s="91" t="n">
        <f aca="false">IF(Tasks[[#This Row],[_DoneFrom]]=0,0,IF(Tasks[[#This Row],[Progress]]&gt;=1,Tasks[[#This Row],[Finish]],MAX(Tasks[[#This Row],[_DoneFrom]],Tasks[[#This Row],[Start]]+ROUND((Tasks[[#This Row],[Finish]]-Tasks[[#This Row],[Start]]+1)*Tasks[[#This Row],[Progress]],0)-1)))</f>
        <v>0</v>
      </c>
      <c r="GW105" s="91" t="n">
        <f aca="false">IF(Tasks[[#This Row],[Task Name]]="",0,IF(OR(NOT(Tasks[[#This Row],[_IsLeaf]]=1),Tasks[[#This Row],[_IsMilestone]],N(Tasks[[#This Row],[Progress]])&gt;=1),0,IF(Tasks[[#This Row],[_DoneTo]]&gt;0,Tasks[[#This Row],[_DoneTo]]+1,Tasks[[#This Row],[Start]])))</f>
        <v>0</v>
      </c>
      <c r="GX105" s="91" t="n">
        <f aca="false">IF(Tasks[[#This Row],[_RemFrom]]=0,0,Tasks[[#This Row],[Finish]])</f>
        <v>0</v>
      </c>
      <c r="GY105" s="90" t="b">
        <f aca="false">IF(Tasks[[#This Row],[Task Name]]="",FALSE(),OR(NOT(BaselineSet),N(Tasks[[#This Row],[Baseline Start]])&gt;0))</f>
        <v>0</v>
      </c>
      <c r="GZ10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92" t="str">
        <f aca="false">IF(Tasks[[#This Row],[_IsLeaf]]=1,Tasks[[#This Row],[_Row]],"")</f>
        <v/>
      </c>
      <c r="HD105" s="92" t="str">
        <f aca="false">IFERROR(INDEX(Tasks[UID],SMALL(Tasks[_PickKey],Tasks[[#This Row],[_Row]]))&amp;" "&amp;INDEX(Tasks[Task Name],SMALL(Tasks[_PickKey],Tasks[[#This Row],[_Row]])),"")</f>
        <v/>
      </c>
      <c r="HE105" s="43" t="str">
        <f aca="false">IF(Tasks[[#This Row],[Task Name]]="","",IF(Tasks[[#This Row],[_IsSummary]],NETWORKDAYS.INTL(Tasks[[#This Row],[Start]],Tasks[[#This Row],[Finish]],WorkWeek,Holidays),N(Tasks[[#This Row],[_Days]])))</f>
        <v/>
      </c>
      <c r="HF105" s="43" t="n">
        <f aca="false">IF(Tasks[[#This Row],[Expected]]="",0,((Tasks[[#This Row],[Pessimistic]]-Tasks[[#This Row],[Optimistic]])/6)^2)</f>
        <v>0</v>
      </c>
      <c r="HG105" s="43" t="n">
        <f aca="false">IF(Tasks[[#This Row],[Expected]]="",0,Tasks[[#This Row],[Expected]]-N(Tasks[[#This Row],[_Days]]))</f>
        <v>0</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4"/>
      <c r="U106" s="23"/>
      <c r="V106" s="84"/>
      <c r="W106" s="23"/>
      <c r="X106" s="84"/>
      <c r="Y106" s="23"/>
      <c r="Z106" s="84"/>
      <c r="AA106" s="23"/>
      <c r="AB106" s="23"/>
      <c r="AC106" s="7"/>
      <c r="AD106" s="7"/>
      <c r="AE106" s="63" t="str">
        <f aca="false">IF(Tasks[[#This Row],[Task Name]]="","",IF(Tasks[[#This Row],[_IsSummary]],MIN(INDEX(Tasks[_ShownFcstStart],Tasks[[#This Row],[_Row]]+1):INDEX(Tasks[_ShownFcstStart],Tasks[[#This Row],[_Row]]+Tasks[[#This Row],[_Descendants]])),Tasks[[#This Row],[_ShownFcstStart]]))</f>
        <v/>
      </c>
      <c r="AF106" s="63"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6" s="7"/>
      <c r="AK106" s="22"/>
      <c r="AL106" s="23"/>
      <c r="AM106" s="7"/>
      <c r="AN106" s="47"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3" t="str">
        <f aca="false">IF(Tasks[[#This Row],[Task Name]]="","",IF(N(Tasks[[#This Row],[Baseline Start]])&gt;0,Tasks[[#This Row],[Baseline Start]],Tasks[[#This Row],[_CalcStart]]))</f>
        <v/>
      </c>
      <c r="AR106" s="63" t="str">
        <f aca="false">IF(Tasks[[#This Row],[Task Name]]="","",IF(N(Tasks[[#This Row],[Baseline Finish]])&gt;0,Tasks[[#This Row],[Baseline Finish]],Tasks[[#This Row],[_CalcFinish]]))</f>
        <v/>
      </c>
      <c r="AS106" s="47" t="str">
        <f aca="false">IF(Tasks[[#This Row],[Task Name]]="","",IF(Tasks[[#This Row],[Start]]&gt;=Tasks[[#This Row],[Planned Start]],NETWORKDAYS.INTL(Tasks[[#This Row],[Planned Start]],Tasks[[#This Row],[Start]],WorkWeek,Holidays)-1,1-NETWORKDAYS.INTL(Tasks[[#This Row],[Start]],Tasks[[#This Row],[Planned Start]],WorkWeek,Holidays)))</f>
        <v/>
      </c>
      <c r="AT106" s="63" t="str">
        <f aca="false">IF(Tasks[[#This Row],[Task Name]]="","",IF(Tasks[[#This Row],[_IsSummary]],MIN(INDEX(Tasks[_LeafLateStart],Tasks[[#This Row],[_Row]]+1):INDEX(Tasks[_LeafLateStart],Tasks[[#This Row],[_Row]]+Tasks[[#This Row],[_Descendants]])),Tasks[[#This Row],[_LeafLateStart]]))</f>
        <v/>
      </c>
      <c r="AU106" s="63" t="str">
        <f aca="false">IF(Tasks[[#This Row],[Task Name]]="","",IF(Tasks[[#This Row],[_IsSummary]],MAX(INDEX(Tasks[_LeafLateFinish],Tasks[[#This Row],[_Row]]+1):INDEX(Tasks[_LeafLateFinish],Tasks[[#This Row],[_Row]]+Tasks[[#This Row],[_Descendants]])),Tasks[[#This Row],[_LeafLateFinish]]))</f>
        <v/>
      </c>
      <c r="AV106" s="47"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5"/>
      <c r="BA10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6"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7"/>
      <c r="BJ106" s="22"/>
      <c r="BK106" s="47" t="str">
        <f aca="false">IF(OR(Tasks[[#This Row],[Task Name]]="",Tasks[[#This Row],[Baseline Duration]]=""),"",Tasks[[#This Row],[_SpanDays]]-N(Tasks[[#This Row],[Baseline Duration]]))</f>
        <v/>
      </c>
      <c r="BL106" s="86" t="str">
        <f aca="false">IF(OR(Tasks[[#This Row],[Task Name]]="",Tasks[[#This Row],[Baseline Work]]=""),"",Tasks[[#This Row],[Work]]-N(Tasks[[#This Row],[Baseline Work]]))</f>
        <v/>
      </c>
      <c r="BM106" s="63" t="str">
        <f aca="false">IF(Tasks[[#This Row],[Task Name]]="","",IF(OR(TakeBaseline="Yes",N(Tasks[[#This Row],[Baseline Start]])=0),Tasks[[#This Row],[Start]],Tasks[[#This Row],[Baseline Start]]))</f>
        <v/>
      </c>
      <c r="BN106" s="63" t="str">
        <f aca="false">IF(Tasks[[#This Row],[Task Name]]="","",IF(OR(TakeBaseline="Yes",N(Tasks[[#This Row],[Baseline Finish]])=0),Tasks[[#This Row],[Finish]],Tasks[[#This Row],[Baseline Finish]]))</f>
        <v/>
      </c>
      <c r="BO106" s="21" t="str">
        <f aca="false">IF(Tasks[[#This Row],[Task Name]]="","",IF(OR(TakeBaseline="Yes",N(Tasks[[#This Row],[Baseline Duration]])=0),Tasks[[#This Row],[_SpanDays]],Tasks[[#This Row],[Baseline Duration]]))</f>
        <v/>
      </c>
      <c r="BP106" s="86" t="str">
        <f aca="false">IF(Tasks[[#This Row],[Task Name]]="","",IF(OR(TakeBaseline="Yes",N(Tasks[[#This Row],[Baseline Work]])=0),Tasks[[#This Row],[Work]],Tasks[[#This Row],[Baseline Work]]))</f>
        <v/>
      </c>
      <c r="BQ106" s="7"/>
      <c r="BR106" s="7"/>
      <c r="BS106" s="22"/>
      <c r="BT106" s="88"/>
      <c r="BU106" s="23"/>
      <c r="BV106" s="23"/>
      <c r="BW106" s="23"/>
      <c r="BX106" s="89" t="str">
        <f aca="false">IF(AND(Tasks[[#This Row],[_IsLeaf]]=1,ISNUMBER(Tasks[[#This Row],[Optimistic]]),ISNUMBER(Tasks[[#This Row],[Pessimistic]])),ROUND((Tasks[[#This Row],[Optimistic]]+4*N(Tasks[[#This Row],[_Days]])+Tasks[[#This Row],[Pessimistic]])/6,1),"")</f>
        <v/>
      </c>
      <c r="BY106" s="87"/>
      <c r="BZ106" s="87"/>
      <c r="CA106" s="22"/>
      <c r="CB106" s="43" t="str">
        <f aca="false">IF(Tasks[[#This Row],[Task Name]]="","",MAX(1,N(Tasks[[#This Row],[Level]])))</f>
        <v/>
      </c>
      <c r="CC106" s="43" t="n">
        <f aca="false">ROW()-ROW(Tasks[[#Headers],[ID]])</f>
        <v>101</v>
      </c>
      <c r="CD106" s="43" t="n">
        <f aca="false">IF(OR(Tasks[[#This Row],[Task Name]]="",Tasks[[#This Row],[_Level]]&lt;=1),0,IFERROR(LOOKUP(2,1/(Tasks[[#Headers],[_Level]]:Tasks[[#This Row],[_Level]]=Tasks[[#This Row],[_Level]]-1),ROW(Tasks[[#Headers],[_Level]]:Tasks[[#This Row],[_Level]])),0))</f>
        <v>0</v>
      </c>
      <c r="CE106" s="43" t="n">
        <f aca="false">IFERROR(N(INDEX(Tasks[_Level],Tasks[[#This Row],[_Row]]+1)),0)</f>
        <v>0</v>
      </c>
      <c r="CF106" s="90" t="b">
        <f aca="false">AND(Tasks[[#This Row],[Task Name]]&lt;&gt;"",Tasks[[#This Row],[_NextLevel]]&gt;Tasks[[#This Row],[_Level]])</f>
        <v>0</v>
      </c>
      <c r="CG106" s="43" t="n">
        <f aca="false">IF(Tasks[[#This Row],[_IsSummary]],COUNTIF(Tasks[WBS],Tasks[[#This Row],[WBS]]&amp;".*"),0)</f>
        <v>0</v>
      </c>
      <c r="CH106" s="43" t="n">
        <f aca="false">IF(AND(Tasks[[#This Row],[Task Name]]&lt;&gt;"",NOT(Tasks[[#This Row],[_IsSummary]])),1,0)</f>
        <v>0</v>
      </c>
      <c r="CI106" s="43" t="n">
        <f aca="false">IF(N(Tasks[[#This Row],[_Pred1UID]])=0,0,IFERROR(MATCH(Tasks[[#This Row],[_Pred1UID]],Tasks[UID],0),-1))</f>
        <v>0</v>
      </c>
      <c r="CJ106" s="43" t="n">
        <f aca="false">IF(N(Tasks[[#This Row],[_Pred2UID]])=0,0,IFERROR(MATCH(Tasks[[#This Row],[_Pred2UID]],Tasks[UID],0),-1))</f>
        <v>0</v>
      </c>
      <c r="CK106" s="43" t="n">
        <f aca="false">IF(N(Tasks[[#This Row],[_Pred3UID]])=0,0,IFERROR(MATCH(Tasks[[#This Row],[_Pred3UID]],Tasks[UID],0),-1))</f>
        <v>0</v>
      </c>
      <c r="CL106" s="43" t="n">
        <f aca="false">IF(N(Tasks[[#This Row],[_Pred4UID]])=0,0,IFERROR(MATCH(Tasks[[#This Row],[_Pred4UID]],Tasks[UID],0),-1))</f>
        <v>0</v>
      </c>
      <c r="CM10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6" s="91" t="n">
        <f aca="false">IF(OR(Tasks[[#This Row],[_ConstraintCode]]=2,Tasks[[#This Row],[_ConstraintCode]]=3,Tasks[[#This Row],[_ConstraintCode]]=4,Tasks[[#This Row],[_ConstraintCode]]=6),Tasks[[#This Row],[_ConstraintStart]],0)</f>
        <v>0</v>
      </c>
      <c r="CP106" s="91" t="n">
        <f aca="false">IF(OR(Tasks[[#This Row],[_ConstraintCode]]=2,Tasks[[#This Row],[_ConstraintCode]]=3,Tasks[[#This Row],[_ConstraintCode]]=5,Tasks[[#This Row],[_ConstraintCode]]=7),Tasks[[#This Row],[_ConstraintStart]],2958465)</f>
        <v>2958465</v>
      </c>
      <c r="CQ10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91" t="str">
        <f aca="false">IF(NOT(Tasks[[#This Row],[_IsLeaf]]=1),"",IF(N(Tasks[[#This Row],[_Days]])&lt;=0,Tasks[[#This Row],[_LeafCalcStart]],WORKDAY.INTL(Tasks[[#This Row],[_LeafCalcStart]],Tasks[[#This Row],[_Days]]-1,WorkWeek,Holidays)))</f>
        <v/>
      </c>
      <c r="CS10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3" t="str">
        <f aca="false">IF(Tasks[[#This Row],[_Predecessors]]="","",TRIM(MID(SUBSTITUTE(SUBSTITUTE(SUBSTITUTE(UPPER(Tasks[[#This Row],[_Predecessors]]),";",",")," ",""),",",REPT(" ",99)),1,99)))</f>
        <v/>
      </c>
      <c r="CV106" s="43" t="str">
        <f aca="false">IF(Tasks[[#This Row],[_Pred1Text]]="","",IFERROR(VALUE(LEFT(Tasks[[#This Row],[_Pred1Text]],MIN(FIND("F",Tasks[[#This Row],[_Pred1Text]]&amp;"F"),FIND("S",Tasks[[#This Row],[_Pred1Text]]&amp;"S"),FIND("+",Tasks[[#This Row],[_Pred1Text]]&amp;"+"),FIND("-",Tasks[[#This Row],[_Pred1Text]]&amp;"-"))-1)),""))</f>
        <v/>
      </c>
      <c r="CW10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3" t="str">
        <f aca="false">IF(Tasks[[#This Row],[_Pred1Text]]="","",TRIM(MID(SUBSTITUTE(SUBSTITUTE(SUBSTITUTE(UPPER(Tasks[[#This Row],[_Predecessors]]),";",",")," ",""),",",REPT(" ",99)),100,99)))</f>
        <v/>
      </c>
      <c r="CZ106" s="43" t="str">
        <f aca="false">IF(Tasks[[#This Row],[_Pred2Text]]="","",IFERROR(VALUE(LEFT(Tasks[[#This Row],[_Pred2Text]],MIN(FIND("F",Tasks[[#This Row],[_Pred2Text]]&amp;"F"),FIND("S",Tasks[[#This Row],[_Pred2Text]]&amp;"S"),FIND("+",Tasks[[#This Row],[_Pred2Text]]&amp;"+"),FIND("-",Tasks[[#This Row],[_Pred2Text]]&amp;"-"))-1)),""))</f>
        <v/>
      </c>
      <c r="DA10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3" t="str">
        <f aca="false">IF(Tasks[[#This Row],[_Pred2Text]]="","",TRIM(MID(SUBSTITUTE(SUBSTITUTE(SUBSTITUTE(UPPER(Tasks[[#This Row],[_Predecessors]]),";",",")," ",""),",",REPT(" ",99)),199,99)))</f>
        <v/>
      </c>
      <c r="DD106" s="43" t="str">
        <f aca="false">IF(Tasks[[#This Row],[_Pred3Text]]="","",IFERROR(VALUE(LEFT(Tasks[[#This Row],[_Pred3Text]],MIN(FIND("F",Tasks[[#This Row],[_Pred3Text]]&amp;"F"),FIND("S",Tasks[[#This Row],[_Pred3Text]]&amp;"S"),FIND("+",Tasks[[#This Row],[_Pred3Text]]&amp;"+"),FIND("-",Tasks[[#This Row],[_Pred3Text]]&amp;"-"))-1)),""))</f>
        <v/>
      </c>
      <c r="DE10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3" t="str">
        <f aca="false">IF(Tasks[[#This Row],[_Pred3Text]]="","",TRIM(MID(SUBSTITUTE(SUBSTITUTE(SUBSTITUTE(UPPER(Tasks[[#This Row],[_Predecessors]]),";",",")," ",""),",",REPT(" ",99)),298,99)))</f>
        <v/>
      </c>
      <c r="DH106" s="43" t="str">
        <f aca="false">IF(Tasks[[#This Row],[_Pred4Text]]="","",IFERROR(VALUE(LEFT(Tasks[[#This Row],[_Pred4Text]],MIN(FIND("F",Tasks[[#This Row],[_Pred4Text]]&amp;"F"),FIND("S",Tasks[[#This Row],[_Pred4Text]]&amp;"S"),FIND("+",Tasks[[#This Row],[_Pred4Text]]&amp;"+"),FIND("-",Tasks[[#This Row],[_Pred4Text]]&amp;"-"))-1)),""))</f>
        <v/>
      </c>
      <c r="DI10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3" t="str">
        <f aca="false">IF(OR(Tasks[[#This Row],[Task Name]]="",Tasks[[#This Row],[_Resources]]=""),"",TRIM(MID(SUBSTITUTE(Tasks[[#This Row],[_Resources]],",",REPT(" ",99)),1,99)))</f>
        <v/>
      </c>
      <c r="DL106" s="43" t="str">
        <f aca="false">IF(Tasks[[#This Row],[_Res1Text]]="","",TRIM(MID(SUBSTITUTE(Tasks[[#This Row],[_Resources]],",",REPT(" ",99)),100,99)))</f>
        <v/>
      </c>
      <c r="DM106" s="43" t="str">
        <f aca="false">IF(Tasks[[#This Row],[_Res2Text]]="","",TRIM(MID(SUBSTITUTE(Tasks[[#This Row],[_Resources]],",",REPT(" ",99)),199,99)))</f>
        <v/>
      </c>
      <c r="DN106" s="43" t="str">
        <f aca="false">IF(Tasks[[#This Row],[_Res3Text]]="","",TRIM(MID(SUBSTITUTE(Tasks[[#This Row],[_Resources]],",",REPT(" ",99)),298,99)))</f>
        <v/>
      </c>
      <c r="DO106" s="43" t="n">
        <f aca="false">IF(Tasks[[#This Row],[_Res1Text]]="",0,IFERROR(MATCH(TRIM(LEFT(Tasks[[#This Row],[_Res1Text]],FIND("[",Tasks[[#This Row],[_Res1Text]]&amp;"[")-1)),res_Name,0),IFERROR(MATCH(TRIM(LEFT(Tasks[[#This Row],[_Res1Text]],FIND("[",Tasks[[#This Row],[_Res1Text]]&amp;"[")-1)),res_Initials,0),0)))</f>
        <v>0</v>
      </c>
      <c r="DP106" s="43" t="n">
        <f aca="false">IF(Tasks[[#This Row],[_Res2Text]]="",0,IFERROR(MATCH(TRIM(LEFT(Tasks[[#This Row],[_Res2Text]],FIND("[",Tasks[[#This Row],[_Res2Text]]&amp;"[")-1)),res_Name,0),IFERROR(MATCH(TRIM(LEFT(Tasks[[#This Row],[_Res2Text]],FIND("[",Tasks[[#This Row],[_Res2Text]]&amp;"[")-1)),res_Initials,0),0)))</f>
        <v>0</v>
      </c>
      <c r="DQ106" s="43" t="n">
        <f aca="false">IF(Tasks[[#This Row],[_Res3Text]]="",0,IFERROR(MATCH(TRIM(LEFT(Tasks[[#This Row],[_Res3Text]],FIND("[",Tasks[[#This Row],[_Res3Text]]&amp;"[")-1)),res_Name,0),IFERROR(MATCH(TRIM(LEFT(Tasks[[#This Row],[_Res3Text]],FIND("[",Tasks[[#This Row],[_Res3Text]]&amp;"[")-1)),res_Initials,0),0)))</f>
        <v>0</v>
      </c>
      <c r="DR106" s="43" t="n">
        <f aca="false">IF(Tasks[[#This Row],[_Res4Text]]="",0,IFERROR(MATCH(TRIM(LEFT(Tasks[[#This Row],[_Res4Text]],FIND("[",Tasks[[#This Row],[_Res4Text]]&amp;"[")-1)),res_Name,0),IFERROR(MATCH(TRIM(LEFT(Tasks[[#This Row],[_Res4Text]],FIND("[",Tasks[[#This Row],[_Res4Text]]&amp;"[")-1)),res_Initials,0),0)))</f>
        <v>0</v>
      </c>
      <c r="DS106" s="43" t="str">
        <f aca="false">IF(Tasks[[#This Row],[_Res1Text]]="","",IF(Tasks[[#This Row],[_Res1Row]]&gt;0,INDEX(res_Name,Tasks[[#This Row],[_Res1Row]]),TRIM(LEFT(Tasks[[#This Row],[_Res1Text]],FIND("[",Tasks[[#This Row],[_Res1Text]]&amp;"[")-1))))</f>
        <v/>
      </c>
      <c r="DT10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3" t="n">
        <f aca="false">IF(NOT(Tasks[[#This Row],[_IsLeaf]]=1),0,(Tasks[[#This Row],[_Resource1]]&lt;&gt;"")+(Tasks[[#This Row],[_Res2]]&lt;&gt;"")+(Tasks[[#This Row],[_Res3]]&lt;&gt;"")+(Tasks[[#This Row],[_Res4]]&lt;&gt;""))</f>
        <v>0</v>
      </c>
      <c r="DV106" s="43" t="str">
        <f aca="false">IF(Tasks[[#This Row],[_Res2Text]]="","",IF(Tasks[[#This Row],[_Res2Row]]&gt;0,INDEX(res_Name,Tasks[[#This Row],[_Res2Row]]),TRIM(LEFT(Tasks[[#This Row],[_Res2Text]],FIND("[",Tasks[[#This Row],[_Res2Text]]&amp;"[")-1))))</f>
        <v/>
      </c>
      <c r="DW10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3" t="n">
        <f aca="false">IF(OR(NOT(Tasks[[#This Row],[_IsLeaf]]=1),Tasks[[#This Row],[_Res2Row]]=0),0,N(Tasks[[#This Row],[_Days]])*HoursPerDay*IF(Tasks[[#This Row],[_Res2Units]]="",DefaultUnits,Tasks[[#This Row],[_Res2Units]]))</f>
        <v>0</v>
      </c>
      <c r="DY106" s="43" t="n">
        <f aca="false">IF(AND(AND(Tasks[[#This Row],[_IsLeaf]]=1,Tasks[[#This Row],[_LeafTotalWork]]&gt;0),Tasks[[#This Row],[_Res2Work]]&gt;0),Tasks[[#This Row],[_Res2Work]]/(Tasks[[#This Row],[_FinishWorkday]]-Tasks[[#This Row],[_StartWorkday]]+1),0)</f>
        <v>0</v>
      </c>
      <c r="DZ106" s="43" t="n">
        <f aca="false">Tasks[[#This Row],[_Res2WorkPerWD]]*MAX(0,Tasks[[#This Row],[_StartWorkday]]-1)</f>
        <v>0</v>
      </c>
      <c r="EA106" s="43" t="n">
        <f aca="false">Tasks[[#This Row],[_Res2Work]]*Tasks[[#This Row],[_LeafProgress]]</f>
        <v>0</v>
      </c>
      <c r="EB106" s="43" t="str">
        <f aca="false">IF(Tasks[[#This Row],[_Res3Text]]="","",IF(Tasks[[#This Row],[_Res3Row]]&gt;0,INDEX(res_Name,Tasks[[#This Row],[_Res3Row]]),TRIM(LEFT(Tasks[[#This Row],[_Res3Text]],FIND("[",Tasks[[#This Row],[_Res3Text]]&amp;"[")-1))))</f>
        <v/>
      </c>
      <c r="EC10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3" t="n">
        <f aca="false">IF(OR(NOT(Tasks[[#This Row],[_IsLeaf]]=1),Tasks[[#This Row],[_Res3Row]]=0),0,N(Tasks[[#This Row],[_Days]])*HoursPerDay*IF(Tasks[[#This Row],[_Res3Units]]="",DefaultUnits,Tasks[[#This Row],[_Res3Units]]))</f>
        <v>0</v>
      </c>
      <c r="EE106" s="43" t="n">
        <f aca="false">IF(AND(AND(Tasks[[#This Row],[_IsLeaf]]=1,Tasks[[#This Row],[_LeafTotalWork]]&gt;0),Tasks[[#This Row],[_Res3Work]]&gt;0),Tasks[[#This Row],[_Res3Work]]/(Tasks[[#This Row],[_FinishWorkday]]-Tasks[[#This Row],[_StartWorkday]]+1),0)</f>
        <v>0</v>
      </c>
      <c r="EF106" s="43" t="n">
        <f aca="false">Tasks[[#This Row],[_Res3WorkPerWD]]*MAX(0,Tasks[[#This Row],[_StartWorkday]]-1)</f>
        <v>0</v>
      </c>
      <c r="EG106" s="43" t="n">
        <f aca="false">Tasks[[#This Row],[_Res3Work]]*Tasks[[#This Row],[_LeafProgress]]</f>
        <v>0</v>
      </c>
      <c r="EH106" s="43" t="str">
        <f aca="false">IF(Tasks[[#This Row],[_Res4Text]]="","",IF(Tasks[[#This Row],[_Res4Row]]&gt;0,INDEX(res_Name,Tasks[[#This Row],[_Res4Row]]),TRIM(LEFT(Tasks[[#This Row],[_Res4Text]],FIND("[",Tasks[[#This Row],[_Res4Text]]&amp;"[")-1))))</f>
        <v/>
      </c>
      <c r="EI10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3" t="n">
        <f aca="false">IF(OR(NOT(Tasks[[#This Row],[_IsLeaf]]=1),Tasks[[#This Row],[_Res4Row]]=0),0,N(Tasks[[#This Row],[_Days]])*HoursPerDay*IF(Tasks[[#This Row],[_Res4Units]]="",DefaultUnits,Tasks[[#This Row],[_Res4Units]]))</f>
        <v>0</v>
      </c>
      <c r="EK106" s="43" t="n">
        <f aca="false">IF(AND(AND(Tasks[[#This Row],[_IsLeaf]]=1,Tasks[[#This Row],[_LeafTotalWork]]&gt;0),Tasks[[#This Row],[_Res4Work]]&gt;0),Tasks[[#This Row],[_Res4Work]]/(Tasks[[#This Row],[_FinishWorkday]]-Tasks[[#This Row],[_StartWorkday]]+1),0)</f>
        <v>0</v>
      </c>
      <c r="EL106" s="43" t="n">
        <f aca="false">Tasks[[#This Row],[_Res4WorkPerWD]]*MAX(0,Tasks[[#This Row],[_StartWorkday]]-1)</f>
        <v>0</v>
      </c>
      <c r="EM106" s="43" t="n">
        <f aca="false">Tasks[[#This Row],[_Res4Work]]*Tasks[[#This Row],[_LeafProgress]]</f>
        <v>0</v>
      </c>
      <c r="EN106" s="43" t="n">
        <f aca="false">IF(ISNUMBER(Tasks[[#This Row],[% Complete]]),Tasks[[#This Row],[% Complete]],IF(Tasks[[#This Row],[Stage]]="",0,IFERROR(INDEX(stg_Pct,MATCH(Tasks[[#This Row],[Stage]],stg_Name,0)),0)))</f>
        <v>0</v>
      </c>
      <c r="EO106" s="43" t="n">
        <f aca="false">IF(NOT(Tasks[[#This Row],[_IsLeaf]]=1),0,IF(N(Tasks[[#This Row],[Actual Finish]])&gt;0,1,MIN(1,Tasks[[#This Row],[_Pct]])))</f>
        <v>0</v>
      </c>
      <c r="EP106" s="43" t="n">
        <f aca="false">IF(OR(NOT(Tasks[[#This Row],[_IsLeaf]]=1),Tasks[[#This Row],[_Res1Row]]=0),0,N(Tasks[[#This Row],[_Days]])*HoursPerDay*IF(Tasks[[#This Row],[_Units1]]="",DefaultUnits,Tasks[[#This Row],[_Units1]]))</f>
        <v>0</v>
      </c>
      <c r="EQ106" s="43" t="n">
        <f aca="false">Tasks[[#This Row],[_LeafWork]]+Tasks[[#This Row],[_Res2Work]]+Tasks[[#This Row],[_Res3Work]]+Tasks[[#This Row],[_Res4Work]]</f>
        <v>0</v>
      </c>
      <c r="ER10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3" t="n">
        <f aca="false">IF(NOT(Tasks[[#This Row],[_IsLeaf]]=1),0,MAX(_xlfn.MAXIFS(Tasks[_Row],Tasks[_Pred1UID],Tasks[[#This Row],[UID]]),_xlfn.MAXIFS(Tasks[_Row],Tasks[_Pred2UID],Tasks[[#This Row],[UID]]),_xlfn.MAXIFS(Tasks[_Row],Tasks[_Pred3UID],Tasks[[#This Row],[UID]]),_xlfn.MAXIFS(Tasks[_Row],Tasks[_Pred4UID],Tasks[[#This Row],[UID]])))</f>
        <v>0</v>
      </c>
      <c r="FA10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91" t="str">
        <f aca="false">IF(NOT(Tasks[[#This Row],[_IsLeaf]]=1),"",IF(N(Tasks[[#This Row],[_Days]])&lt;=0,Tasks[[#This Row],[_LeafLateFinish]],WORKDAY.INTL(Tasks[[#This Row],[_LeafLateFinish]],-(Tasks[[#This Row],[_Days]]-1),WorkWeek,Holidays)))</f>
        <v/>
      </c>
      <c r="FD10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6" s="90" t="b">
        <f aca="false">AND(Tasks[[#This Row],[_IsLeaf]]=1,Tasks[[#This Row],[_LeafProgress]]&lt;1,N(Tasks[[#This Row],[_LeafTotalSlack]])&lt;=CriticalSlackDays)</f>
        <v>0</v>
      </c>
      <c r="FF106" s="43" t="n">
        <f aca="false">IF(AND(Tasks[[#This Row],[_IsLeaf]]=1,Tasks[[#This Row],[_ConstraintCode]]=1,Tasks[[#This Row],[Mode]]&lt;&gt;"Manual",N(Tasks[[#This Row],[Actual Start]])=0),MAX(0,N(Tasks[[#This Row],[Free Slack]])),0)</f>
        <v>0</v>
      </c>
      <c r="FG106" s="91" t="str">
        <f aca="false">IF(NOT(Tasks[[#This Row],[_IsLeaf]]=1),"",IF(Tasks[[#This Row],[_AlapShift]]=0,Tasks[[#This Row],[_LeafCalcStart]],WORKDAY.INTL(Tasks[[#This Row],[_LeafCalcStart]],Tasks[[#This Row],[_AlapShift]],WorkWeek,Holidays)))</f>
        <v/>
      </c>
      <c r="FH106" s="91" t="str">
        <f aca="false">IF(NOT(Tasks[[#This Row],[_IsLeaf]]=1),"",IF(Tasks[[#This Row],[_AlapShift]]=0,Tasks[[#This Row],[_LeafCalcFinish]],WORKDAY.INTL(Tasks[[#This Row],[_LeafCalcFinish]],Tasks[[#This Row],[_AlapShift]],WorkWeek,Holidays)))</f>
        <v/>
      </c>
      <c r="FI106" s="91" t="str">
        <f aca="false">IF(NOT(Tasks[[#This Row],[_IsLeaf]]=1),"",IF(Tasks[[#This Row],[_AlapShift]]=0,Tasks[[#This Row],[_LeafFcstStart]],WORKDAY.INTL(Tasks[[#This Row],[_LeafFcstStart]],Tasks[[#This Row],[_AlapShift]],WorkWeek,Holidays)))</f>
        <v/>
      </c>
      <c r="FJ106" s="91" t="str">
        <f aca="false">IF(NOT(Tasks[[#This Row],[_IsLeaf]]=1),"",IF(Tasks[[#This Row],[_AlapShift]]=0,Tasks[[#This Row],[_LeafFcstFinish]],WORKDAY.INTL(Tasks[[#This Row],[_LeafFcstFinish]],Tasks[[#This Row],[_AlapShift]],WorkWeek,Holidays)))</f>
        <v/>
      </c>
      <c r="FK106" s="91" t="str">
        <f aca="false">IF(Tasks[[#This Row],[Task Name]]="","",IF(Tasks[[#This Row],[_IsSummary]],MIN(INDEX(Tasks[_ShownCalcStart],Tasks[[#This Row],[_Row]]+1):INDEX(Tasks[_ShownCalcStart],Tasks[[#This Row],[_Row]]+Tasks[[#This Row],[_Descendants]])),Tasks[[#This Row],[_ShownCalcStart]]))</f>
        <v/>
      </c>
      <c r="FL106" s="91" t="str">
        <f aca="false">IF(Tasks[[#This Row],[Task Name]]="","",IF(Tasks[[#This Row],[_IsSummary]],MAX(INDEX(Tasks[_ShownCalcFinish],Tasks[[#This Row],[_Row]]+1):INDEX(Tasks[_ShownCalcFinish],Tasks[[#This Row],[_Row]]+Tasks[[#This Row],[_Descendants]])),Tasks[[#This Row],[_ShownCalcFinish]]))</f>
        <v/>
      </c>
      <c r="FM10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6" s="43" t="n">
        <f aca="false">IF(AND(Tasks[[#This Row],[_IsLeaf]]=1,Tasks[[#This Row],[_LeafTotalWork]]&gt;0),NETWORKDAYS.INTL(ProjectStart,Tasks[[#This Row],[_ShownFcstStart]],WorkWeek,Holidays),0)</f>
        <v>0</v>
      </c>
      <c r="FZ106" s="43" t="n">
        <f aca="false">IF(AND(Tasks[[#This Row],[_IsLeaf]]=1,Tasks[[#This Row],[_LeafTotalWork]]&gt;0),MAX(Tasks[[#This Row],[_StartWorkday]],NETWORKDAYS.INTL(ProjectStart,Tasks[[#This Row],[_ShownFcstFinish]],WorkWeek,Holidays)),0)</f>
        <v>0</v>
      </c>
      <c r="GA106" s="43" t="n">
        <f aca="false">IF(AND(Tasks[[#This Row],[_IsLeaf]]=1,Tasks[[#This Row],[_LeafTotalWork]]&gt;0),Tasks[[#This Row],[_LeafWork]]/(Tasks[[#This Row],[_FinishWorkday]]-Tasks[[#This Row],[_StartWorkday]]+1),0)</f>
        <v>0</v>
      </c>
      <c r="GB106" s="43" t="n">
        <f aca="false">Tasks[[#This Row],[_WorkPerWorkday]]*(Tasks[[#This Row],[_StartWorkday]]-1)</f>
        <v>-0</v>
      </c>
      <c r="GC106" s="43" t="n">
        <f aca="false">IF(Tasks[[#This Row],[_IsLeaf]]=1,MAX(N(Tasks[[#This Row],[_Days]]),0.1),0)</f>
        <v>0</v>
      </c>
      <c r="GD106" s="43" t="n">
        <f aca="false">Tasks[[#This Row],[_WeightDur]]*Tasks[[#This Row],[_LeafProgress]]</f>
        <v>0</v>
      </c>
      <c r="GE106" s="43" t="n">
        <f aca="false">Tasks[[#This Row],[_WeightDur]]*Tasks[[#This Row],[_PlannedPct]]</f>
        <v>0</v>
      </c>
      <c r="GF10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3" t="str">
        <f aca="false">IF(AND(Tasks[[#This Row],[_IsLeaf]]=1,N(Tasks[[#This Row],[_Days]])=0,Tasks[[#This Row],[_LeafProgress]]&lt;1),Tasks[[#This Row],[_ShownFcstFinish]]+Tasks[[#This Row],[_Row]]/100000,"")</f>
        <v/>
      </c>
      <c r="GH10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6" s="43" t="str">
        <f aca="false">IF(Tasks[[#This Row],[Task Name]]="","",LEFT(Tasks[[#This Row],[WBS]],FIND(".",Tasks[[#This Row],[WBS]]&amp;".")-1))</f>
        <v/>
      </c>
      <c r="GJ106" s="43" t="str">
        <f aca="false">IF(AND(Tasks[[#This Row],[Task Name]]&lt;&gt;"",Tasks[[#This Row],[_Level]]=1),Tasks[[#This Row],[_Row]],"")</f>
        <v/>
      </c>
      <c r="GK106" s="43" t="str">
        <f aca="false">IF(AND(Tasks[[#This Row],[_IsLeaf]]=1,N(Tasks[[#This Row],[_Days]])=0),Tasks[[#This Row],[Planned Finish]]+Tasks[[#This Row],[_Row]]/100000,"")</f>
        <v/>
      </c>
      <c r="GL106" s="43" t="str">
        <f aca="false">IF(AND(Tasks[[#This Row],[_IsLeaf]]=1,Tasks[[#This Row],[_LeafProgress]]&lt;1,OR(N(Tasks[[#This Row],[Finish Var]])&gt;0,Tasks[[#This Row],[Status]]="Late Start")),MAX(0,Tasks[[#This Row],[Finish Var]])+1-Tasks[[#This Row],[_Row]]/1000000,"")</f>
        <v/>
      </c>
      <c r="GM106" s="43" t="str">
        <f aca="false">IF(AND(Tasks[[#This Row],[_IsLeaf]]=1,N(Tasks[[#This Row],[Actual Start]])=0,Tasks[[#This Row],[_ShownFcstStart]]&gt;=StatusDate,Tasks[[#This Row],[_ShownFcstStart]]&lt;=LookaheadEnd),Tasks[[#This Row],[_ShownFcstStart]]+Tasks[[#This Row],[_Row]]/100000,"")</f>
        <v/>
      </c>
      <c r="GN106" s="43" t="str">
        <f aca="false">IF(AND(Tasks[[#This Row],[_IsLeaf]]=1,Tasks[[#This Row],[_LeafProgress]]&lt;1,Tasks[[#This Row],[_ShownFcstFinish]]&gt;=StatusDate,Tasks[[#This Row],[_ShownFcstFinish]]&lt;=LookaheadEnd),Tasks[[#This Row],[_ShownFcstFinish]]+Tasks[[#This Row],[_Row]]/100000,"")</f>
        <v/>
      </c>
      <c r="GO106" s="43" t="str">
        <f aca="false">IF(Tasks[[#This Row],[_LeafCritical]],Tasks[[#This Row],[_ShownFcstStart]]+Tasks[[#This Row],[_Row]]/100000,"")</f>
        <v/>
      </c>
      <c r="GP106" s="43" t="n">
        <f aca="false">Tasks[[#This Row],[_LeafWork]]*Tasks[[#This Row],[_LeafProgress]]</f>
        <v>0</v>
      </c>
      <c r="GQ106" s="91" t="str">
        <f aca="false">IF(AND(Tasks[[#This Row],[_IsLeaf]]=1,Tasks[[#This Row],[_LeafProgress]]&gt;=1),IF(N(Tasks[[#This Row],[Actual Finish]])&gt;0,Tasks[[#This Row],[Actual Finish]],Tasks[[#This Row],[_ShownFcstFinish]]),"")</f>
        <v/>
      </c>
      <c r="GR106" s="43" t="n">
        <f aca="false">IF(Tasks[[#This Row],[_IsLeaf]]=1,N(Tasks[[#This Row],[Story Points]]),0)</f>
        <v>0</v>
      </c>
      <c r="GS106" s="43" t="str">
        <f aca="false">""</f>
        <v/>
      </c>
      <c r="GT106" s="90" t="b">
        <f aca="false">IF(Tasks[[#This Row],[Task Name]]="",FALSE(),AND(Tasks[[#This Row],[_IsLeaf]]=1,N(Tasks[[#This Row],[_Days]])=0))</f>
        <v>0</v>
      </c>
      <c r="GU106" s="91" t="n">
        <f aca="false">IF(Tasks[[#This Row],[Task Name]]="",0,IF(AND(Tasks[[#This Row],[_IsLeaf]]=1,NOT(Tasks[[#This Row],[_IsMilestone]]),N(Tasks[[#This Row],[Progress]])&gt;0),Tasks[[#This Row],[Start]],0))</f>
        <v>0</v>
      </c>
      <c r="GV106" s="91" t="n">
        <f aca="false">IF(Tasks[[#This Row],[_DoneFrom]]=0,0,IF(Tasks[[#This Row],[Progress]]&gt;=1,Tasks[[#This Row],[Finish]],MAX(Tasks[[#This Row],[_DoneFrom]],Tasks[[#This Row],[Start]]+ROUND((Tasks[[#This Row],[Finish]]-Tasks[[#This Row],[Start]]+1)*Tasks[[#This Row],[Progress]],0)-1)))</f>
        <v>0</v>
      </c>
      <c r="GW106" s="91" t="n">
        <f aca="false">IF(Tasks[[#This Row],[Task Name]]="",0,IF(OR(NOT(Tasks[[#This Row],[_IsLeaf]]=1),Tasks[[#This Row],[_IsMilestone]],N(Tasks[[#This Row],[Progress]])&gt;=1),0,IF(Tasks[[#This Row],[_DoneTo]]&gt;0,Tasks[[#This Row],[_DoneTo]]+1,Tasks[[#This Row],[Start]])))</f>
        <v>0</v>
      </c>
      <c r="GX106" s="91" t="n">
        <f aca="false">IF(Tasks[[#This Row],[_RemFrom]]=0,0,Tasks[[#This Row],[Finish]])</f>
        <v>0</v>
      </c>
      <c r="GY106" s="90" t="b">
        <f aca="false">IF(Tasks[[#This Row],[Task Name]]="",FALSE(),OR(NOT(BaselineSet),N(Tasks[[#This Row],[Baseline Start]])&gt;0))</f>
        <v>0</v>
      </c>
      <c r="GZ10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92" t="str">
        <f aca="false">IF(Tasks[[#This Row],[_IsLeaf]]=1,Tasks[[#This Row],[_Row]],"")</f>
        <v/>
      </c>
      <c r="HD106" s="92" t="str">
        <f aca="false">IFERROR(INDEX(Tasks[UID],SMALL(Tasks[_PickKey],Tasks[[#This Row],[_Row]]))&amp;" "&amp;INDEX(Tasks[Task Name],SMALL(Tasks[_PickKey],Tasks[[#This Row],[_Row]])),"")</f>
        <v/>
      </c>
      <c r="HE106" s="43" t="str">
        <f aca="false">IF(Tasks[[#This Row],[Task Name]]="","",IF(Tasks[[#This Row],[_IsSummary]],NETWORKDAYS.INTL(Tasks[[#This Row],[Start]],Tasks[[#This Row],[Finish]],WorkWeek,Holidays),N(Tasks[[#This Row],[_Days]])))</f>
        <v/>
      </c>
      <c r="HF106" s="43" t="n">
        <f aca="false">IF(Tasks[[#This Row],[Expected]]="",0,((Tasks[[#This Row],[Pessimistic]]-Tasks[[#This Row],[Optimistic]])/6)^2)</f>
        <v>0</v>
      </c>
      <c r="HG106" s="43" t="n">
        <f aca="false">IF(Tasks[[#This Row],[Expected]]="",0,Tasks[[#This Row],[Expected]]-N(Tasks[[#This Row],[_Days]]))</f>
        <v>0</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4"/>
      <c r="U107" s="23"/>
      <c r="V107" s="84"/>
      <c r="W107" s="23"/>
      <c r="X107" s="84"/>
      <c r="Y107" s="23"/>
      <c r="Z107" s="84"/>
      <c r="AA107" s="23"/>
      <c r="AB107" s="23"/>
      <c r="AC107" s="7"/>
      <c r="AD107" s="7"/>
      <c r="AE107" s="63" t="str">
        <f aca="false">IF(Tasks[[#This Row],[Task Name]]="","",IF(Tasks[[#This Row],[_IsSummary]],MIN(INDEX(Tasks[_ShownFcstStart],Tasks[[#This Row],[_Row]]+1):INDEX(Tasks[_ShownFcstStart],Tasks[[#This Row],[_Row]]+Tasks[[#This Row],[_Descendants]])),Tasks[[#This Row],[_ShownFcstStart]]))</f>
        <v/>
      </c>
      <c r="AF107" s="63"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7" s="7"/>
      <c r="AK107" s="22"/>
      <c r="AL107" s="23"/>
      <c r="AM107" s="7"/>
      <c r="AN107" s="47"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3" t="str">
        <f aca="false">IF(Tasks[[#This Row],[Task Name]]="","",IF(N(Tasks[[#This Row],[Baseline Start]])&gt;0,Tasks[[#This Row],[Baseline Start]],Tasks[[#This Row],[_CalcStart]]))</f>
        <v/>
      </c>
      <c r="AR107" s="63" t="str">
        <f aca="false">IF(Tasks[[#This Row],[Task Name]]="","",IF(N(Tasks[[#This Row],[Baseline Finish]])&gt;0,Tasks[[#This Row],[Baseline Finish]],Tasks[[#This Row],[_CalcFinish]]))</f>
        <v/>
      </c>
      <c r="AS107" s="47" t="str">
        <f aca="false">IF(Tasks[[#This Row],[Task Name]]="","",IF(Tasks[[#This Row],[Start]]&gt;=Tasks[[#This Row],[Planned Start]],NETWORKDAYS.INTL(Tasks[[#This Row],[Planned Start]],Tasks[[#This Row],[Start]],WorkWeek,Holidays)-1,1-NETWORKDAYS.INTL(Tasks[[#This Row],[Start]],Tasks[[#This Row],[Planned Start]],WorkWeek,Holidays)))</f>
        <v/>
      </c>
      <c r="AT107" s="63" t="str">
        <f aca="false">IF(Tasks[[#This Row],[Task Name]]="","",IF(Tasks[[#This Row],[_IsSummary]],MIN(INDEX(Tasks[_LeafLateStart],Tasks[[#This Row],[_Row]]+1):INDEX(Tasks[_LeafLateStart],Tasks[[#This Row],[_Row]]+Tasks[[#This Row],[_Descendants]])),Tasks[[#This Row],[_LeafLateStart]]))</f>
        <v/>
      </c>
      <c r="AU107" s="63" t="str">
        <f aca="false">IF(Tasks[[#This Row],[Task Name]]="","",IF(Tasks[[#This Row],[_IsSummary]],MAX(INDEX(Tasks[_LeafLateFinish],Tasks[[#This Row],[_Row]]+1):INDEX(Tasks[_LeafLateFinish],Tasks[[#This Row],[_Row]]+Tasks[[#This Row],[_Descendants]])),Tasks[[#This Row],[_LeafLateFinish]]))</f>
        <v/>
      </c>
      <c r="AV107" s="47"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5"/>
      <c r="BA10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6"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7"/>
      <c r="BJ107" s="22"/>
      <c r="BK107" s="47" t="str">
        <f aca="false">IF(OR(Tasks[[#This Row],[Task Name]]="",Tasks[[#This Row],[Baseline Duration]]=""),"",Tasks[[#This Row],[_SpanDays]]-N(Tasks[[#This Row],[Baseline Duration]]))</f>
        <v/>
      </c>
      <c r="BL107" s="86" t="str">
        <f aca="false">IF(OR(Tasks[[#This Row],[Task Name]]="",Tasks[[#This Row],[Baseline Work]]=""),"",Tasks[[#This Row],[Work]]-N(Tasks[[#This Row],[Baseline Work]]))</f>
        <v/>
      </c>
      <c r="BM107" s="63" t="str">
        <f aca="false">IF(Tasks[[#This Row],[Task Name]]="","",IF(OR(TakeBaseline="Yes",N(Tasks[[#This Row],[Baseline Start]])=0),Tasks[[#This Row],[Start]],Tasks[[#This Row],[Baseline Start]]))</f>
        <v/>
      </c>
      <c r="BN107" s="63" t="str">
        <f aca="false">IF(Tasks[[#This Row],[Task Name]]="","",IF(OR(TakeBaseline="Yes",N(Tasks[[#This Row],[Baseline Finish]])=0),Tasks[[#This Row],[Finish]],Tasks[[#This Row],[Baseline Finish]]))</f>
        <v/>
      </c>
      <c r="BO107" s="21" t="str">
        <f aca="false">IF(Tasks[[#This Row],[Task Name]]="","",IF(OR(TakeBaseline="Yes",N(Tasks[[#This Row],[Baseline Duration]])=0),Tasks[[#This Row],[_SpanDays]],Tasks[[#This Row],[Baseline Duration]]))</f>
        <v/>
      </c>
      <c r="BP107" s="86" t="str">
        <f aca="false">IF(Tasks[[#This Row],[Task Name]]="","",IF(OR(TakeBaseline="Yes",N(Tasks[[#This Row],[Baseline Work]])=0),Tasks[[#This Row],[Work]],Tasks[[#This Row],[Baseline Work]]))</f>
        <v/>
      </c>
      <c r="BQ107" s="7"/>
      <c r="BR107" s="7"/>
      <c r="BS107" s="22"/>
      <c r="BT107" s="88"/>
      <c r="BU107" s="23"/>
      <c r="BV107" s="23"/>
      <c r="BW107" s="23"/>
      <c r="BX107" s="89" t="str">
        <f aca="false">IF(AND(Tasks[[#This Row],[_IsLeaf]]=1,ISNUMBER(Tasks[[#This Row],[Optimistic]]),ISNUMBER(Tasks[[#This Row],[Pessimistic]])),ROUND((Tasks[[#This Row],[Optimistic]]+4*N(Tasks[[#This Row],[_Days]])+Tasks[[#This Row],[Pessimistic]])/6,1),"")</f>
        <v/>
      </c>
      <c r="BY107" s="87"/>
      <c r="BZ107" s="87"/>
      <c r="CA107" s="22"/>
      <c r="CB107" s="43" t="str">
        <f aca="false">IF(Tasks[[#This Row],[Task Name]]="","",MAX(1,N(Tasks[[#This Row],[Level]])))</f>
        <v/>
      </c>
      <c r="CC107" s="43" t="n">
        <f aca="false">ROW()-ROW(Tasks[[#Headers],[ID]])</f>
        <v>102</v>
      </c>
      <c r="CD107" s="43" t="n">
        <f aca="false">IF(OR(Tasks[[#This Row],[Task Name]]="",Tasks[[#This Row],[_Level]]&lt;=1),0,IFERROR(LOOKUP(2,1/(Tasks[[#Headers],[_Level]]:Tasks[[#This Row],[_Level]]=Tasks[[#This Row],[_Level]]-1),ROW(Tasks[[#Headers],[_Level]]:Tasks[[#This Row],[_Level]])),0))</f>
        <v>0</v>
      </c>
      <c r="CE107" s="43" t="n">
        <f aca="false">IFERROR(N(INDEX(Tasks[_Level],Tasks[[#This Row],[_Row]]+1)),0)</f>
        <v>0</v>
      </c>
      <c r="CF107" s="90" t="b">
        <f aca="false">AND(Tasks[[#This Row],[Task Name]]&lt;&gt;"",Tasks[[#This Row],[_NextLevel]]&gt;Tasks[[#This Row],[_Level]])</f>
        <v>0</v>
      </c>
      <c r="CG107" s="43" t="n">
        <f aca="false">IF(Tasks[[#This Row],[_IsSummary]],COUNTIF(Tasks[WBS],Tasks[[#This Row],[WBS]]&amp;".*"),0)</f>
        <v>0</v>
      </c>
      <c r="CH107" s="43" t="n">
        <f aca="false">IF(AND(Tasks[[#This Row],[Task Name]]&lt;&gt;"",NOT(Tasks[[#This Row],[_IsSummary]])),1,0)</f>
        <v>0</v>
      </c>
      <c r="CI107" s="43" t="n">
        <f aca="false">IF(N(Tasks[[#This Row],[_Pred1UID]])=0,0,IFERROR(MATCH(Tasks[[#This Row],[_Pred1UID]],Tasks[UID],0),-1))</f>
        <v>0</v>
      </c>
      <c r="CJ107" s="43" t="n">
        <f aca="false">IF(N(Tasks[[#This Row],[_Pred2UID]])=0,0,IFERROR(MATCH(Tasks[[#This Row],[_Pred2UID]],Tasks[UID],0),-1))</f>
        <v>0</v>
      </c>
      <c r="CK107" s="43" t="n">
        <f aca="false">IF(N(Tasks[[#This Row],[_Pred3UID]])=0,0,IFERROR(MATCH(Tasks[[#This Row],[_Pred3UID]],Tasks[UID],0),-1))</f>
        <v>0</v>
      </c>
      <c r="CL107" s="43" t="n">
        <f aca="false">IF(N(Tasks[[#This Row],[_Pred4UID]])=0,0,IFERROR(MATCH(Tasks[[#This Row],[_Pred4UID]],Tasks[UID],0),-1))</f>
        <v>0</v>
      </c>
      <c r="CM10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7" s="91" t="n">
        <f aca="false">IF(OR(Tasks[[#This Row],[_ConstraintCode]]=2,Tasks[[#This Row],[_ConstraintCode]]=3,Tasks[[#This Row],[_ConstraintCode]]=4,Tasks[[#This Row],[_ConstraintCode]]=6),Tasks[[#This Row],[_ConstraintStart]],0)</f>
        <v>0</v>
      </c>
      <c r="CP107" s="91" t="n">
        <f aca="false">IF(OR(Tasks[[#This Row],[_ConstraintCode]]=2,Tasks[[#This Row],[_ConstraintCode]]=3,Tasks[[#This Row],[_ConstraintCode]]=5,Tasks[[#This Row],[_ConstraintCode]]=7),Tasks[[#This Row],[_ConstraintStart]],2958465)</f>
        <v>2958465</v>
      </c>
      <c r="CQ10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91" t="str">
        <f aca="false">IF(NOT(Tasks[[#This Row],[_IsLeaf]]=1),"",IF(N(Tasks[[#This Row],[_Days]])&lt;=0,Tasks[[#This Row],[_LeafCalcStart]],WORKDAY.INTL(Tasks[[#This Row],[_LeafCalcStart]],Tasks[[#This Row],[_Days]]-1,WorkWeek,Holidays)))</f>
        <v/>
      </c>
      <c r="CS10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3" t="str">
        <f aca="false">IF(Tasks[[#This Row],[_Predecessors]]="","",TRIM(MID(SUBSTITUTE(SUBSTITUTE(SUBSTITUTE(UPPER(Tasks[[#This Row],[_Predecessors]]),";",",")," ",""),",",REPT(" ",99)),1,99)))</f>
        <v/>
      </c>
      <c r="CV107" s="43" t="str">
        <f aca="false">IF(Tasks[[#This Row],[_Pred1Text]]="","",IFERROR(VALUE(LEFT(Tasks[[#This Row],[_Pred1Text]],MIN(FIND("F",Tasks[[#This Row],[_Pred1Text]]&amp;"F"),FIND("S",Tasks[[#This Row],[_Pred1Text]]&amp;"S"),FIND("+",Tasks[[#This Row],[_Pred1Text]]&amp;"+"),FIND("-",Tasks[[#This Row],[_Pred1Text]]&amp;"-"))-1)),""))</f>
        <v/>
      </c>
      <c r="CW10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3" t="str">
        <f aca="false">IF(Tasks[[#This Row],[_Pred1Text]]="","",TRIM(MID(SUBSTITUTE(SUBSTITUTE(SUBSTITUTE(UPPER(Tasks[[#This Row],[_Predecessors]]),";",",")," ",""),",",REPT(" ",99)),100,99)))</f>
        <v/>
      </c>
      <c r="CZ107" s="43" t="str">
        <f aca="false">IF(Tasks[[#This Row],[_Pred2Text]]="","",IFERROR(VALUE(LEFT(Tasks[[#This Row],[_Pred2Text]],MIN(FIND("F",Tasks[[#This Row],[_Pred2Text]]&amp;"F"),FIND("S",Tasks[[#This Row],[_Pred2Text]]&amp;"S"),FIND("+",Tasks[[#This Row],[_Pred2Text]]&amp;"+"),FIND("-",Tasks[[#This Row],[_Pred2Text]]&amp;"-"))-1)),""))</f>
        <v/>
      </c>
      <c r="DA10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3" t="str">
        <f aca="false">IF(Tasks[[#This Row],[_Pred2Text]]="","",TRIM(MID(SUBSTITUTE(SUBSTITUTE(SUBSTITUTE(UPPER(Tasks[[#This Row],[_Predecessors]]),";",",")," ",""),",",REPT(" ",99)),199,99)))</f>
        <v/>
      </c>
      <c r="DD107" s="43" t="str">
        <f aca="false">IF(Tasks[[#This Row],[_Pred3Text]]="","",IFERROR(VALUE(LEFT(Tasks[[#This Row],[_Pred3Text]],MIN(FIND("F",Tasks[[#This Row],[_Pred3Text]]&amp;"F"),FIND("S",Tasks[[#This Row],[_Pred3Text]]&amp;"S"),FIND("+",Tasks[[#This Row],[_Pred3Text]]&amp;"+"),FIND("-",Tasks[[#This Row],[_Pred3Text]]&amp;"-"))-1)),""))</f>
        <v/>
      </c>
      <c r="DE10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3" t="str">
        <f aca="false">IF(Tasks[[#This Row],[_Pred3Text]]="","",TRIM(MID(SUBSTITUTE(SUBSTITUTE(SUBSTITUTE(UPPER(Tasks[[#This Row],[_Predecessors]]),";",",")," ",""),",",REPT(" ",99)),298,99)))</f>
        <v/>
      </c>
      <c r="DH107" s="43" t="str">
        <f aca="false">IF(Tasks[[#This Row],[_Pred4Text]]="","",IFERROR(VALUE(LEFT(Tasks[[#This Row],[_Pred4Text]],MIN(FIND("F",Tasks[[#This Row],[_Pred4Text]]&amp;"F"),FIND("S",Tasks[[#This Row],[_Pred4Text]]&amp;"S"),FIND("+",Tasks[[#This Row],[_Pred4Text]]&amp;"+"),FIND("-",Tasks[[#This Row],[_Pred4Text]]&amp;"-"))-1)),""))</f>
        <v/>
      </c>
      <c r="DI10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3" t="str">
        <f aca="false">IF(OR(Tasks[[#This Row],[Task Name]]="",Tasks[[#This Row],[_Resources]]=""),"",TRIM(MID(SUBSTITUTE(Tasks[[#This Row],[_Resources]],",",REPT(" ",99)),1,99)))</f>
        <v/>
      </c>
      <c r="DL107" s="43" t="str">
        <f aca="false">IF(Tasks[[#This Row],[_Res1Text]]="","",TRIM(MID(SUBSTITUTE(Tasks[[#This Row],[_Resources]],",",REPT(" ",99)),100,99)))</f>
        <v/>
      </c>
      <c r="DM107" s="43" t="str">
        <f aca="false">IF(Tasks[[#This Row],[_Res2Text]]="","",TRIM(MID(SUBSTITUTE(Tasks[[#This Row],[_Resources]],",",REPT(" ",99)),199,99)))</f>
        <v/>
      </c>
      <c r="DN107" s="43" t="str">
        <f aca="false">IF(Tasks[[#This Row],[_Res3Text]]="","",TRIM(MID(SUBSTITUTE(Tasks[[#This Row],[_Resources]],",",REPT(" ",99)),298,99)))</f>
        <v/>
      </c>
      <c r="DO107" s="43" t="n">
        <f aca="false">IF(Tasks[[#This Row],[_Res1Text]]="",0,IFERROR(MATCH(TRIM(LEFT(Tasks[[#This Row],[_Res1Text]],FIND("[",Tasks[[#This Row],[_Res1Text]]&amp;"[")-1)),res_Name,0),IFERROR(MATCH(TRIM(LEFT(Tasks[[#This Row],[_Res1Text]],FIND("[",Tasks[[#This Row],[_Res1Text]]&amp;"[")-1)),res_Initials,0),0)))</f>
        <v>0</v>
      </c>
      <c r="DP107" s="43" t="n">
        <f aca="false">IF(Tasks[[#This Row],[_Res2Text]]="",0,IFERROR(MATCH(TRIM(LEFT(Tasks[[#This Row],[_Res2Text]],FIND("[",Tasks[[#This Row],[_Res2Text]]&amp;"[")-1)),res_Name,0),IFERROR(MATCH(TRIM(LEFT(Tasks[[#This Row],[_Res2Text]],FIND("[",Tasks[[#This Row],[_Res2Text]]&amp;"[")-1)),res_Initials,0),0)))</f>
        <v>0</v>
      </c>
      <c r="DQ107" s="43" t="n">
        <f aca="false">IF(Tasks[[#This Row],[_Res3Text]]="",0,IFERROR(MATCH(TRIM(LEFT(Tasks[[#This Row],[_Res3Text]],FIND("[",Tasks[[#This Row],[_Res3Text]]&amp;"[")-1)),res_Name,0),IFERROR(MATCH(TRIM(LEFT(Tasks[[#This Row],[_Res3Text]],FIND("[",Tasks[[#This Row],[_Res3Text]]&amp;"[")-1)),res_Initials,0),0)))</f>
        <v>0</v>
      </c>
      <c r="DR107" s="43" t="n">
        <f aca="false">IF(Tasks[[#This Row],[_Res4Text]]="",0,IFERROR(MATCH(TRIM(LEFT(Tasks[[#This Row],[_Res4Text]],FIND("[",Tasks[[#This Row],[_Res4Text]]&amp;"[")-1)),res_Name,0),IFERROR(MATCH(TRIM(LEFT(Tasks[[#This Row],[_Res4Text]],FIND("[",Tasks[[#This Row],[_Res4Text]]&amp;"[")-1)),res_Initials,0),0)))</f>
        <v>0</v>
      </c>
      <c r="DS107" s="43" t="str">
        <f aca="false">IF(Tasks[[#This Row],[_Res1Text]]="","",IF(Tasks[[#This Row],[_Res1Row]]&gt;0,INDEX(res_Name,Tasks[[#This Row],[_Res1Row]]),TRIM(LEFT(Tasks[[#This Row],[_Res1Text]],FIND("[",Tasks[[#This Row],[_Res1Text]]&amp;"[")-1))))</f>
        <v/>
      </c>
      <c r="DT10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3" t="n">
        <f aca="false">IF(NOT(Tasks[[#This Row],[_IsLeaf]]=1),0,(Tasks[[#This Row],[_Resource1]]&lt;&gt;"")+(Tasks[[#This Row],[_Res2]]&lt;&gt;"")+(Tasks[[#This Row],[_Res3]]&lt;&gt;"")+(Tasks[[#This Row],[_Res4]]&lt;&gt;""))</f>
        <v>0</v>
      </c>
      <c r="DV107" s="43" t="str">
        <f aca="false">IF(Tasks[[#This Row],[_Res2Text]]="","",IF(Tasks[[#This Row],[_Res2Row]]&gt;0,INDEX(res_Name,Tasks[[#This Row],[_Res2Row]]),TRIM(LEFT(Tasks[[#This Row],[_Res2Text]],FIND("[",Tasks[[#This Row],[_Res2Text]]&amp;"[")-1))))</f>
        <v/>
      </c>
      <c r="DW10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3" t="n">
        <f aca="false">IF(OR(NOT(Tasks[[#This Row],[_IsLeaf]]=1),Tasks[[#This Row],[_Res2Row]]=0),0,N(Tasks[[#This Row],[_Days]])*HoursPerDay*IF(Tasks[[#This Row],[_Res2Units]]="",DefaultUnits,Tasks[[#This Row],[_Res2Units]]))</f>
        <v>0</v>
      </c>
      <c r="DY107" s="43" t="n">
        <f aca="false">IF(AND(AND(Tasks[[#This Row],[_IsLeaf]]=1,Tasks[[#This Row],[_LeafTotalWork]]&gt;0),Tasks[[#This Row],[_Res2Work]]&gt;0),Tasks[[#This Row],[_Res2Work]]/(Tasks[[#This Row],[_FinishWorkday]]-Tasks[[#This Row],[_StartWorkday]]+1),0)</f>
        <v>0</v>
      </c>
      <c r="DZ107" s="43" t="n">
        <f aca="false">Tasks[[#This Row],[_Res2WorkPerWD]]*MAX(0,Tasks[[#This Row],[_StartWorkday]]-1)</f>
        <v>0</v>
      </c>
      <c r="EA107" s="43" t="n">
        <f aca="false">Tasks[[#This Row],[_Res2Work]]*Tasks[[#This Row],[_LeafProgress]]</f>
        <v>0</v>
      </c>
      <c r="EB107" s="43" t="str">
        <f aca="false">IF(Tasks[[#This Row],[_Res3Text]]="","",IF(Tasks[[#This Row],[_Res3Row]]&gt;0,INDEX(res_Name,Tasks[[#This Row],[_Res3Row]]),TRIM(LEFT(Tasks[[#This Row],[_Res3Text]],FIND("[",Tasks[[#This Row],[_Res3Text]]&amp;"[")-1))))</f>
        <v/>
      </c>
      <c r="EC10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3" t="n">
        <f aca="false">IF(OR(NOT(Tasks[[#This Row],[_IsLeaf]]=1),Tasks[[#This Row],[_Res3Row]]=0),0,N(Tasks[[#This Row],[_Days]])*HoursPerDay*IF(Tasks[[#This Row],[_Res3Units]]="",DefaultUnits,Tasks[[#This Row],[_Res3Units]]))</f>
        <v>0</v>
      </c>
      <c r="EE107" s="43" t="n">
        <f aca="false">IF(AND(AND(Tasks[[#This Row],[_IsLeaf]]=1,Tasks[[#This Row],[_LeafTotalWork]]&gt;0),Tasks[[#This Row],[_Res3Work]]&gt;0),Tasks[[#This Row],[_Res3Work]]/(Tasks[[#This Row],[_FinishWorkday]]-Tasks[[#This Row],[_StartWorkday]]+1),0)</f>
        <v>0</v>
      </c>
      <c r="EF107" s="43" t="n">
        <f aca="false">Tasks[[#This Row],[_Res3WorkPerWD]]*MAX(0,Tasks[[#This Row],[_StartWorkday]]-1)</f>
        <v>0</v>
      </c>
      <c r="EG107" s="43" t="n">
        <f aca="false">Tasks[[#This Row],[_Res3Work]]*Tasks[[#This Row],[_LeafProgress]]</f>
        <v>0</v>
      </c>
      <c r="EH107" s="43" t="str">
        <f aca="false">IF(Tasks[[#This Row],[_Res4Text]]="","",IF(Tasks[[#This Row],[_Res4Row]]&gt;0,INDEX(res_Name,Tasks[[#This Row],[_Res4Row]]),TRIM(LEFT(Tasks[[#This Row],[_Res4Text]],FIND("[",Tasks[[#This Row],[_Res4Text]]&amp;"[")-1))))</f>
        <v/>
      </c>
      <c r="EI10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3" t="n">
        <f aca="false">IF(OR(NOT(Tasks[[#This Row],[_IsLeaf]]=1),Tasks[[#This Row],[_Res4Row]]=0),0,N(Tasks[[#This Row],[_Days]])*HoursPerDay*IF(Tasks[[#This Row],[_Res4Units]]="",DefaultUnits,Tasks[[#This Row],[_Res4Units]]))</f>
        <v>0</v>
      </c>
      <c r="EK107" s="43" t="n">
        <f aca="false">IF(AND(AND(Tasks[[#This Row],[_IsLeaf]]=1,Tasks[[#This Row],[_LeafTotalWork]]&gt;0),Tasks[[#This Row],[_Res4Work]]&gt;0),Tasks[[#This Row],[_Res4Work]]/(Tasks[[#This Row],[_FinishWorkday]]-Tasks[[#This Row],[_StartWorkday]]+1),0)</f>
        <v>0</v>
      </c>
      <c r="EL107" s="43" t="n">
        <f aca="false">Tasks[[#This Row],[_Res4WorkPerWD]]*MAX(0,Tasks[[#This Row],[_StartWorkday]]-1)</f>
        <v>0</v>
      </c>
      <c r="EM107" s="43" t="n">
        <f aca="false">Tasks[[#This Row],[_Res4Work]]*Tasks[[#This Row],[_LeafProgress]]</f>
        <v>0</v>
      </c>
      <c r="EN107" s="43" t="n">
        <f aca="false">IF(ISNUMBER(Tasks[[#This Row],[% Complete]]),Tasks[[#This Row],[% Complete]],IF(Tasks[[#This Row],[Stage]]="",0,IFERROR(INDEX(stg_Pct,MATCH(Tasks[[#This Row],[Stage]],stg_Name,0)),0)))</f>
        <v>0</v>
      </c>
      <c r="EO107" s="43" t="n">
        <f aca="false">IF(NOT(Tasks[[#This Row],[_IsLeaf]]=1),0,IF(N(Tasks[[#This Row],[Actual Finish]])&gt;0,1,MIN(1,Tasks[[#This Row],[_Pct]])))</f>
        <v>0</v>
      </c>
      <c r="EP107" s="43" t="n">
        <f aca="false">IF(OR(NOT(Tasks[[#This Row],[_IsLeaf]]=1),Tasks[[#This Row],[_Res1Row]]=0),0,N(Tasks[[#This Row],[_Days]])*HoursPerDay*IF(Tasks[[#This Row],[_Units1]]="",DefaultUnits,Tasks[[#This Row],[_Units1]]))</f>
        <v>0</v>
      </c>
      <c r="EQ107" s="43" t="n">
        <f aca="false">Tasks[[#This Row],[_LeafWork]]+Tasks[[#This Row],[_Res2Work]]+Tasks[[#This Row],[_Res3Work]]+Tasks[[#This Row],[_Res4Work]]</f>
        <v>0</v>
      </c>
      <c r="ER10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3" t="n">
        <f aca="false">IF(NOT(Tasks[[#This Row],[_IsLeaf]]=1),0,MAX(_xlfn.MAXIFS(Tasks[_Row],Tasks[_Pred1UID],Tasks[[#This Row],[UID]]),_xlfn.MAXIFS(Tasks[_Row],Tasks[_Pred2UID],Tasks[[#This Row],[UID]]),_xlfn.MAXIFS(Tasks[_Row],Tasks[_Pred3UID],Tasks[[#This Row],[UID]]),_xlfn.MAXIFS(Tasks[_Row],Tasks[_Pred4UID],Tasks[[#This Row],[UID]])))</f>
        <v>0</v>
      </c>
      <c r="FA10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91" t="str">
        <f aca="false">IF(NOT(Tasks[[#This Row],[_IsLeaf]]=1),"",IF(N(Tasks[[#This Row],[_Days]])&lt;=0,Tasks[[#This Row],[_LeafLateFinish]],WORKDAY.INTL(Tasks[[#This Row],[_LeafLateFinish]],-(Tasks[[#This Row],[_Days]]-1),WorkWeek,Holidays)))</f>
        <v/>
      </c>
      <c r="FD10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7" s="90" t="b">
        <f aca="false">AND(Tasks[[#This Row],[_IsLeaf]]=1,Tasks[[#This Row],[_LeafProgress]]&lt;1,N(Tasks[[#This Row],[_LeafTotalSlack]])&lt;=CriticalSlackDays)</f>
        <v>0</v>
      </c>
      <c r="FF107" s="43" t="n">
        <f aca="false">IF(AND(Tasks[[#This Row],[_IsLeaf]]=1,Tasks[[#This Row],[_ConstraintCode]]=1,Tasks[[#This Row],[Mode]]&lt;&gt;"Manual",N(Tasks[[#This Row],[Actual Start]])=0),MAX(0,N(Tasks[[#This Row],[Free Slack]])),0)</f>
        <v>0</v>
      </c>
      <c r="FG107" s="91" t="str">
        <f aca="false">IF(NOT(Tasks[[#This Row],[_IsLeaf]]=1),"",IF(Tasks[[#This Row],[_AlapShift]]=0,Tasks[[#This Row],[_LeafCalcStart]],WORKDAY.INTL(Tasks[[#This Row],[_LeafCalcStart]],Tasks[[#This Row],[_AlapShift]],WorkWeek,Holidays)))</f>
        <v/>
      </c>
      <c r="FH107" s="91" t="str">
        <f aca="false">IF(NOT(Tasks[[#This Row],[_IsLeaf]]=1),"",IF(Tasks[[#This Row],[_AlapShift]]=0,Tasks[[#This Row],[_LeafCalcFinish]],WORKDAY.INTL(Tasks[[#This Row],[_LeafCalcFinish]],Tasks[[#This Row],[_AlapShift]],WorkWeek,Holidays)))</f>
        <v/>
      </c>
      <c r="FI107" s="91" t="str">
        <f aca="false">IF(NOT(Tasks[[#This Row],[_IsLeaf]]=1),"",IF(Tasks[[#This Row],[_AlapShift]]=0,Tasks[[#This Row],[_LeafFcstStart]],WORKDAY.INTL(Tasks[[#This Row],[_LeafFcstStart]],Tasks[[#This Row],[_AlapShift]],WorkWeek,Holidays)))</f>
        <v/>
      </c>
      <c r="FJ107" s="91" t="str">
        <f aca="false">IF(NOT(Tasks[[#This Row],[_IsLeaf]]=1),"",IF(Tasks[[#This Row],[_AlapShift]]=0,Tasks[[#This Row],[_LeafFcstFinish]],WORKDAY.INTL(Tasks[[#This Row],[_LeafFcstFinish]],Tasks[[#This Row],[_AlapShift]],WorkWeek,Holidays)))</f>
        <v/>
      </c>
      <c r="FK107" s="91" t="str">
        <f aca="false">IF(Tasks[[#This Row],[Task Name]]="","",IF(Tasks[[#This Row],[_IsSummary]],MIN(INDEX(Tasks[_ShownCalcStart],Tasks[[#This Row],[_Row]]+1):INDEX(Tasks[_ShownCalcStart],Tasks[[#This Row],[_Row]]+Tasks[[#This Row],[_Descendants]])),Tasks[[#This Row],[_ShownCalcStart]]))</f>
        <v/>
      </c>
      <c r="FL107" s="91" t="str">
        <f aca="false">IF(Tasks[[#This Row],[Task Name]]="","",IF(Tasks[[#This Row],[_IsSummary]],MAX(INDEX(Tasks[_ShownCalcFinish],Tasks[[#This Row],[_Row]]+1):INDEX(Tasks[_ShownCalcFinish],Tasks[[#This Row],[_Row]]+Tasks[[#This Row],[_Descendants]])),Tasks[[#This Row],[_ShownCalcFinish]]))</f>
        <v/>
      </c>
      <c r="FM10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7" s="43" t="n">
        <f aca="false">IF(AND(Tasks[[#This Row],[_IsLeaf]]=1,Tasks[[#This Row],[_LeafTotalWork]]&gt;0),NETWORKDAYS.INTL(ProjectStart,Tasks[[#This Row],[_ShownFcstStart]],WorkWeek,Holidays),0)</f>
        <v>0</v>
      </c>
      <c r="FZ107" s="43" t="n">
        <f aca="false">IF(AND(Tasks[[#This Row],[_IsLeaf]]=1,Tasks[[#This Row],[_LeafTotalWork]]&gt;0),MAX(Tasks[[#This Row],[_StartWorkday]],NETWORKDAYS.INTL(ProjectStart,Tasks[[#This Row],[_ShownFcstFinish]],WorkWeek,Holidays)),0)</f>
        <v>0</v>
      </c>
      <c r="GA107" s="43" t="n">
        <f aca="false">IF(AND(Tasks[[#This Row],[_IsLeaf]]=1,Tasks[[#This Row],[_LeafTotalWork]]&gt;0),Tasks[[#This Row],[_LeafWork]]/(Tasks[[#This Row],[_FinishWorkday]]-Tasks[[#This Row],[_StartWorkday]]+1),0)</f>
        <v>0</v>
      </c>
      <c r="GB107" s="43" t="n">
        <f aca="false">Tasks[[#This Row],[_WorkPerWorkday]]*(Tasks[[#This Row],[_StartWorkday]]-1)</f>
        <v>-0</v>
      </c>
      <c r="GC107" s="43" t="n">
        <f aca="false">IF(Tasks[[#This Row],[_IsLeaf]]=1,MAX(N(Tasks[[#This Row],[_Days]]),0.1),0)</f>
        <v>0</v>
      </c>
      <c r="GD107" s="43" t="n">
        <f aca="false">Tasks[[#This Row],[_WeightDur]]*Tasks[[#This Row],[_LeafProgress]]</f>
        <v>0</v>
      </c>
      <c r="GE107" s="43" t="n">
        <f aca="false">Tasks[[#This Row],[_WeightDur]]*Tasks[[#This Row],[_PlannedPct]]</f>
        <v>0</v>
      </c>
      <c r="GF10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3" t="str">
        <f aca="false">IF(AND(Tasks[[#This Row],[_IsLeaf]]=1,N(Tasks[[#This Row],[_Days]])=0,Tasks[[#This Row],[_LeafProgress]]&lt;1),Tasks[[#This Row],[_ShownFcstFinish]]+Tasks[[#This Row],[_Row]]/100000,"")</f>
        <v/>
      </c>
      <c r="GH10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7" s="43" t="str">
        <f aca="false">IF(Tasks[[#This Row],[Task Name]]="","",LEFT(Tasks[[#This Row],[WBS]],FIND(".",Tasks[[#This Row],[WBS]]&amp;".")-1))</f>
        <v/>
      </c>
      <c r="GJ107" s="43" t="str">
        <f aca="false">IF(AND(Tasks[[#This Row],[Task Name]]&lt;&gt;"",Tasks[[#This Row],[_Level]]=1),Tasks[[#This Row],[_Row]],"")</f>
        <v/>
      </c>
      <c r="GK107" s="43" t="str">
        <f aca="false">IF(AND(Tasks[[#This Row],[_IsLeaf]]=1,N(Tasks[[#This Row],[_Days]])=0),Tasks[[#This Row],[Planned Finish]]+Tasks[[#This Row],[_Row]]/100000,"")</f>
        <v/>
      </c>
      <c r="GL107" s="43" t="str">
        <f aca="false">IF(AND(Tasks[[#This Row],[_IsLeaf]]=1,Tasks[[#This Row],[_LeafProgress]]&lt;1,OR(N(Tasks[[#This Row],[Finish Var]])&gt;0,Tasks[[#This Row],[Status]]="Late Start")),MAX(0,Tasks[[#This Row],[Finish Var]])+1-Tasks[[#This Row],[_Row]]/1000000,"")</f>
        <v/>
      </c>
      <c r="GM107" s="43" t="str">
        <f aca="false">IF(AND(Tasks[[#This Row],[_IsLeaf]]=1,N(Tasks[[#This Row],[Actual Start]])=0,Tasks[[#This Row],[_ShownFcstStart]]&gt;=StatusDate,Tasks[[#This Row],[_ShownFcstStart]]&lt;=LookaheadEnd),Tasks[[#This Row],[_ShownFcstStart]]+Tasks[[#This Row],[_Row]]/100000,"")</f>
        <v/>
      </c>
      <c r="GN107" s="43" t="str">
        <f aca="false">IF(AND(Tasks[[#This Row],[_IsLeaf]]=1,Tasks[[#This Row],[_LeafProgress]]&lt;1,Tasks[[#This Row],[_ShownFcstFinish]]&gt;=StatusDate,Tasks[[#This Row],[_ShownFcstFinish]]&lt;=LookaheadEnd),Tasks[[#This Row],[_ShownFcstFinish]]+Tasks[[#This Row],[_Row]]/100000,"")</f>
        <v/>
      </c>
      <c r="GO107" s="43" t="str">
        <f aca="false">IF(Tasks[[#This Row],[_LeafCritical]],Tasks[[#This Row],[_ShownFcstStart]]+Tasks[[#This Row],[_Row]]/100000,"")</f>
        <v/>
      </c>
      <c r="GP107" s="43" t="n">
        <f aca="false">Tasks[[#This Row],[_LeafWork]]*Tasks[[#This Row],[_LeafProgress]]</f>
        <v>0</v>
      </c>
      <c r="GQ107" s="91" t="str">
        <f aca="false">IF(AND(Tasks[[#This Row],[_IsLeaf]]=1,Tasks[[#This Row],[_LeafProgress]]&gt;=1),IF(N(Tasks[[#This Row],[Actual Finish]])&gt;0,Tasks[[#This Row],[Actual Finish]],Tasks[[#This Row],[_ShownFcstFinish]]),"")</f>
        <v/>
      </c>
      <c r="GR107" s="43" t="n">
        <f aca="false">IF(Tasks[[#This Row],[_IsLeaf]]=1,N(Tasks[[#This Row],[Story Points]]),0)</f>
        <v>0</v>
      </c>
      <c r="GS107" s="43" t="str">
        <f aca="false">""</f>
        <v/>
      </c>
      <c r="GT107" s="90" t="b">
        <f aca="false">IF(Tasks[[#This Row],[Task Name]]="",FALSE(),AND(Tasks[[#This Row],[_IsLeaf]]=1,N(Tasks[[#This Row],[_Days]])=0))</f>
        <v>0</v>
      </c>
      <c r="GU107" s="91" t="n">
        <f aca="false">IF(Tasks[[#This Row],[Task Name]]="",0,IF(AND(Tasks[[#This Row],[_IsLeaf]]=1,NOT(Tasks[[#This Row],[_IsMilestone]]),N(Tasks[[#This Row],[Progress]])&gt;0),Tasks[[#This Row],[Start]],0))</f>
        <v>0</v>
      </c>
      <c r="GV107" s="91" t="n">
        <f aca="false">IF(Tasks[[#This Row],[_DoneFrom]]=0,0,IF(Tasks[[#This Row],[Progress]]&gt;=1,Tasks[[#This Row],[Finish]],MAX(Tasks[[#This Row],[_DoneFrom]],Tasks[[#This Row],[Start]]+ROUND((Tasks[[#This Row],[Finish]]-Tasks[[#This Row],[Start]]+1)*Tasks[[#This Row],[Progress]],0)-1)))</f>
        <v>0</v>
      </c>
      <c r="GW107" s="91" t="n">
        <f aca="false">IF(Tasks[[#This Row],[Task Name]]="",0,IF(OR(NOT(Tasks[[#This Row],[_IsLeaf]]=1),Tasks[[#This Row],[_IsMilestone]],N(Tasks[[#This Row],[Progress]])&gt;=1),0,IF(Tasks[[#This Row],[_DoneTo]]&gt;0,Tasks[[#This Row],[_DoneTo]]+1,Tasks[[#This Row],[Start]])))</f>
        <v>0</v>
      </c>
      <c r="GX107" s="91" t="n">
        <f aca="false">IF(Tasks[[#This Row],[_RemFrom]]=0,0,Tasks[[#This Row],[Finish]])</f>
        <v>0</v>
      </c>
      <c r="GY107" s="90" t="b">
        <f aca="false">IF(Tasks[[#This Row],[Task Name]]="",FALSE(),OR(NOT(BaselineSet),N(Tasks[[#This Row],[Baseline Start]])&gt;0))</f>
        <v>0</v>
      </c>
      <c r="GZ10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92" t="str">
        <f aca="false">IF(Tasks[[#This Row],[_IsLeaf]]=1,Tasks[[#This Row],[_Row]],"")</f>
        <v/>
      </c>
      <c r="HD107" s="92" t="str">
        <f aca="false">IFERROR(INDEX(Tasks[UID],SMALL(Tasks[_PickKey],Tasks[[#This Row],[_Row]]))&amp;" "&amp;INDEX(Tasks[Task Name],SMALL(Tasks[_PickKey],Tasks[[#This Row],[_Row]])),"")</f>
        <v/>
      </c>
      <c r="HE107" s="43" t="str">
        <f aca="false">IF(Tasks[[#This Row],[Task Name]]="","",IF(Tasks[[#This Row],[_IsSummary]],NETWORKDAYS.INTL(Tasks[[#This Row],[Start]],Tasks[[#This Row],[Finish]],WorkWeek,Holidays),N(Tasks[[#This Row],[_Days]])))</f>
        <v/>
      </c>
      <c r="HF107" s="43" t="n">
        <f aca="false">IF(Tasks[[#This Row],[Expected]]="",0,((Tasks[[#This Row],[Pessimistic]]-Tasks[[#This Row],[Optimistic]])/6)^2)</f>
        <v>0</v>
      </c>
      <c r="HG107" s="43" t="n">
        <f aca="false">IF(Tasks[[#This Row],[Expected]]="",0,Tasks[[#This Row],[Expected]]-N(Tasks[[#This Row],[_Days]]))</f>
        <v>0</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4"/>
      <c r="U108" s="23"/>
      <c r="V108" s="84"/>
      <c r="W108" s="23"/>
      <c r="X108" s="84"/>
      <c r="Y108" s="23"/>
      <c r="Z108" s="84"/>
      <c r="AA108" s="23"/>
      <c r="AB108" s="23"/>
      <c r="AC108" s="7"/>
      <c r="AD108" s="7"/>
      <c r="AE108" s="63" t="str">
        <f aca="false">IF(Tasks[[#This Row],[Task Name]]="","",IF(Tasks[[#This Row],[_IsSummary]],MIN(INDEX(Tasks[_ShownFcstStart],Tasks[[#This Row],[_Row]]+1):INDEX(Tasks[_ShownFcstStart],Tasks[[#This Row],[_Row]]+Tasks[[#This Row],[_Descendants]])),Tasks[[#This Row],[_ShownFcstStart]]))</f>
        <v/>
      </c>
      <c r="AF108" s="63"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8" s="7"/>
      <c r="AK108" s="22"/>
      <c r="AL108" s="23"/>
      <c r="AM108" s="7"/>
      <c r="AN108" s="47"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3" t="str">
        <f aca="false">IF(Tasks[[#This Row],[Task Name]]="","",IF(N(Tasks[[#This Row],[Baseline Start]])&gt;0,Tasks[[#This Row],[Baseline Start]],Tasks[[#This Row],[_CalcStart]]))</f>
        <v/>
      </c>
      <c r="AR108" s="63" t="str">
        <f aca="false">IF(Tasks[[#This Row],[Task Name]]="","",IF(N(Tasks[[#This Row],[Baseline Finish]])&gt;0,Tasks[[#This Row],[Baseline Finish]],Tasks[[#This Row],[_CalcFinish]]))</f>
        <v/>
      </c>
      <c r="AS108" s="47" t="str">
        <f aca="false">IF(Tasks[[#This Row],[Task Name]]="","",IF(Tasks[[#This Row],[Start]]&gt;=Tasks[[#This Row],[Planned Start]],NETWORKDAYS.INTL(Tasks[[#This Row],[Planned Start]],Tasks[[#This Row],[Start]],WorkWeek,Holidays)-1,1-NETWORKDAYS.INTL(Tasks[[#This Row],[Start]],Tasks[[#This Row],[Planned Start]],WorkWeek,Holidays)))</f>
        <v/>
      </c>
      <c r="AT108" s="63" t="str">
        <f aca="false">IF(Tasks[[#This Row],[Task Name]]="","",IF(Tasks[[#This Row],[_IsSummary]],MIN(INDEX(Tasks[_LeafLateStart],Tasks[[#This Row],[_Row]]+1):INDEX(Tasks[_LeafLateStart],Tasks[[#This Row],[_Row]]+Tasks[[#This Row],[_Descendants]])),Tasks[[#This Row],[_LeafLateStart]]))</f>
        <v/>
      </c>
      <c r="AU108" s="63" t="str">
        <f aca="false">IF(Tasks[[#This Row],[Task Name]]="","",IF(Tasks[[#This Row],[_IsSummary]],MAX(INDEX(Tasks[_LeafLateFinish],Tasks[[#This Row],[_Row]]+1):INDEX(Tasks[_LeafLateFinish],Tasks[[#This Row],[_Row]]+Tasks[[#This Row],[_Descendants]])),Tasks[[#This Row],[_LeafLateFinish]]))</f>
        <v/>
      </c>
      <c r="AV108" s="47"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5"/>
      <c r="BA10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6"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7"/>
      <c r="BJ108" s="22"/>
      <c r="BK108" s="47" t="str">
        <f aca="false">IF(OR(Tasks[[#This Row],[Task Name]]="",Tasks[[#This Row],[Baseline Duration]]=""),"",Tasks[[#This Row],[_SpanDays]]-N(Tasks[[#This Row],[Baseline Duration]]))</f>
        <v/>
      </c>
      <c r="BL108" s="86" t="str">
        <f aca="false">IF(OR(Tasks[[#This Row],[Task Name]]="",Tasks[[#This Row],[Baseline Work]]=""),"",Tasks[[#This Row],[Work]]-N(Tasks[[#This Row],[Baseline Work]]))</f>
        <v/>
      </c>
      <c r="BM108" s="63" t="str">
        <f aca="false">IF(Tasks[[#This Row],[Task Name]]="","",IF(OR(TakeBaseline="Yes",N(Tasks[[#This Row],[Baseline Start]])=0),Tasks[[#This Row],[Start]],Tasks[[#This Row],[Baseline Start]]))</f>
        <v/>
      </c>
      <c r="BN108" s="63" t="str">
        <f aca="false">IF(Tasks[[#This Row],[Task Name]]="","",IF(OR(TakeBaseline="Yes",N(Tasks[[#This Row],[Baseline Finish]])=0),Tasks[[#This Row],[Finish]],Tasks[[#This Row],[Baseline Finish]]))</f>
        <v/>
      </c>
      <c r="BO108" s="21" t="str">
        <f aca="false">IF(Tasks[[#This Row],[Task Name]]="","",IF(OR(TakeBaseline="Yes",N(Tasks[[#This Row],[Baseline Duration]])=0),Tasks[[#This Row],[_SpanDays]],Tasks[[#This Row],[Baseline Duration]]))</f>
        <v/>
      </c>
      <c r="BP108" s="86" t="str">
        <f aca="false">IF(Tasks[[#This Row],[Task Name]]="","",IF(OR(TakeBaseline="Yes",N(Tasks[[#This Row],[Baseline Work]])=0),Tasks[[#This Row],[Work]],Tasks[[#This Row],[Baseline Work]]))</f>
        <v/>
      </c>
      <c r="BQ108" s="7"/>
      <c r="BR108" s="7"/>
      <c r="BS108" s="22"/>
      <c r="BT108" s="88"/>
      <c r="BU108" s="23"/>
      <c r="BV108" s="23"/>
      <c r="BW108" s="23"/>
      <c r="BX108" s="89" t="str">
        <f aca="false">IF(AND(Tasks[[#This Row],[_IsLeaf]]=1,ISNUMBER(Tasks[[#This Row],[Optimistic]]),ISNUMBER(Tasks[[#This Row],[Pessimistic]])),ROUND((Tasks[[#This Row],[Optimistic]]+4*N(Tasks[[#This Row],[_Days]])+Tasks[[#This Row],[Pessimistic]])/6,1),"")</f>
        <v/>
      </c>
      <c r="BY108" s="87"/>
      <c r="BZ108" s="87"/>
      <c r="CA108" s="22"/>
      <c r="CB108" s="43" t="str">
        <f aca="false">IF(Tasks[[#This Row],[Task Name]]="","",MAX(1,N(Tasks[[#This Row],[Level]])))</f>
        <v/>
      </c>
      <c r="CC108" s="43" t="n">
        <f aca="false">ROW()-ROW(Tasks[[#Headers],[ID]])</f>
        <v>103</v>
      </c>
      <c r="CD108" s="43" t="n">
        <f aca="false">IF(OR(Tasks[[#This Row],[Task Name]]="",Tasks[[#This Row],[_Level]]&lt;=1),0,IFERROR(LOOKUP(2,1/(Tasks[[#Headers],[_Level]]:Tasks[[#This Row],[_Level]]=Tasks[[#This Row],[_Level]]-1),ROW(Tasks[[#Headers],[_Level]]:Tasks[[#This Row],[_Level]])),0))</f>
        <v>0</v>
      </c>
      <c r="CE108" s="43" t="n">
        <f aca="false">IFERROR(N(INDEX(Tasks[_Level],Tasks[[#This Row],[_Row]]+1)),0)</f>
        <v>0</v>
      </c>
      <c r="CF108" s="90" t="b">
        <f aca="false">AND(Tasks[[#This Row],[Task Name]]&lt;&gt;"",Tasks[[#This Row],[_NextLevel]]&gt;Tasks[[#This Row],[_Level]])</f>
        <v>0</v>
      </c>
      <c r="CG108" s="43" t="n">
        <f aca="false">IF(Tasks[[#This Row],[_IsSummary]],COUNTIF(Tasks[WBS],Tasks[[#This Row],[WBS]]&amp;".*"),0)</f>
        <v>0</v>
      </c>
      <c r="CH108" s="43" t="n">
        <f aca="false">IF(AND(Tasks[[#This Row],[Task Name]]&lt;&gt;"",NOT(Tasks[[#This Row],[_IsSummary]])),1,0)</f>
        <v>0</v>
      </c>
      <c r="CI108" s="43" t="n">
        <f aca="false">IF(N(Tasks[[#This Row],[_Pred1UID]])=0,0,IFERROR(MATCH(Tasks[[#This Row],[_Pred1UID]],Tasks[UID],0),-1))</f>
        <v>0</v>
      </c>
      <c r="CJ108" s="43" t="n">
        <f aca="false">IF(N(Tasks[[#This Row],[_Pred2UID]])=0,0,IFERROR(MATCH(Tasks[[#This Row],[_Pred2UID]],Tasks[UID],0),-1))</f>
        <v>0</v>
      </c>
      <c r="CK108" s="43" t="n">
        <f aca="false">IF(N(Tasks[[#This Row],[_Pred3UID]])=0,0,IFERROR(MATCH(Tasks[[#This Row],[_Pred3UID]],Tasks[UID],0),-1))</f>
        <v>0</v>
      </c>
      <c r="CL108" s="43" t="n">
        <f aca="false">IF(N(Tasks[[#This Row],[_Pred4UID]])=0,0,IFERROR(MATCH(Tasks[[#This Row],[_Pred4UID]],Tasks[UID],0),-1))</f>
        <v>0</v>
      </c>
      <c r="CM10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8" s="91" t="n">
        <f aca="false">IF(OR(Tasks[[#This Row],[_ConstraintCode]]=2,Tasks[[#This Row],[_ConstraintCode]]=3,Tasks[[#This Row],[_ConstraintCode]]=4,Tasks[[#This Row],[_ConstraintCode]]=6),Tasks[[#This Row],[_ConstraintStart]],0)</f>
        <v>0</v>
      </c>
      <c r="CP108" s="91" t="n">
        <f aca="false">IF(OR(Tasks[[#This Row],[_ConstraintCode]]=2,Tasks[[#This Row],[_ConstraintCode]]=3,Tasks[[#This Row],[_ConstraintCode]]=5,Tasks[[#This Row],[_ConstraintCode]]=7),Tasks[[#This Row],[_ConstraintStart]],2958465)</f>
        <v>2958465</v>
      </c>
      <c r="CQ10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91" t="str">
        <f aca="false">IF(NOT(Tasks[[#This Row],[_IsLeaf]]=1),"",IF(N(Tasks[[#This Row],[_Days]])&lt;=0,Tasks[[#This Row],[_LeafCalcStart]],WORKDAY.INTL(Tasks[[#This Row],[_LeafCalcStart]],Tasks[[#This Row],[_Days]]-1,WorkWeek,Holidays)))</f>
        <v/>
      </c>
      <c r="CS10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3" t="str">
        <f aca="false">IF(Tasks[[#This Row],[_Predecessors]]="","",TRIM(MID(SUBSTITUTE(SUBSTITUTE(SUBSTITUTE(UPPER(Tasks[[#This Row],[_Predecessors]]),";",",")," ",""),",",REPT(" ",99)),1,99)))</f>
        <v/>
      </c>
      <c r="CV108" s="43" t="str">
        <f aca="false">IF(Tasks[[#This Row],[_Pred1Text]]="","",IFERROR(VALUE(LEFT(Tasks[[#This Row],[_Pred1Text]],MIN(FIND("F",Tasks[[#This Row],[_Pred1Text]]&amp;"F"),FIND("S",Tasks[[#This Row],[_Pred1Text]]&amp;"S"),FIND("+",Tasks[[#This Row],[_Pred1Text]]&amp;"+"),FIND("-",Tasks[[#This Row],[_Pred1Text]]&amp;"-"))-1)),""))</f>
        <v/>
      </c>
      <c r="CW10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3" t="str">
        <f aca="false">IF(Tasks[[#This Row],[_Pred1Text]]="","",TRIM(MID(SUBSTITUTE(SUBSTITUTE(SUBSTITUTE(UPPER(Tasks[[#This Row],[_Predecessors]]),";",",")," ",""),",",REPT(" ",99)),100,99)))</f>
        <v/>
      </c>
      <c r="CZ108" s="43" t="str">
        <f aca="false">IF(Tasks[[#This Row],[_Pred2Text]]="","",IFERROR(VALUE(LEFT(Tasks[[#This Row],[_Pred2Text]],MIN(FIND("F",Tasks[[#This Row],[_Pred2Text]]&amp;"F"),FIND("S",Tasks[[#This Row],[_Pred2Text]]&amp;"S"),FIND("+",Tasks[[#This Row],[_Pred2Text]]&amp;"+"),FIND("-",Tasks[[#This Row],[_Pred2Text]]&amp;"-"))-1)),""))</f>
        <v/>
      </c>
      <c r="DA10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3" t="str">
        <f aca="false">IF(Tasks[[#This Row],[_Pred2Text]]="","",TRIM(MID(SUBSTITUTE(SUBSTITUTE(SUBSTITUTE(UPPER(Tasks[[#This Row],[_Predecessors]]),";",",")," ",""),",",REPT(" ",99)),199,99)))</f>
        <v/>
      </c>
      <c r="DD108" s="43" t="str">
        <f aca="false">IF(Tasks[[#This Row],[_Pred3Text]]="","",IFERROR(VALUE(LEFT(Tasks[[#This Row],[_Pred3Text]],MIN(FIND("F",Tasks[[#This Row],[_Pred3Text]]&amp;"F"),FIND("S",Tasks[[#This Row],[_Pred3Text]]&amp;"S"),FIND("+",Tasks[[#This Row],[_Pred3Text]]&amp;"+"),FIND("-",Tasks[[#This Row],[_Pred3Text]]&amp;"-"))-1)),""))</f>
        <v/>
      </c>
      <c r="DE10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3" t="str">
        <f aca="false">IF(Tasks[[#This Row],[_Pred3Text]]="","",TRIM(MID(SUBSTITUTE(SUBSTITUTE(SUBSTITUTE(UPPER(Tasks[[#This Row],[_Predecessors]]),";",",")," ",""),",",REPT(" ",99)),298,99)))</f>
        <v/>
      </c>
      <c r="DH108" s="43" t="str">
        <f aca="false">IF(Tasks[[#This Row],[_Pred4Text]]="","",IFERROR(VALUE(LEFT(Tasks[[#This Row],[_Pred4Text]],MIN(FIND("F",Tasks[[#This Row],[_Pred4Text]]&amp;"F"),FIND("S",Tasks[[#This Row],[_Pred4Text]]&amp;"S"),FIND("+",Tasks[[#This Row],[_Pred4Text]]&amp;"+"),FIND("-",Tasks[[#This Row],[_Pred4Text]]&amp;"-"))-1)),""))</f>
        <v/>
      </c>
      <c r="DI10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3" t="str">
        <f aca="false">IF(OR(Tasks[[#This Row],[Task Name]]="",Tasks[[#This Row],[_Resources]]=""),"",TRIM(MID(SUBSTITUTE(Tasks[[#This Row],[_Resources]],",",REPT(" ",99)),1,99)))</f>
        <v/>
      </c>
      <c r="DL108" s="43" t="str">
        <f aca="false">IF(Tasks[[#This Row],[_Res1Text]]="","",TRIM(MID(SUBSTITUTE(Tasks[[#This Row],[_Resources]],",",REPT(" ",99)),100,99)))</f>
        <v/>
      </c>
      <c r="DM108" s="43" t="str">
        <f aca="false">IF(Tasks[[#This Row],[_Res2Text]]="","",TRIM(MID(SUBSTITUTE(Tasks[[#This Row],[_Resources]],",",REPT(" ",99)),199,99)))</f>
        <v/>
      </c>
      <c r="DN108" s="43" t="str">
        <f aca="false">IF(Tasks[[#This Row],[_Res3Text]]="","",TRIM(MID(SUBSTITUTE(Tasks[[#This Row],[_Resources]],",",REPT(" ",99)),298,99)))</f>
        <v/>
      </c>
      <c r="DO108" s="43" t="n">
        <f aca="false">IF(Tasks[[#This Row],[_Res1Text]]="",0,IFERROR(MATCH(TRIM(LEFT(Tasks[[#This Row],[_Res1Text]],FIND("[",Tasks[[#This Row],[_Res1Text]]&amp;"[")-1)),res_Name,0),IFERROR(MATCH(TRIM(LEFT(Tasks[[#This Row],[_Res1Text]],FIND("[",Tasks[[#This Row],[_Res1Text]]&amp;"[")-1)),res_Initials,0),0)))</f>
        <v>0</v>
      </c>
      <c r="DP108" s="43" t="n">
        <f aca="false">IF(Tasks[[#This Row],[_Res2Text]]="",0,IFERROR(MATCH(TRIM(LEFT(Tasks[[#This Row],[_Res2Text]],FIND("[",Tasks[[#This Row],[_Res2Text]]&amp;"[")-1)),res_Name,0),IFERROR(MATCH(TRIM(LEFT(Tasks[[#This Row],[_Res2Text]],FIND("[",Tasks[[#This Row],[_Res2Text]]&amp;"[")-1)),res_Initials,0),0)))</f>
        <v>0</v>
      </c>
      <c r="DQ108" s="43" t="n">
        <f aca="false">IF(Tasks[[#This Row],[_Res3Text]]="",0,IFERROR(MATCH(TRIM(LEFT(Tasks[[#This Row],[_Res3Text]],FIND("[",Tasks[[#This Row],[_Res3Text]]&amp;"[")-1)),res_Name,0),IFERROR(MATCH(TRIM(LEFT(Tasks[[#This Row],[_Res3Text]],FIND("[",Tasks[[#This Row],[_Res3Text]]&amp;"[")-1)),res_Initials,0),0)))</f>
        <v>0</v>
      </c>
      <c r="DR108" s="43" t="n">
        <f aca="false">IF(Tasks[[#This Row],[_Res4Text]]="",0,IFERROR(MATCH(TRIM(LEFT(Tasks[[#This Row],[_Res4Text]],FIND("[",Tasks[[#This Row],[_Res4Text]]&amp;"[")-1)),res_Name,0),IFERROR(MATCH(TRIM(LEFT(Tasks[[#This Row],[_Res4Text]],FIND("[",Tasks[[#This Row],[_Res4Text]]&amp;"[")-1)),res_Initials,0),0)))</f>
        <v>0</v>
      </c>
      <c r="DS108" s="43" t="str">
        <f aca="false">IF(Tasks[[#This Row],[_Res1Text]]="","",IF(Tasks[[#This Row],[_Res1Row]]&gt;0,INDEX(res_Name,Tasks[[#This Row],[_Res1Row]]),TRIM(LEFT(Tasks[[#This Row],[_Res1Text]],FIND("[",Tasks[[#This Row],[_Res1Text]]&amp;"[")-1))))</f>
        <v/>
      </c>
      <c r="DT10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3" t="n">
        <f aca="false">IF(NOT(Tasks[[#This Row],[_IsLeaf]]=1),0,(Tasks[[#This Row],[_Resource1]]&lt;&gt;"")+(Tasks[[#This Row],[_Res2]]&lt;&gt;"")+(Tasks[[#This Row],[_Res3]]&lt;&gt;"")+(Tasks[[#This Row],[_Res4]]&lt;&gt;""))</f>
        <v>0</v>
      </c>
      <c r="DV108" s="43" t="str">
        <f aca="false">IF(Tasks[[#This Row],[_Res2Text]]="","",IF(Tasks[[#This Row],[_Res2Row]]&gt;0,INDEX(res_Name,Tasks[[#This Row],[_Res2Row]]),TRIM(LEFT(Tasks[[#This Row],[_Res2Text]],FIND("[",Tasks[[#This Row],[_Res2Text]]&amp;"[")-1))))</f>
        <v/>
      </c>
      <c r="DW10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3" t="n">
        <f aca="false">IF(OR(NOT(Tasks[[#This Row],[_IsLeaf]]=1),Tasks[[#This Row],[_Res2Row]]=0),0,N(Tasks[[#This Row],[_Days]])*HoursPerDay*IF(Tasks[[#This Row],[_Res2Units]]="",DefaultUnits,Tasks[[#This Row],[_Res2Units]]))</f>
        <v>0</v>
      </c>
      <c r="DY108" s="43" t="n">
        <f aca="false">IF(AND(AND(Tasks[[#This Row],[_IsLeaf]]=1,Tasks[[#This Row],[_LeafTotalWork]]&gt;0),Tasks[[#This Row],[_Res2Work]]&gt;0),Tasks[[#This Row],[_Res2Work]]/(Tasks[[#This Row],[_FinishWorkday]]-Tasks[[#This Row],[_StartWorkday]]+1),0)</f>
        <v>0</v>
      </c>
      <c r="DZ108" s="43" t="n">
        <f aca="false">Tasks[[#This Row],[_Res2WorkPerWD]]*MAX(0,Tasks[[#This Row],[_StartWorkday]]-1)</f>
        <v>0</v>
      </c>
      <c r="EA108" s="43" t="n">
        <f aca="false">Tasks[[#This Row],[_Res2Work]]*Tasks[[#This Row],[_LeafProgress]]</f>
        <v>0</v>
      </c>
      <c r="EB108" s="43" t="str">
        <f aca="false">IF(Tasks[[#This Row],[_Res3Text]]="","",IF(Tasks[[#This Row],[_Res3Row]]&gt;0,INDEX(res_Name,Tasks[[#This Row],[_Res3Row]]),TRIM(LEFT(Tasks[[#This Row],[_Res3Text]],FIND("[",Tasks[[#This Row],[_Res3Text]]&amp;"[")-1))))</f>
        <v/>
      </c>
      <c r="EC10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3" t="n">
        <f aca="false">IF(OR(NOT(Tasks[[#This Row],[_IsLeaf]]=1),Tasks[[#This Row],[_Res3Row]]=0),0,N(Tasks[[#This Row],[_Days]])*HoursPerDay*IF(Tasks[[#This Row],[_Res3Units]]="",DefaultUnits,Tasks[[#This Row],[_Res3Units]]))</f>
        <v>0</v>
      </c>
      <c r="EE108" s="43" t="n">
        <f aca="false">IF(AND(AND(Tasks[[#This Row],[_IsLeaf]]=1,Tasks[[#This Row],[_LeafTotalWork]]&gt;0),Tasks[[#This Row],[_Res3Work]]&gt;0),Tasks[[#This Row],[_Res3Work]]/(Tasks[[#This Row],[_FinishWorkday]]-Tasks[[#This Row],[_StartWorkday]]+1),0)</f>
        <v>0</v>
      </c>
      <c r="EF108" s="43" t="n">
        <f aca="false">Tasks[[#This Row],[_Res3WorkPerWD]]*MAX(0,Tasks[[#This Row],[_StartWorkday]]-1)</f>
        <v>0</v>
      </c>
      <c r="EG108" s="43" t="n">
        <f aca="false">Tasks[[#This Row],[_Res3Work]]*Tasks[[#This Row],[_LeafProgress]]</f>
        <v>0</v>
      </c>
      <c r="EH108" s="43" t="str">
        <f aca="false">IF(Tasks[[#This Row],[_Res4Text]]="","",IF(Tasks[[#This Row],[_Res4Row]]&gt;0,INDEX(res_Name,Tasks[[#This Row],[_Res4Row]]),TRIM(LEFT(Tasks[[#This Row],[_Res4Text]],FIND("[",Tasks[[#This Row],[_Res4Text]]&amp;"[")-1))))</f>
        <v/>
      </c>
      <c r="EI10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3" t="n">
        <f aca="false">IF(OR(NOT(Tasks[[#This Row],[_IsLeaf]]=1),Tasks[[#This Row],[_Res4Row]]=0),0,N(Tasks[[#This Row],[_Days]])*HoursPerDay*IF(Tasks[[#This Row],[_Res4Units]]="",DefaultUnits,Tasks[[#This Row],[_Res4Units]]))</f>
        <v>0</v>
      </c>
      <c r="EK108" s="43" t="n">
        <f aca="false">IF(AND(AND(Tasks[[#This Row],[_IsLeaf]]=1,Tasks[[#This Row],[_LeafTotalWork]]&gt;0),Tasks[[#This Row],[_Res4Work]]&gt;0),Tasks[[#This Row],[_Res4Work]]/(Tasks[[#This Row],[_FinishWorkday]]-Tasks[[#This Row],[_StartWorkday]]+1),0)</f>
        <v>0</v>
      </c>
      <c r="EL108" s="43" t="n">
        <f aca="false">Tasks[[#This Row],[_Res4WorkPerWD]]*MAX(0,Tasks[[#This Row],[_StartWorkday]]-1)</f>
        <v>0</v>
      </c>
      <c r="EM108" s="43" t="n">
        <f aca="false">Tasks[[#This Row],[_Res4Work]]*Tasks[[#This Row],[_LeafProgress]]</f>
        <v>0</v>
      </c>
      <c r="EN108" s="43" t="n">
        <f aca="false">IF(ISNUMBER(Tasks[[#This Row],[% Complete]]),Tasks[[#This Row],[% Complete]],IF(Tasks[[#This Row],[Stage]]="",0,IFERROR(INDEX(stg_Pct,MATCH(Tasks[[#This Row],[Stage]],stg_Name,0)),0)))</f>
        <v>0</v>
      </c>
      <c r="EO108" s="43" t="n">
        <f aca="false">IF(NOT(Tasks[[#This Row],[_IsLeaf]]=1),0,IF(N(Tasks[[#This Row],[Actual Finish]])&gt;0,1,MIN(1,Tasks[[#This Row],[_Pct]])))</f>
        <v>0</v>
      </c>
      <c r="EP108" s="43" t="n">
        <f aca="false">IF(OR(NOT(Tasks[[#This Row],[_IsLeaf]]=1),Tasks[[#This Row],[_Res1Row]]=0),0,N(Tasks[[#This Row],[_Days]])*HoursPerDay*IF(Tasks[[#This Row],[_Units1]]="",DefaultUnits,Tasks[[#This Row],[_Units1]]))</f>
        <v>0</v>
      </c>
      <c r="EQ108" s="43" t="n">
        <f aca="false">Tasks[[#This Row],[_LeafWork]]+Tasks[[#This Row],[_Res2Work]]+Tasks[[#This Row],[_Res3Work]]+Tasks[[#This Row],[_Res4Work]]</f>
        <v>0</v>
      </c>
      <c r="ER10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3" t="n">
        <f aca="false">IF(NOT(Tasks[[#This Row],[_IsLeaf]]=1),0,MAX(_xlfn.MAXIFS(Tasks[_Row],Tasks[_Pred1UID],Tasks[[#This Row],[UID]]),_xlfn.MAXIFS(Tasks[_Row],Tasks[_Pred2UID],Tasks[[#This Row],[UID]]),_xlfn.MAXIFS(Tasks[_Row],Tasks[_Pred3UID],Tasks[[#This Row],[UID]]),_xlfn.MAXIFS(Tasks[_Row],Tasks[_Pred4UID],Tasks[[#This Row],[UID]])))</f>
        <v>0</v>
      </c>
      <c r="FA10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91" t="str">
        <f aca="false">IF(NOT(Tasks[[#This Row],[_IsLeaf]]=1),"",IF(N(Tasks[[#This Row],[_Days]])&lt;=0,Tasks[[#This Row],[_LeafLateFinish]],WORKDAY.INTL(Tasks[[#This Row],[_LeafLateFinish]],-(Tasks[[#This Row],[_Days]]-1),WorkWeek,Holidays)))</f>
        <v/>
      </c>
      <c r="FD10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8" s="90" t="b">
        <f aca="false">AND(Tasks[[#This Row],[_IsLeaf]]=1,Tasks[[#This Row],[_LeafProgress]]&lt;1,N(Tasks[[#This Row],[_LeafTotalSlack]])&lt;=CriticalSlackDays)</f>
        <v>0</v>
      </c>
      <c r="FF108" s="43" t="n">
        <f aca="false">IF(AND(Tasks[[#This Row],[_IsLeaf]]=1,Tasks[[#This Row],[_ConstraintCode]]=1,Tasks[[#This Row],[Mode]]&lt;&gt;"Manual",N(Tasks[[#This Row],[Actual Start]])=0),MAX(0,N(Tasks[[#This Row],[Free Slack]])),0)</f>
        <v>0</v>
      </c>
      <c r="FG108" s="91" t="str">
        <f aca="false">IF(NOT(Tasks[[#This Row],[_IsLeaf]]=1),"",IF(Tasks[[#This Row],[_AlapShift]]=0,Tasks[[#This Row],[_LeafCalcStart]],WORKDAY.INTL(Tasks[[#This Row],[_LeafCalcStart]],Tasks[[#This Row],[_AlapShift]],WorkWeek,Holidays)))</f>
        <v/>
      </c>
      <c r="FH108" s="91" t="str">
        <f aca="false">IF(NOT(Tasks[[#This Row],[_IsLeaf]]=1),"",IF(Tasks[[#This Row],[_AlapShift]]=0,Tasks[[#This Row],[_LeafCalcFinish]],WORKDAY.INTL(Tasks[[#This Row],[_LeafCalcFinish]],Tasks[[#This Row],[_AlapShift]],WorkWeek,Holidays)))</f>
        <v/>
      </c>
      <c r="FI108" s="91" t="str">
        <f aca="false">IF(NOT(Tasks[[#This Row],[_IsLeaf]]=1),"",IF(Tasks[[#This Row],[_AlapShift]]=0,Tasks[[#This Row],[_LeafFcstStart]],WORKDAY.INTL(Tasks[[#This Row],[_LeafFcstStart]],Tasks[[#This Row],[_AlapShift]],WorkWeek,Holidays)))</f>
        <v/>
      </c>
      <c r="FJ108" s="91" t="str">
        <f aca="false">IF(NOT(Tasks[[#This Row],[_IsLeaf]]=1),"",IF(Tasks[[#This Row],[_AlapShift]]=0,Tasks[[#This Row],[_LeafFcstFinish]],WORKDAY.INTL(Tasks[[#This Row],[_LeafFcstFinish]],Tasks[[#This Row],[_AlapShift]],WorkWeek,Holidays)))</f>
        <v/>
      </c>
      <c r="FK108" s="91" t="str">
        <f aca="false">IF(Tasks[[#This Row],[Task Name]]="","",IF(Tasks[[#This Row],[_IsSummary]],MIN(INDEX(Tasks[_ShownCalcStart],Tasks[[#This Row],[_Row]]+1):INDEX(Tasks[_ShownCalcStart],Tasks[[#This Row],[_Row]]+Tasks[[#This Row],[_Descendants]])),Tasks[[#This Row],[_ShownCalcStart]]))</f>
        <v/>
      </c>
      <c r="FL108" s="91" t="str">
        <f aca="false">IF(Tasks[[#This Row],[Task Name]]="","",IF(Tasks[[#This Row],[_IsSummary]],MAX(INDEX(Tasks[_ShownCalcFinish],Tasks[[#This Row],[_Row]]+1):INDEX(Tasks[_ShownCalcFinish],Tasks[[#This Row],[_Row]]+Tasks[[#This Row],[_Descendants]])),Tasks[[#This Row],[_ShownCalcFinish]]))</f>
        <v/>
      </c>
      <c r="FM10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8" s="43" t="n">
        <f aca="false">IF(AND(Tasks[[#This Row],[_IsLeaf]]=1,Tasks[[#This Row],[_LeafTotalWork]]&gt;0),NETWORKDAYS.INTL(ProjectStart,Tasks[[#This Row],[_ShownFcstStart]],WorkWeek,Holidays),0)</f>
        <v>0</v>
      </c>
      <c r="FZ108" s="43" t="n">
        <f aca="false">IF(AND(Tasks[[#This Row],[_IsLeaf]]=1,Tasks[[#This Row],[_LeafTotalWork]]&gt;0),MAX(Tasks[[#This Row],[_StartWorkday]],NETWORKDAYS.INTL(ProjectStart,Tasks[[#This Row],[_ShownFcstFinish]],WorkWeek,Holidays)),0)</f>
        <v>0</v>
      </c>
      <c r="GA108" s="43" t="n">
        <f aca="false">IF(AND(Tasks[[#This Row],[_IsLeaf]]=1,Tasks[[#This Row],[_LeafTotalWork]]&gt;0),Tasks[[#This Row],[_LeafWork]]/(Tasks[[#This Row],[_FinishWorkday]]-Tasks[[#This Row],[_StartWorkday]]+1),0)</f>
        <v>0</v>
      </c>
      <c r="GB108" s="43" t="n">
        <f aca="false">Tasks[[#This Row],[_WorkPerWorkday]]*(Tasks[[#This Row],[_StartWorkday]]-1)</f>
        <v>-0</v>
      </c>
      <c r="GC108" s="43" t="n">
        <f aca="false">IF(Tasks[[#This Row],[_IsLeaf]]=1,MAX(N(Tasks[[#This Row],[_Days]]),0.1),0)</f>
        <v>0</v>
      </c>
      <c r="GD108" s="43" t="n">
        <f aca="false">Tasks[[#This Row],[_WeightDur]]*Tasks[[#This Row],[_LeafProgress]]</f>
        <v>0</v>
      </c>
      <c r="GE108" s="43" t="n">
        <f aca="false">Tasks[[#This Row],[_WeightDur]]*Tasks[[#This Row],[_PlannedPct]]</f>
        <v>0</v>
      </c>
      <c r="GF10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3" t="str">
        <f aca="false">IF(AND(Tasks[[#This Row],[_IsLeaf]]=1,N(Tasks[[#This Row],[_Days]])=0,Tasks[[#This Row],[_LeafProgress]]&lt;1),Tasks[[#This Row],[_ShownFcstFinish]]+Tasks[[#This Row],[_Row]]/100000,"")</f>
        <v/>
      </c>
      <c r="GH10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8" s="43" t="str">
        <f aca="false">IF(Tasks[[#This Row],[Task Name]]="","",LEFT(Tasks[[#This Row],[WBS]],FIND(".",Tasks[[#This Row],[WBS]]&amp;".")-1))</f>
        <v/>
      </c>
      <c r="GJ108" s="43" t="str">
        <f aca="false">IF(AND(Tasks[[#This Row],[Task Name]]&lt;&gt;"",Tasks[[#This Row],[_Level]]=1),Tasks[[#This Row],[_Row]],"")</f>
        <v/>
      </c>
      <c r="GK108" s="43" t="str">
        <f aca="false">IF(AND(Tasks[[#This Row],[_IsLeaf]]=1,N(Tasks[[#This Row],[_Days]])=0),Tasks[[#This Row],[Planned Finish]]+Tasks[[#This Row],[_Row]]/100000,"")</f>
        <v/>
      </c>
      <c r="GL108" s="43" t="str">
        <f aca="false">IF(AND(Tasks[[#This Row],[_IsLeaf]]=1,Tasks[[#This Row],[_LeafProgress]]&lt;1,OR(N(Tasks[[#This Row],[Finish Var]])&gt;0,Tasks[[#This Row],[Status]]="Late Start")),MAX(0,Tasks[[#This Row],[Finish Var]])+1-Tasks[[#This Row],[_Row]]/1000000,"")</f>
        <v/>
      </c>
      <c r="GM108" s="43" t="str">
        <f aca="false">IF(AND(Tasks[[#This Row],[_IsLeaf]]=1,N(Tasks[[#This Row],[Actual Start]])=0,Tasks[[#This Row],[_ShownFcstStart]]&gt;=StatusDate,Tasks[[#This Row],[_ShownFcstStart]]&lt;=LookaheadEnd),Tasks[[#This Row],[_ShownFcstStart]]+Tasks[[#This Row],[_Row]]/100000,"")</f>
        <v/>
      </c>
      <c r="GN108" s="43" t="str">
        <f aca="false">IF(AND(Tasks[[#This Row],[_IsLeaf]]=1,Tasks[[#This Row],[_LeafProgress]]&lt;1,Tasks[[#This Row],[_ShownFcstFinish]]&gt;=StatusDate,Tasks[[#This Row],[_ShownFcstFinish]]&lt;=LookaheadEnd),Tasks[[#This Row],[_ShownFcstFinish]]+Tasks[[#This Row],[_Row]]/100000,"")</f>
        <v/>
      </c>
      <c r="GO108" s="43" t="str">
        <f aca="false">IF(Tasks[[#This Row],[_LeafCritical]],Tasks[[#This Row],[_ShownFcstStart]]+Tasks[[#This Row],[_Row]]/100000,"")</f>
        <v/>
      </c>
      <c r="GP108" s="43" t="n">
        <f aca="false">Tasks[[#This Row],[_LeafWork]]*Tasks[[#This Row],[_LeafProgress]]</f>
        <v>0</v>
      </c>
      <c r="GQ108" s="91" t="str">
        <f aca="false">IF(AND(Tasks[[#This Row],[_IsLeaf]]=1,Tasks[[#This Row],[_LeafProgress]]&gt;=1),IF(N(Tasks[[#This Row],[Actual Finish]])&gt;0,Tasks[[#This Row],[Actual Finish]],Tasks[[#This Row],[_ShownFcstFinish]]),"")</f>
        <v/>
      </c>
      <c r="GR108" s="43" t="n">
        <f aca="false">IF(Tasks[[#This Row],[_IsLeaf]]=1,N(Tasks[[#This Row],[Story Points]]),0)</f>
        <v>0</v>
      </c>
      <c r="GS108" s="43" t="str">
        <f aca="false">""</f>
        <v/>
      </c>
      <c r="GT108" s="90" t="b">
        <f aca="false">IF(Tasks[[#This Row],[Task Name]]="",FALSE(),AND(Tasks[[#This Row],[_IsLeaf]]=1,N(Tasks[[#This Row],[_Days]])=0))</f>
        <v>0</v>
      </c>
      <c r="GU108" s="91" t="n">
        <f aca="false">IF(Tasks[[#This Row],[Task Name]]="",0,IF(AND(Tasks[[#This Row],[_IsLeaf]]=1,NOT(Tasks[[#This Row],[_IsMilestone]]),N(Tasks[[#This Row],[Progress]])&gt;0),Tasks[[#This Row],[Start]],0))</f>
        <v>0</v>
      </c>
      <c r="GV108" s="91" t="n">
        <f aca="false">IF(Tasks[[#This Row],[_DoneFrom]]=0,0,IF(Tasks[[#This Row],[Progress]]&gt;=1,Tasks[[#This Row],[Finish]],MAX(Tasks[[#This Row],[_DoneFrom]],Tasks[[#This Row],[Start]]+ROUND((Tasks[[#This Row],[Finish]]-Tasks[[#This Row],[Start]]+1)*Tasks[[#This Row],[Progress]],0)-1)))</f>
        <v>0</v>
      </c>
      <c r="GW108" s="91" t="n">
        <f aca="false">IF(Tasks[[#This Row],[Task Name]]="",0,IF(OR(NOT(Tasks[[#This Row],[_IsLeaf]]=1),Tasks[[#This Row],[_IsMilestone]],N(Tasks[[#This Row],[Progress]])&gt;=1),0,IF(Tasks[[#This Row],[_DoneTo]]&gt;0,Tasks[[#This Row],[_DoneTo]]+1,Tasks[[#This Row],[Start]])))</f>
        <v>0</v>
      </c>
      <c r="GX108" s="91" t="n">
        <f aca="false">IF(Tasks[[#This Row],[_RemFrom]]=0,0,Tasks[[#This Row],[Finish]])</f>
        <v>0</v>
      </c>
      <c r="GY108" s="90" t="b">
        <f aca="false">IF(Tasks[[#This Row],[Task Name]]="",FALSE(),OR(NOT(BaselineSet),N(Tasks[[#This Row],[Baseline Start]])&gt;0))</f>
        <v>0</v>
      </c>
      <c r="GZ10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92" t="str">
        <f aca="false">IF(Tasks[[#This Row],[_IsLeaf]]=1,Tasks[[#This Row],[_Row]],"")</f>
        <v/>
      </c>
      <c r="HD108" s="92" t="str">
        <f aca="false">IFERROR(INDEX(Tasks[UID],SMALL(Tasks[_PickKey],Tasks[[#This Row],[_Row]]))&amp;" "&amp;INDEX(Tasks[Task Name],SMALL(Tasks[_PickKey],Tasks[[#This Row],[_Row]])),"")</f>
        <v/>
      </c>
      <c r="HE108" s="43" t="str">
        <f aca="false">IF(Tasks[[#This Row],[Task Name]]="","",IF(Tasks[[#This Row],[_IsSummary]],NETWORKDAYS.INTL(Tasks[[#This Row],[Start]],Tasks[[#This Row],[Finish]],WorkWeek,Holidays),N(Tasks[[#This Row],[_Days]])))</f>
        <v/>
      </c>
      <c r="HF108" s="43" t="n">
        <f aca="false">IF(Tasks[[#This Row],[Expected]]="",0,((Tasks[[#This Row],[Pessimistic]]-Tasks[[#This Row],[Optimistic]])/6)^2)</f>
        <v>0</v>
      </c>
      <c r="HG108" s="43" t="n">
        <f aca="false">IF(Tasks[[#This Row],[Expected]]="",0,Tasks[[#This Row],[Expected]]-N(Tasks[[#This Row],[_Days]]))</f>
        <v>0</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4"/>
      <c r="U109" s="23"/>
      <c r="V109" s="84"/>
      <c r="W109" s="23"/>
      <c r="X109" s="84"/>
      <c r="Y109" s="23"/>
      <c r="Z109" s="84"/>
      <c r="AA109" s="23"/>
      <c r="AB109" s="23"/>
      <c r="AC109" s="7"/>
      <c r="AD109" s="7"/>
      <c r="AE109" s="63" t="str">
        <f aca="false">IF(Tasks[[#This Row],[Task Name]]="","",IF(Tasks[[#This Row],[_IsSummary]],MIN(INDEX(Tasks[_ShownFcstStart],Tasks[[#This Row],[_Row]]+1):INDEX(Tasks[_ShownFcstStart],Tasks[[#This Row],[_Row]]+Tasks[[#This Row],[_Descendants]])),Tasks[[#This Row],[_ShownFcstStart]]))</f>
        <v/>
      </c>
      <c r="AF109" s="63"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9" s="7"/>
      <c r="AK109" s="22"/>
      <c r="AL109" s="23"/>
      <c r="AM109" s="7"/>
      <c r="AN109" s="47"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3" t="str">
        <f aca="false">IF(Tasks[[#This Row],[Task Name]]="","",IF(N(Tasks[[#This Row],[Baseline Start]])&gt;0,Tasks[[#This Row],[Baseline Start]],Tasks[[#This Row],[_CalcStart]]))</f>
        <v/>
      </c>
      <c r="AR109" s="63" t="str">
        <f aca="false">IF(Tasks[[#This Row],[Task Name]]="","",IF(N(Tasks[[#This Row],[Baseline Finish]])&gt;0,Tasks[[#This Row],[Baseline Finish]],Tasks[[#This Row],[_CalcFinish]]))</f>
        <v/>
      </c>
      <c r="AS109" s="47" t="str">
        <f aca="false">IF(Tasks[[#This Row],[Task Name]]="","",IF(Tasks[[#This Row],[Start]]&gt;=Tasks[[#This Row],[Planned Start]],NETWORKDAYS.INTL(Tasks[[#This Row],[Planned Start]],Tasks[[#This Row],[Start]],WorkWeek,Holidays)-1,1-NETWORKDAYS.INTL(Tasks[[#This Row],[Start]],Tasks[[#This Row],[Planned Start]],WorkWeek,Holidays)))</f>
        <v/>
      </c>
      <c r="AT109" s="63" t="str">
        <f aca="false">IF(Tasks[[#This Row],[Task Name]]="","",IF(Tasks[[#This Row],[_IsSummary]],MIN(INDEX(Tasks[_LeafLateStart],Tasks[[#This Row],[_Row]]+1):INDEX(Tasks[_LeafLateStart],Tasks[[#This Row],[_Row]]+Tasks[[#This Row],[_Descendants]])),Tasks[[#This Row],[_LeafLateStart]]))</f>
        <v/>
      </c>
      <c r="AU109" s="63" t="str">
        <f aca="false">IF(Tasks[[#This Row],[Task Name]]="","",IF(Tasks[[#This Row],[_IsSummary]],MAX(INDEX(Tasks[_LeafLateFinish],Tasks[[#This Row],[_Row]]+1):INDEX(Tasks[_LeafLateFinish],Tasks[[#This Row],[_Row]]+Tasks[[#This Row],[_Descendants]])),Tasks[[#This Row],[_LeafLateFinish]]))</f>
        <v/>
      </c>
      <c r="AV109" s="47"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5"/>
      <c r="BA10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6"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7"/>
      <c r="BJ109" s="22"/>
      <c r="BK109" s="47" t="str">
        <f aca="false">IF(OR(Tasks[[#This Row],[Task Name]]="",Tasks[[#This Row],[Baseline Duration]]=""),"",Tasks[[#This Row],[_SpanDays]]-N(Tasks[[#This Row],[Baseline Duration]]))</f>
        <v/>
      </c>
      <c r="BL109" s="86" t="str">
        <f aca="false">IF(OR(Tasks[[#This Row],[Task Name]]="",Tasks[[#This Row],[Baseline Work]]=""),"",Tasks[[#This Row],[Work]]-N(Tasks[[#This Row],[Baseline Work]]))</f>
        <v/>
      </c>
      <c r="BM109" s="63" t="str">
        <f aca="false">IF(Tasks[[#This Row],[Task Name]]="","",IF(OR(TakeBaseline="Yes",N(Tasks[[#This Row],[Baseline Start]])=0),Tasks[[#This Row],[Start]],Tasks[[#This Row],[Baseline Start]]))</f>
        <v/>
      </c>
      <c r="BN109" s="63" t="str">
        <f aca="false">IF(Tasks[[#This Row],[Task Name]]="","",IF(OR(TakeBaseline="Yes",N(Tasks[[#This Row],[Baseline Finish]])=0),Tasks[[#This Row],[Finish]],Tasks[[#This Row],[Baseline Finish]]))</f>
        <v/>
      </c>
      <c r="BO109" s="21" t="str">
        <f aca="false">IF(Tasks[[#This Row],[Task Name]]="","",IF(OR(TakeBaseline="Yes",N(Tasks[[#This Row],[Baseline Duration]])=0),Tasks[[#This Row],[_SpanDays]],Tasks[[#This Row],[Baseline Duration]]))</f>
        <v/>
      </c>
      <c r="BP109" s="86" t="str">
        <f aca="false">IF(Tasks[[#This Row],[Task Name]]="","",IF(OR(TakeBaseline="Yes",N(Tasks[[#This Row],[Baseline Work]])=0),Tasks[[#This Row],[Work]],Tasks[[#This Row],[Baseline Work]]))</f>
        <v/>
      </c>
      <c r="BQ109" s="7"/>
      <c r="BR109" s="7"/>
      <c r="BS109" s="22"/>
      <c r="BT109" s="88"/>
      <c r="BU109" s="23"/>
      <c r="BV109" s="23"/>
      <c r="BW109" s="23"/>
      <c r="BX109" s="89" t="str">
        <f aca="false">IF(AND(Tasks[[#This Row],[_IsLeaf]]=1,ISNUMBER(Tasks[[#This Row],[Optimistic]]),ISNUMBER(Tasks[[#This Row],[Pessimistic]])),ROUND((Tasks[[#This Row],[Optimistic]]+4*N(Tasks[[#This Row],[_Days]])+Tasks[[#This Row],[Pessimistic]])/6,1),"")</f>
        <v/>
      </c>
      <c r="BY109" s="87"/>
      <c r="BZ109" s="87"/>
      <c r="CA109" s="22"/>
      <c r="CB109" s="43" t="str">
        <f aca="false">IF(Tasks[[#This Row],[Task Name]]="","",MAX(1,N(Tasks[[#This Row],[Level]])))</f>
        <v/>
      </c>
      <c r="CC109" s="43" t="n">
        <f aca="false">ROW()-ROW(Tasks[[#Headers],[ID]])</f>
        <v>104</v>
      </c>
      <c r="CD109" s="43" t="n">
        <f aca="false">IF(OR(Tasks[[#This Row],[Task Name]]="",Tasks[[#This Row],[_Level]]&lt;=1),0,IFERROR(LOOKUP(2,1/(Tasks[[#Headers],[_Level]]:Tasks[[#This Row],[_Level]]=Tasks[[#This Row],[_Level]]-1),ROW(Tasks[[#Headers],[_Level]]:Tasks[[#This Row],[_Level]])),0))</f>
        <v>0</v>
      </c>
      <c r="CE109" s="43" t="n">
        <f aca="false">IFERROR(N(INDEX(Tasks[_Level],Tasks[[#This Row],[_Row]]+1)),0)</f>
        <v>0</v>
      </c>
      <c r="CF109" s="90" t="b">
        <f aca="false">AND(Tasks[[#This Row],[Task Name]]&lt;&gt;"",Tasks[[#This Row],[_NextLevel]]&gt;Tasks[[#This Row],[_Level]])</f>
        <v>0</v>
      </c>
      <c r="CG109" s="43" t="n">
        <f aca="false">IF(Tasks[[#This Row],[_IsSummary]],COUNTIF(Tasks[WBS],Tasks[[#This Row],[WBS]]&amp;".*"),0)</f>
        <v>0</v>
      </c>
      <c r="CH109" s="43" t="n">
        <f aca="false">IF(AND(Tasks[[#This Row],[Task Name]]&lt;&gt;"",NOT(Tasks[[#This Row],[_IsSummary]])),1,0)</f>
        <v>0</v>
      </c>
      <c r="CI109" s="43" t="n">
        <f aca="false">IF(N(Tasks[[#This Row],[_Pred1UID]])=0,0,IFERROR(MATCH(Tasks[[#This Row],[_Pred1UID]],Tasks[UID],0),-1))</f>
        <v>0</v>
      </c>
      <c r="CJ109" s="43" t="n">
        <f aca="false">IF(N(Tasks[[#This Row],[_Pred2UID]])=0,0,IFERROR(MATCH(Tasks[[#This Row],[_Pred2UID]],Tasks[UID],0),-1))</f>
        <v>0</v>
      </c>
      <c r="CK109" s="43" t="n">
        <f aca="false">IF(N(Tasks[[#This Row],[_Pred3UID]])=0,0,IFERROR(MATCH(Tasks[[#This Row],[_Pred3UID]],Tasks[UID],0),-1))</f>
        <v>0</v>
      </c>
      <c r="CL109" s="43" t="n">
        <f aca="false">IF(N(Tasks[[#This Row],[_Pred4UID]])=0,0,IFERROR(MATCH(Tasks[[#This Row],[_Pred4UID]],Tasks[UID],0),-1))</f>
        <v>0</v>
      </c>
      <c r="CM10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9" s="91" t="n">
        <f aca="false">IF(OR(Tasks[[#This Row],[_ConstraintCode]]=2,Tasks[[#This Row],[_ConstraintCode]]=3,Tasks[[#This Row],[_ConstraintCode]]=4,Tasks[[#This Row],[_ConstraintCode]]=6),Tasks[[#This Row],[_ConstraintStart]],0)</f>
        <v>0</v>
      </c>
      <c r="CP109" s="91" t="n">
        <f aca="false">IF(OR(Tasks[[#This Row],[_ConstraintCode]]=2,Tasks[[#This Row],[_ConstraintCode]]=3,Tasks[[#This Row],[_ConstraintCode]]=5,Tasks[[#This Row],[_ConstraintCode]]=7),Tasks[[#This Row],[_ConstraintStart]],2958465)</f>
        <v>2958465</v>
      </c>
      <c r="CQ10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91" t="str">
        <f aca="false">IF(NOT(Tasks[[#This Row],[_IsLeaf]]=1),"",IF(N(Tasks[[#This Row],[_Days]])&lt;=0,Tasks[[#This Row],[_LeafCalcStart]],WORKDAY.INTL(Tasks[[#This Row],[_LeafCalcStart]],Tasks[[#This Row],[_Days]]-1,WorkWeek,Holidays)))</f>
        <v/>
      </c>
      <c r="CS10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3" t="str">
        <f aca="false">IF(Tasks[[#This Row],[_Predecessors]]="","",TRIM(MID(SUBSTITUTE(SUBSTITUTE(SUBSTITUTE(UPPER(Tasks[[#This Row],[_Predecessors]]),";",",")," ",""),",",REPT(" ",99)),1,99)))</f>
        <v/>
      </c>
      <c r="CV109" s="43" t="str">
        <f aca="false">IF(Tasks[[#This Row],[_Pred1Text]]="","",IFERROR(VALUE(LEFT(Tasks[[#This Row],[_Pred1Text]],MIN(FIND("F",Tasks[[#This Row],[_Pred1Text]]&amp;"F"),FIND("S",Tasks[[#This Row],[_Pred1Text]]&amp;"S"),FIND("+",Tasks[[#This Row],[_Pred1Text]]&amp;"+"),FIND("-",Tasks[[#This Row],[_Pred1Text]]&amp;"-"))-1)),""))</f>
        <v/>
      </c>
      <c r="CW10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3" t="str">
        <f aca="false">IF(Tasks[[#This Row],[_Pred1Text]]="","",TRIM(MID(SUBSTITUTE(SUBSTITUTE(SUBSTITUTE(UPPER(Tasks[[#This Row],[_Predecessors]]),";",",")," ",""),",",REPT(" ",99)),100,99)))</f>
        <v/>
      </c>
      <c r="CZ109" s="43" t="str">
        <f aca="false">IF(Tasks[[#This Row],[_Pred2Text]]="","",IFERROR(VALUE(LEFT(Tasks[[#This Row],[_Pred2Text]],MIN(FIND("F",Tasks[[#This Row],[_Pred2Text]]&amp;"F"),FIND("S",Tasks[[#This Row],[_Pred2Text]]&amp;"S"),FIND("+",Tasks[[#This Row],[_Pred2Text]]&amp;"+"),FIND("-",Tasks[[#This Row],[_Pred2Text]]&amp;"-"))-1)),""))</f>
        <v/>
      </c>
      <c r="DA10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3" t="str">
        <f aca="false">IF(Tasks[[#This Row],[_Pred2Text]]="","",TRIM(MID(SUBSTITUTE(SUBSTITUTE(SUBSTITUTE(UPPER(Tasks[[#This Row],[_Predecessors]]),";",",")," ",""),",",REPT(" ",99)),199,99)))</f>
        <v/>
      </c>
      <c r="DD109" s="43" t="str">
        <f aca="false">IF(Tasks[[#This Row],[_Pred3Text]]="","",IFERROR(VALUE(LEFT(Tasks[[#This Row],[_Pred3Text]],MIN(FIND("F",Tasks[[#This Row],[_Pred3Text]]&amp;"F"),FIND("S",Tasks[[#This Row],[_Pred3Text]]&amp;"S"),FIND("+",Tasks[[#This Row],[_Pred3Text]]&amp;"+"),FIND("-",Tasks[[#This Row],[_Pred3Text]]&amp;"-"))-1)),""))</f>
        <v/>
      </c>
      <c r="DE10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3" t="str">
        <f aca="false">IF(Tasks[[#This Row],[_Pred3Text]]="","",TRIM(MID(SUBSTITUTE(SUBSTITUTE(SUBSTITUTE(UPPER(Tasks[[#This Row],[_Predecessors]]),";",",")," ",""),",",REPT(" ",99)),298,99)))</f>
        <v/>
      </c>
      <c r="DH109" s="43" t="str">
        <f aca="false">IF(Tasks[[#This Row],[_Pred4Text]]="","",IFERROR(VALUE(LEFT(Tasks[[#This Row],[_Pred4Text]],MIN(FIND("F",Tasks[[#This Row],[_Pred4Text]]&amp;"F"),FIND("S",Tasks[[#This Row],[_Pred4Text]]&amp;"S"),FIND("+",Tasks[[#This Row],[_Pred4Text]]&amp;"+"),FIND("-",Tasks[[#This Row],[_Pred4Text]]&amp;"-"))-1)),""))</f>
        <v/>
      </c>
      <c r="DI10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3" t="str">
        <f aca="false">IF(OR(Tasks[[#This Row],[Task Name]]="",Tasks[[#This Row],[_Resources]]=""),"",TRIM(MID(SUBSTITUTE(Tasks[[#This Row],[_Resources]],",",REPT(" ",99)),1,99)))</f>
        <v/>
      </c>
      <c r="DL109" s="43" t="str">
        <f aca="false">IF(Tasks[[#This Row],[_Res1Text]]="","",TRIM(MID(SUBSTITUTE(Tasks[[#This Row],[_Resources]],",",REPT(" ",99)),100,99)))</f>
        <v/>
      </c>
      <c r="DM109" s="43" t="str">
        <f aca="false">IF(Tasks[[#This Row],[_Res2Text]]="","",TRIM(MID(SUBSTITUTE(Tasks[[#This Row],[_Resources]],",",REPT(" ",99)),199,99)))</f>
        <v/>
      </c>
      <c r="DN109" s="43" t="str">
        <f aca="false">IF(Tasks[[#This Row],[_Res3Text]]="","",TRIM(MID(SUBSTITUTE(Tasks[[#This Row],[_Resources]],",",REPT(" ",99)),298,99)))</f>
        <v/>
      </c>
      <c r="DO109" s="43" t="n">
        <f aca="false">IF(Tasks[[#This Row],[_Res1Text]]="",0,IFERROR(MATCH(TRIM(LEFT(Tasks[[#This Row],[_Res1Text]],FIND("[",Tasks[[#This Row],[_Res1Text]]&amp;"[")-1)),res_Name,0),IFERROR(MATCH(TRIM(LEFT(Tasks[[#This Row],[_Res1Text]],FIND("[",Tasks[[#This Row],[_Res1Text]]&amp;"[")-1)),res_Initials,0),0)))</f>
        <v>0</v>
      </c>
      <c r="DP109" s="43" t="n">
        <f aca="false">IF(Tasks[[#This Row],[_Res2Text]]="",0,IFERROR(MATCH(TRIM(LEFT(Tasks[[#This Row],[_Res2Text]],FIND("[",Tasks[[#This Row],[_Res2Text]]&amp;"[")-1)),res_Name,0),IFERROR(MATCH(TRIM(LEFT(Tasks[[#This Row],[_Res2Text]],FIND("[",Tasks[[#This Row],[_Res2Text]]&amp;"[")-1)),res_Initials,0),0)))</f>
        <v>0</v>
      </c>
      <c r="DQ109" s="43" t="n">
        <f aca="false">IF(Tasks[[#This Row],[_Res3Text]]="",0,IFERROR(MATCH(TRIM(LEFT(Tasks[[#This Row],[_Res3Text]],FIND("[",Tasks[[#This Row],[_Res3Text]]&amp;"[")-1)),res_Name,0),IFERROR(MATCH(TRIM(LEFT(Tasks[[#This Row],[_Res3Text]],FIND("[",Tasks[[#This Row],[_Res3Text]]&amp;"[")-1)),res_Initials,0),0)))</f>
        <v>0</v>
      </c>
      <c r="DR109" s="43" t="n">
        <f aca="false">IF(Tasks[[#This Row],[_Res4Text]]="",0,IFERROR(MATCH(TRIM(LEFT(Tasks[[#This Row],[_Res4Text]],FIND("[",Tasks[[#This Row],[_Res4Text]]&amp;"[")-1)),res_Name,0),IFERROR(MATCH(TRIM(LEFT(Tasks[[#This Row],[_Res4Text]],FIND("[",Tasks[[#This Row],[_Res4Text]]&amp;"[")-1)),res_Initials,0),0)))</f>
        <v>0</v>
      </c>
      <c r="DS109" s="43" t="str">
        <f aca="false">IF(Tasks[[#This Row],[_Res1Text]]="","",IF(Tasks[[#This Row],[_Res1Row]]&gt;0,INDEX(res_Name,Tasks[[#This Row],[_Res1Row]]),TRIM(LEFT(Tasks[[#This Row],[_Res1Text]],FIND("[",Tasks[[#This Row],[_Res1Text]]&amp;"[")-1))))</f>
        <v/>
      </c>
      <c r="DT10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3" t="n">
        <f aca="false">IF(NOT(Tasks[[#This Row],[_IsLeaf]]=1),0,(Tasks[[#This Row],[_Resource1]]&lt;&gt;"")+(Tasks[[#This Row],[_Res2]]&lt;&gt;"")+(Tasks[[#This Row],[_Res3]]&lt;&gt;"")+(Tasks[[#This Row],[_Res4]]&lt;&gt;""))</f>
        <v>0</v>
      </c>
      <c r="DV109" s="43" t="str">
        <f aca="false">IF(Tasks[[#This Row],[_Res2Text]]="","",IF(Tasks[[#This Row],[_Res2Row]]&gt;0,INDEX(res_Name,Tasks[[#This Row],[_Res2Row]]),TRIM(LEFT(Tasks[[#This Row],[_Res2Text]],FIND("[",Tasks[[#This Row],[_Res2Text]]&amp;"[")-1))))</f>
        <v/>
      </c>
      <c r="DW10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3" t="n">
        <f aca="false">IF(OR(NOT(Tasks[[#This Row],[_IsLeaf]]=1),Tasks[[#This Row],[_Res2Row]]=0),0,N(Tasks[[#This Row],[_Days]])*HoursPerDay*IF(Tasks[[#This Row],[_Res2Units]]="",DefaultUnits,Tasks[[#This Row],[_Res2Units]]))</f>
        <v>0</v>
      </c>
      <c r="DY109" s="43" t="n">
        <f aca="false">IF(AND(AND(Tasks[[#This Row],[_IsLeaf]]=1,Tasks[[#This Row],[_LeafTotalWork]]&gt;0),Tasks[[#This Row],[_Res2Work]]&gt;0),Tasks[[#This Row],[_Res2Work]]/(Tasks[[#This Row],[_FinishWorkday]]-Tasks[[#This Row],[_StartWorkday]]+1),0)</f>
        <v>0</v>
      </c>
      <c r="DZ109" s="43" t="n">
        <f aca="false">Tasks[[#This Row],[_Res2WorkPerWD]]*MAX(0,Tasks[[#This Row],[_StartWorkday]]-1)</f>
        <v>0</v>
      </c>
      <c r="EA109" s="43" t="n">
        <f aca="false">Tasks[[#This Row],[_Res2Work]]*Tasks[[#This Row],[_LeafProgress]]</f>
        <v>0</v>
      </c>
      <c r="EB109" s="43" t="str">
        <f aca="false">IF(Tasks[[#This Row],[_Res3Text]]="","",IF(Tasks[[#This Row],[_Res3Row]]&gt;0,INDEX(res_Name,Tasks[[#This Row],[_Res3Row]]),TRIM(LEFT(Tasks[[#This Row],[_Res3Text]],FIND("[",Tasks[[#This Row],[_Res3Text]]&amp;"[")-1))))</f>
        <v/>
      </c>
      <c r="EC10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3" t="n">
        <f aca="false">IF(OR(NOT(Tasks[[#This Row],[_IsLeaf]]=1),Tasks[[#This Row],[_Res3Row]]=0),0,N(Tasks[[#This Row],[_Days]])*HoursPerDay*IF(Tasks[[#This Row],[_Res3Units]]="",DefaultUnits,Tasks[[#This Row],[_Res3Units]]))</f>
        <v>0</v>
      </c>
      <c r="EE109" s="43" t="n">
        <f aca="false">IF(AND(AND(Tasks[[#This Row],[_IsLeaf]]=1,Tasks[[#This Row],[_LeafTotalWork]]&gt;0),Tasks[[#This Row],[_Res3Work]]&gt;0),Tasks[[#This Row],[_Res3Work]]/(Tasks[[#This Row],[_FinishWorkday]]-Tasks[[#This Row],[_StartWorkday]]+1),0)</f>
        <v>0</v>
      </c>
      <c r="EF109" s="43" t="n">
        <f aca="false">Tasks[[#This Row],[_Res3WorkPerWD]]*MAX(0,Tasks[[#This Row],[_StartWorkday]]-1)</f>
        <v>0</v>
      </c>
      <c r="EG109" s="43" t="n">
        <f aca="false">Tasks[[#This Row],[_Res3Work]]*Tasks[[#This Row],[_LeafProgress]]</f>
        <v>0</v>
      </c>
      <c r="EH109" s="43" t="str">
        <f aca="false">IF(Tasks[[#This Row],[_Res4Text]]="","",IF(Tasks[[#This Row],[_Res4Row]]&gt;0,INDEX(res_Name,Tasks[[#This Row],[_Res4Row]]),TRIM(LEFT(Tasks[[#This Row],[_Res4Text]],FIND("[",Tasks[[#This Row],[_Res4Text]]&amp;"[")-1))))</f>
        <v/>
      </c>
      <c r="EI10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3" t="n">
        <f aca="false">IF(OR(NOT(Tasks[[#This Row],[_IsLeaf]]=1),Tasks[[#This Row],[_Res4Row]]=0),0,N(Tasks[[#This Row],[_Days]])*HoursPerDay*IF(Tasks[[#This Row],[_Res4Units]]="",DefaultUnits,Tasks[[#This Row],[_Res4Units]]))</f>
        <v>0</v>
      </c>
      <c r="EK109" s="43" t="n">
        <f aca="false">IF(AND(AND(Tasks[[#This Row],[_IsLeaf]]=1,Tasks[[#This Row],[_LeafTotalWork]]&gt;0),Tasks[[#This Row],[_Res4Work]]&gt;0),Tasks[[#This Row],[_Res4Work]]/(Tasks[[#This Row],[_FinishWorkday]]-Tasks[[#This Row],[_StartWorkday]]+1),0)</f>
        <v>0</v>
      </c>
      <c r="EL109" s="43" t="n">
        <f aca="false">Tasks[[#This Row],[_Res4WorkPerWD]]*MAX(0,Tasks[[#This Row],[_StartWorkday]]-1)</f>
        <v>0</v>
      </c>
      <c r="EM109" s="43" t="n">
        <f aca="false">Tasks[[#This Row],[_Res4Work]]*Tasks[[#This Row],[_LeafProgress]]</f>
        <v>0</v>
      </c>
      <c r="EN109" s="43" t="n">
        <f aca="false">IF(ISNUMBER(Tasks[[#This Row],[% Complete]]),Tasks[[#This Row],[% Complete]],IF(Tasks[[#This Row],[Stage]]="",0,IFERROR(INDEX(stg_Pct,MATCH(Tasks[[#This Row],[Stage]],stg_Name,0)),0)))</f>
        <v>0</v>
      </c>
      <c r="EO109" s="43" t="n">
        <f aca="false">IF(NOT(Tasks[[#This Row],[_IsLeaf]]=1),0,IF(N(Tasks[[#This Row],[Actual Finish]])&gt;0,1,MIN(1,Tasks[[#This Row],[_Pct]])))</f>
        <v>0</v>
      </c>
      <c r="EP109" s="43" t="n">
        <f aca="false">IF(OR(NOT(Tasks[[#This Row],[_IsLeaf]]=1),Tasks[[#This Row],[_Res1Row]]=0),0,N(Tasks[[#This Row],[_Days]])*HoursPerDay*IF(Tasks[[#This Row],[_Units1]]="",DefaultUnits,Tasks[[#This Row],[_Units1]]))</f>
        <v>0</v>
      </c>
      <c r="EQ109" s="43" t="n">
        <f aca="false">Tasks[[#This Row],[_LeafWork]]+Tasks[[#This Row],[_Res2Work]]+Tasks[[#This Row],[_Res3Work]]+Tasks[[#This Row],[_Res4Work]]</f>
        <v>0</v>
      </c>
      <c r="ER10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3" t="n">
        <f aca="false">IF(NOT(Tasks[[#This Row],[_IsLeaf]]=1),0,MAX(_xlfn.MAXIFS(Tasks[_Row],Tasks[_Pred1UID],Tasks[[#This Row],[UID]]),_xlfn.MAXIFS(Tasks[_Row],Tasks[_Pred2UID],Tasks[[#This Row],[UID]]),_xlfn.MAXIFS(Tasks[_Row],Tasks[_Pred3UID],Tasks[[#This Row],[UID]]),_xlfn.MAXIFS(Tasks[_Row],Tasks[_Pred4UID],Tasks[[#This Row],[UID]])))</f>
        <v>0</v>
      </c>
      <c r="FA10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91" t="str">
        <f aca="false">IF(NOT(Tasks[[#This Row],[_IsLeaf]]=1),"",IF(N(Tasks[[#This Row],[_Days]])&lt;=0,Tasks[[#This Row],[_LeafLateFinish]],WORKDAY.INTL(Tasks[[#This Row],[_LeafLateFinish]],-(Tasks[[#This Row],[_Days]]-1),WorkWeek,Holidays)))</f>
        <v/>
      </c>
      <c r="FD10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9" s="90" t="b">
        <f aca="false">AND(Tasks[[#This Row],[_IsLeaf]]=1,Tasks[[#This Row],[_LeafProgress]]&lt;1,N(Tasks[[#This Row],[_LeafTotalSlack]])&lt;=CriticalSlackDays)</f>
        <v>0</v>
      </c>
      <c r="FF109" s="43" t="n">
        <f aca="false">IF(AND(Tasks[[#This Row],[_IsLeaf]]=1,Tasks[[#This Row],[_ConstraintCode]]=1,Tasks[[#This Row],[Mode]]&lt;&gt;"Manual",N(Tasks[[#This Row],[Actual Start]])=0),MAX(0,N(Tasks[[#This Row],[Free Slack]])),0)</f>
        <v>0</v>
      </c>
      <c r="FG109" s="91" t="str">
        <f aca="false">IF(NOT(Tasks[[#This Row],[_IsLeaf]]=1),"",IF(Tasks[[#This Row],[_AlapShift]]=0,Tasks[[#This Row],[_LeafCalcStart]],WORKDAY.INTL(Tasks[[#This Row],[_LeafCalcStart]],Tasks[[#This Row],[_AlapShift]],WorkWeek,Holidays)))</f>
        <v/>
      </c>
      <c r="FH109" s="91" t="str">
        <f aca="false">IF(NOT(Tasks[[#This Row],[_IsLeaf]]=1),"",IF(Tasks[[#This Row],[_AlapShift]]=0,Tasks[[#This Row],[_LeafCalcFinish]],WORKDAY.INTL(Tasks[[#This Row],[_LeafCalcFinish]],Tasks[[#This Row],[_AlapShift]],WorkWeek,Holidays)))</f>
        <v/>
      </c>
      <c r="FI109" s="91" t="str">
        <f aca="false">IF(NOT(Tasks[[#This Row],[_IsLeaf]]=1),"",IF(Tasks[[#This Row],[_AlapShift]]=0,Tasks[[#This Row],[_LeafFcstStart]],WORKDAY.INTL(Tasks[[#This Row],[_LeafFcstStart]],Tasks[[#This Row],[_AlapShift]],WorkWeek,Holidays)))</f>
        <v/>
      </c>
      <c r="FJ109" s="91" t="str">
        <f aca="false">IF(NOT(Tasks[[#This Row],[_IsLeaf]]=1),"",IF(Tasks[[#This Row],[_AlapShift]]=0,Tasks[[#This Row],[_LeafFcstFinish]],WORKDAY.INTL(Tasks[[#This Row],[_LeafFcstFinish]],Tasks[[#This Row],[_AlapShift]],WorkWeek,Holidays)))</f>
        <v/>
      </c>
      <c r="FK109" s="91" t="str">
        <f aca="false">IF(Tasks[[#This Row],[Task Name]]="","",IF(Tasks[[#This Row],[_IsSummary]],MIN(INDEX(Tasks[_ShownCalcStart],Tasks[[#This Row],[_Row]]+1):INDEX(Tasks[_ShownCalcStart],Tasks[[#This Row],[_Row]]+Tasks[[#This Row],[_Descendants]])),Tasks[[#This Row],[_ShownCalcStart]]))</f>
        <v/>
      </c>
      <c r="FL109" s="91" t="str">
        <f aca="false">IF(Tasks[[#This Row],[Task Name]]="","",IF(Tasks[[#This Row],[_IsSummary]],MAX(INDEX(Tasks[_ShownCalcFinish],Tasks[[#This Row],[_Row]]+1):INDEX(Tasks[_ShownCalcFinish],Tasks[[#This Row],[_Row]]+Tasks[[#This Row],[_Descendants]])),Tasks[[#This Row],[_ShownCalcFinish]]))</f>
        <v/>
      </c>
      <c r="FM10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9" s="43" t="n">
        <f aca="false">IF(AND(Tasks[[#This Row],[_IsLeaf]]=1,Tasks[[#This Row],[_LeafTotalWork]]&gt;0),NETWORKDAYS.INTL(ProjectStart,Tasks[[#This Row],[_ShownFcstStart]],WorkWeek,Holidays),0)</f>
        <v>0</v>
      </c>
      <c r="FZ109" s="43" t="n">
        <f aca="false">IF(AND(Tasks[[#This Row],[_IsLeaf]]=1,Tasks[[#This Row],[_LeafTotalWork]]&gt;0),MAX(Tasks[[#This Row],[_StartWorkday]],NETWORKDAYS.INTL(ProjectStart,Tasks[[#This Row],[_ShownFcstFinish]],WorkWeek,Holidays)),0)</f>
        <v>0</v>
      </c>
      <c r="GA109" s="43" t="n">
        <f aca="false">IF(AND(Tasks[[#This Row],[_IsLeaf]]=1,Tasks[[#This Row],[_LeafTotalWork]]&gt;0),Tasks[[#This Row],[_LeafWork]]/(Tasks[[#This Row],[_FinishWorkday]]-Tasks[[#This Row],[_StartWorkday]]+1),0)</f>
        <v>0</v>
      </c>
      <c r="GB109" s="43" t="n">
        <f aca="false">Tasks[[#This Row],[_WorkPerWorkday]]*(Tasks[[#This Row],[_StartWorkday]]-1)</f>
        <v>-0</v>
      </c>
      <c r="GC109" s="43" t="n">
        <f aca="false">IF(Tasks[[#This Row],[_IsLeaf]]=1,MAX(N(Tasks[[#This Row],[_Days]]),0.1),0)</f>
        <v>0</v>
      </c>
      <c r="GD109" s="43" t="n">
        <f aca="false">Tasks[[#This Row],[_WeightDur]]*Tasks[[#This Row],[_LeafProgress]]</f>
        <v>0</v>
      </c>
      <c r="GE109" s="43" t="n">
        <f aca="false">Tasks[[#This Row],[_WeightDur]]*Tasks[[#This Row],[_PlannedPct]]</f>
        <v>0</v>
      </c>
      <c r="GF10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3" t="str">
        <f aca="false">IF(AND(Tasks[[#This Row],[_IsLeaf]]=1,N(Tasks[[#This Row],[_Days]])=0,Tasks[[#This Row],[_LeafProgress]]&lt;1),Tasks[[#This Row],[_ShownFcstFinish]]+Tasks[[#This Row],[_Row]]/100000,"")</f>
        <v/>
      </c>
      <c r="GH10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9" s="43" t="str">
        <f aca="false">IF(Tasks[[#This Row],[Task Name]]="","",LEFT(Tasks[[#This Row],[WBS]],FIND(".",Tasks[[#This Row],[WBS]]&amp;".")-1))</f>
        <v/>
      </c>
      <c r="GJ109" s="43" t="str">
        <f aca="false">IF(AND(Tasks[[#This Row],[Task Name]]&lt;&gt;"",Tasks[[#This Row],[_Level]]=1),Tasks[[#This Row],[_Row]],"")</f>
        <v/>
      </c>
      <c r="GK109" s="43" t="str">
        <f aca="false">IF(AND(Tasks[[#This Row],[_IsLeaf]]=1,N(Tasks[[#This Row],[_Days]])=0),Tasks[[#This Row],[Planned Finish]]+Tasks[[#This Row],[_Row]]/100000,"")</f>
        <v/>
      </c>
      <c r="GL109" s="43" t="str">
        <f aca="false">IF(AND(Tasks[[#This Row],[_IsLeaf]]=1,Tasks[[#This Row],[_LeafProgress]]&lt;1,OR(N(Tasks[[#This Row],[Finish Var]])&gt;0,Tasks[[#This Row],[Status]]="Late Start")),MAX(0,Tasks[[#This Row],[Finish Var]])+1-Tasks[[#This Row],[_Row]]/1000000,"")</f>
        <v/>
      </c>
      <c r="GM109" s="43" t="str">
        <f aca="false">IF(AND(Tasks[[#This Row],[_IsLeaf]]=1,N(Tasks[[#This Row],[Actual Start]])=0,Tasks[[#This Row],[_ShownFcstStart]]&gt;=StatusDate,Tasks[[#This Row],[_ShownFcstStart]]&lt;=LookaheadEnd),Tasks[[#This Row],[_ShownFcstStart]]+Tasks[[#This Row],[_Row]]/100000,"")</f>
        <v/>
      </c>
      <c r="GN109" s="43" t="str">
        <f aca="false">IF(AND(Tasks[[#This Row],[_IsLeaf]]=1,Tasks[[#This Row],[_LeafProgress]]&lt;1,Tasks[[#This Row],[_ShownFcstFinish]]&gt;=StatusDate,Tasks[[#This Row],[_ShownFcstFinish]]&lt;=LookaheadEnd),Tasks[[#This Row],[_ShownFcstFinish]]+Tasks[[#This Row],[_Row]]/100000,"")</f>
        <v/>
      </c>
      <c r="GO109" s="43" t="str">
        <f aca="false">IF(Tasks[[#This Row],[_LeafCritical]],Tasks[[#This Row],[_ShownFcstStart]]+Tasks[[#This Row],[_Row]]/100000,"")</f>
        <v/>
      </c>
      <c r="GP109" s="43" t="n">
        <f aca="false">Tasks[[#This Row],[_LeafWork]]*Tasks[[#This Row],[_LeafProgress]]</f>
        <v>0</v>
      </c>
      <c r="GQ109" s="91" t="str">
        <f aca="false">IF(AND(Tasks[[#This Row],[_IsLeaf]]=1,Tasks[[#This Row],[_LeafProgress]]&gt;=1),IF(N(Tasks[[#This Row],[Actual Finish]])&gt;0,Tasks[[#This Row],[Actual Finish]],Tasks[[#This Row],[_ShownFcstFinish]]),"")</f>
        <v/>
      </c>
      <c r="GR109" s="43" t="n">
        <f aca="false">IF(Tasks[[#This Row],[_IsLeaf]]=1,N(Tasks[[#This Row],[Story Points]]),0)</f>
        <v>0</v>
      </c>
      <c r="GS109" s="43" t="str">
        <f aca="false">""</f>
        <v/>
      </c>
      <c r="GT109" s="90" t="b">
        <f aca="false">IF(Tasks[[#This Row],[Task Name]]="",FALSE(),AND(Tasks[[#This Row],[_IsLeaf]]=1,N(Tasks[[#This Row],[_Days]])=0))</f>
        <v>0</v>
      </c>
      <c r="GU109" s="91" t="n">
        <f aca="false">IF(Tasks[[#This Row],[Task Name]]="",0,IF(AND(Tasks[[#This Row],[_IsLeaf]]=1,NOT(Tasks[[#This Row],[_IsMilestone]]),N(Tasks[[#This Row],[Progress]])&gt;0),Tasks[[#This Row],[Start]],0))</f>
        <v>0</v>
      </c>
      <c r="GV109" s="91" t="n">
        <f aca="false">IF(Tasks[[#This Row],[_DoneFrom]]=0,0,IF(Tasks[[#This Row],[Progress]]&gt;=1,Tasks[[#This Row],[Finish]],MAX(Tasks[[#This Row],[_DoneFrom]],Tasks[[#This Row],[Start]]+ROUND((Tasks[[#This Row],[Finish]]-Tasks[[#This Row],[Start]]+1)*Tasks[[#This Row],[Progress]],0)-1)))</f>
        <v>0</v>
      </c>
      <c r="GW109" s="91" t="n">
        <f aca="false">IF(Tasks[[#This Row],[Task Name]]="",0,IF(OR(NOT(Tasks[[#This Row],[_IsLeaf]]=1),Tasks[[#This Row],[_IsMilestone]],N(Tasks[[#This Row],[Progress]])&gt;=1),0,IF(Tasks[[#This Row],[_DoneTo]]&gt;0,Tasks[[#This Row],[_DoneTo]]+1,Tasks[[#This Row],[Start]])))</f>
        <v>0</v>
      </c>
      <c r="GX109" s="91" t="n">
        <f aca="false">IF(Tasks[[#This Row],[_RemFrom]]=0,0,Tasks[[#This Row],[Finish]])</f>
        <v>0</v>
      </c>
      <c r="GY109" s="90" t="b">
        <f aca="false">IF(Tasks[[#This Row],[Task Name]]="",FALSE(),OR(NOT(BaselineSet),N(Tasks[[#This Row],[Baseline Start]])&gt;0))</f>
        <v>0</v>
      </c>
      <c r="GZ10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92" t="str">
        <f aca="false">IF(Tasks[[#This Row],[_IsLeaf]]=1,Tasks[[#This Row],[_Row]],"")</f>
        <v/>
      </c>
      <c r="HD109" s="92" t="str">
        <f aca="false">IFERROR(INDEX(Tasks[UID],SMALL(Tasks[_PickKey],Tasks[[#This Row],[_Row]]))&amp;" "&amp;INDEX(Tasks[Task Name],SMALL(Tasks[_PickKey],Tasks[[#This Row],[_Row]])),"")</f>
        <v/>
      </c>
      <c r="HE109" s="43" t="str">
        <f aca="false">IF(Tasks[[#This Row],[Task Name]]="","",IF(Tasks[[#This Row],[_IsSummary]],NETWORKDAYS.INTL(Tasks[[#This Row],[Start]],Tasks[[#This Row],[Finish]],WorkWeek,Holidays),N(Tasks[[#This Row],[_Days]])))</f>
        <v/>
      </c>
      <c r="HF109" s="43" t="n">
        <f aca="false">IF(Tasks[[#This Row],[Expected]]="",0,((Tasks[[#This Row],[Pessimistic]]-Tasks[[#This Row],[Optimistic]])/6)^2)</f>
        <v>0</v>
      </c>
      <c r="HG109" s="43" t="n">
        <f aca="false">IF(Tasks[[#This Row],[Expected]]="",0,Tasks[[#This Row],[Expected]]-N(Tasks[[#This Row],[_Days]]))</f>
        <v>0</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4"/>
      <c r="U110" s="23"/>
      <c r="V110" s="84"/>
      <c r="W110" s="23"/>
      <c r="X110" s="84"/>
      <c r="Y110" s="23"/>
      <c r="Z110" s="84"/>
      <c r="AA110" s="23"/>
      <c r="AB110" s="23"/>
      <c r="AC110" s="7"/>
      <c r="AD110" s="7"/>
      <c r="AE110" s="63" t="str">
        <f aca="false">IF(Tasks[[#This Row],[Task Name]]="","",IF(Tasks[[#This Row],[_IsSummary]],MIN(INDEX(Tasks[_ShownFcstStart],Tasks[[#This Row],[_Row]]+1):INDEX(Tasks[_ShownFcstStart],Tasks[[#This Row],[_Row]]+Tasks[[#This Row],[_Descendants]])),Tasks[[#This Row],[_ShownFcstStart]]))</f>
        <v/>
      </c>
      <c r="AF110" s="63"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0" s="7"/>
      <c r="AK110" s="22"/>
      <c r="AL110" s="23"/>
      <c r="AM110" s="7"/>
      <c r="AN110" s="47"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3" t="str">
        <f aca="false">IF(Tasks[[#This Row],[Task Name]]="","",IF(N(Tasks[[#This Row],[Baseline Start]])&gt;0,Tasks[[#This Row],[Baseline Start]],Tasks[[#This Row],[_CalcStart]]))</f>
        <v/>
      </c>
      <c r="AR110" s="63" t="str">
        <f aca="false">IF(Tasks[[#This Row],[Task Name]]="","",IF(N(Tasks[[#This Row],[Baseline Finish]])&gt;0,Tasks[[#This Row],[Baseline Finish]],Tasks[[#This Row],[_CalcFinish]]))</f>
        <v/>
      </c>
      <c r="AS110" s="47" t="str">
        <f aca="false">IF(Tasks[[#This Row],[Task Name]]="","",IF(Tasks[[#This Row],[Start]]&gt;=Tasks[[#This Row],[Planned Start]],NETWORKDAYS.INTL(Tasks[[#This Row],[Planned Start]],Tasks[[#This Row],[Start]],WorkWeek,Holidays)-1,1-NETWORKDAYS.INTL(Tasks[[#This Row],[Start]],Tasks[[#This Row],[Planned Start]],WorkWeek,Holidays)))</f>
        <v/>
      </c>
      <c r="AT110" s="63" t="str">
        <f aca="false">IF(Tasks[[#This Row],[Task Name]]="","",IF(Tasks[[#This Row],[_IsSummary]],MIN(INDEX(Tasks[_LeafLateStart],Tasks[[#This Row],[_Row]]+1):INDEX(Tasks[_LeafLateStart],Tasks[[#This Row],[_Row]]+Tasks[[#This Row],[_Descendants]])),Tasks[[#This Row],[_LeafLateStart]]))</f>
        <v/>
      </c>
      <c r="AU110" s="63" t="str">
        <f aca="false">IF(Tasks[[#This Row],[Task Name]]="","",IF(Tasks[[#This Row],[_IsSummary]],MAX(INDEX(Tasks[_LeafLateFinish],Tasks[[#This Row],[_Row]]+1):INDEX(Tasks[_LeafLateFinish],Tasks[[#This Row],[_Row]]+Tasks[[#This Row],[_Descendants]])),Tasks[[#This Row],[_LeafLateFinish]]))</f>
        <v/>
      </c>
      <c r="AV110" s="47"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5"/>
      <c r="BA11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6"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7"/>
      <c r="BJ110" s="22"/>
      <c r="BK110" s="47" t="str">
        <f aca="false">IF(OR(Tasks[[#This Row],[Task Name]]="",Tasks[[#This Row],[Baseline Duration]]=""),"",Tasks[[#This Row],[_SpanDays]]-N(Tasks[[#This Row],[Baseline Duration]]))</f>
        <v/>
      </c>
      <c r="BL110" s="86" t="str">
        <f aca="false">IF(OR(Tasks[[#This Row],[Task Name]]="",Tasks[[#This Row],[Baseline Work]]=""),"",Tasks[[#This Row],[Work]]-N(Tasks[[#This Row],[Baseline Work]]))</f>
        <v/>
      </c>
      <c r="BM110" s="63" t="str">
        <f aca="false">IF(Tasks[[#This Row],[Task Name]]="","",IF(OR(TakeBaseline="Yes",N(Tasks[[#This Row],[Baseline Start]])=0),Tasks[[#This Row],[Start]],Tasks[[#This Row],[Baseline Start]]))</f>
        <v/>
      </c>
      <c r="BN110" s="63" t="str">
        <f aca="false">IF(Tasks[[#This Row],[Task Name]]="","",IF(OR(TakeBaseline="Yes",N(Tasks[[#This Row],[Baseline Finish]])=0),Tasks[[#This Row],[Finish]],Tasks[[#This Row],[Baseline Finish]]))</f>
        <v/>
      </c>
      <c r="BO110" s="21" t="str">
        <f aca="false">IF(Tasks[[#This Row],[Task Name]]="","",IF(OR(TakeBaseline="Yes",N(Tasks[[#This Row],[Baseline Duration]])=0),Tasks[[#This Row],[_SpanDays]],Tasks[[#This Row],[Baseline Duration]]))</f>
        <v/>
      </c>
      <c r="BP110" s="86" t="str">
        <f aca="false">IF(Tasks[[#This Row],[Task Name]]="","",IF(OR(TakeBaseline="Yes",N(Tasks[[#This Row],[Baseline Work]])=0),Tasks[[#This Row],[Work]],Tasks[[#This Row],[Baseline Work]]))</f>
        <v/>
      </c>
      <c r="BQ110" s="7"/>
      <c r="BR110" s="7"/>
      <c r="BS110" s="22"/>
      <c r="BT110" s="88"/>
      <c r="BU110" s="23"/>
      <c r="BV110" s="23"/>
      <c r="BW110" s="23"/>
      <c r="BX110" s="89" t="str">
        <f aca="false">IF(AND(Tasks[[#This Row],[_IsLeaf]]=1,ISNUMBER(Tasks[[#This Row],[Optimistic]]),ISNUMBER(Tasks[[#This Row],[Pessimistic]])),ROUND((Tasks[[#This Row],[Optimistic]]+4*N(Tasks[[#This Row],[_Days]])+Tasks[[#This Row],[Pessimistic]])/6,1),"")</f>
        <v/>
      </c>
      <c r="BY110" s="87"/>
      <c r="BZ110" s="87"/>
      <c r="CA110" s="22"/>
      <c r="CB110" s="43" t="str">
        <f aca="false">IF(Tasks[[#This Row],[Task Name]]="","",MAX(1,N(Tasks[[#This Row],[Level]])))</f>
        <v/>
      </c>
      <c r="CC110" s="43" t="n">
        <f aca="false">ROW()-ROW(Tasks[[#Headers],[ID]])</f>
        <v>105</v>
      </c>
      <c r="CD110" s="43" t="n">
        <f aca="false">IF(OR(Tasks[[#This Row],[Task Name]]="",Tasks[[#This Row],[_Level]]&lt;=1),0,IFERROR(LOOKUP(2,1/(Tasks[[#Headers],[_Level]]:Tasks[[#This Row],[_Level]]=Tasks[[#This Row],[_Level]]-1),ROW(Tasks[[#Headers],[_Level]]:Tasks[[#This Row],[_Level]])),0))</f>
        <v>0</v>
      </c>
      <c r="CE110" s="43" t="n">
        <f aca="false">IFERROR(N(INDEX(Tasks[_Level],Tasks[[#This Row],[_Row]]+1)),0)</f>
        <v>0</v>
      </c>
      <c r="CF110" s="90" t="b">
        <f aca="false">AND(Tasks[[#This Row],[Task Name]]&lt;&gt;"",Tasks[[#This Row],[_NextLevel]]&gt;Tasks[[#This Row],[_Level]])</f>
        <v>0</v>
      </c>
      <c r="CG110" s="43" t="n">
        <f aca="false">IF(Tasks[[#This Row],[_IsSummary]],COUNTIF(Tasks[WBS],Tasks[[#This Row],[WBS]]&amp;".*"),0)</f>
        <v>0</v>
      </c>
      <c r="CH110" s="43" t="n">
        <f aca="false">IF(AND(Tasks[[#This Row],[Task Name]]&lt;&gt;"",NOT(Tasks[[#This Row],[_IsSummary]])),1,0)</f>
        <v>0</v>
      </c>
      <c r="CI110" s="43" t="n">
        <f aca="false">IF(N(Tasks[[#This Row],[_Pred1UID]])=0,0,IFERROR(MATCH(Tasks[[#This Row],[_Pred1UID]],Tasks[UID],0),-1))</f>
        <v>0</v>
      </c>
      <c r="CJ110" s="43" t="n">
        <f aca="false">IF(N(Tasks[[#This Row],[_Pred2UID]])=0,0,IFERROR(MATCH(Tasks[[#This Row],[_Pred2UID]],Tasks[UID],0),-1))</f>
        <v>0</v>
      </c>
      <c r="CK110" s="43" t="n">
        <f aca="false">IF(N(Tasks[[#This Row],[_Pred3UID]])=0,0,IFERROR(MATCH(Tasks[[#This Row],[_Pred3UID]],Tasks[UID],0),-1))</f>
        <v>0</v>
      </c>
      <c r="CL110" s="43" t="n">
        <f aca="false">IF(N(Tasks[[#This Row],[_Pred4UID]])=0,0,IFERROR(MATCH(Tasks[[#This Row],[_Pred4UID]],Tasks[UID],0),-1))</f>
        <v>0</v>
      </c>
      <c r="CM1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0" s="91" t="n">
        <f aca="false">IF(OR(Tasks[[#This Row],[_ConstraintCode]]=2,Tasks[[#This Row],[_ConstraintCode]]=3,Tasks[[#This Row],[_ConstraintCode]]=4,Tasks[[#This Row],[_ConstraintCode]]=6),Tasks[[#This Row],[_ConstraintStart]],0)</f>
        <v>0</v>
      </c>
      <c r="CP110" s="91" t="n">
        <f aca="false">IF(OR(Tasks[[#This Row],[_ConstraintCode]]=2,Tasks[[#This Row],[_ConstraintCode]]=3,Tasks[[#This Row],[_ConstraintCode]]=5,Tasks[[#This Row],[_ConstraintCode]]=7),Tasks[[#This Row],[_ConstraintStart]],2958465)</f>
        <v>2958465</v>
      </c>
      <c r="CQ1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91" t="str">
        <f aca="false">IF(NOT(Tasks[[#This Row],[_IsLeaf]]=1),"",IF(N(Tasks[[#This Row],[_Days]])&lt;=0,Tasks[[#This Row],[_LeafCalcStart]],WORKDAY.INTL(Tasks[[#This Row],[_LeafCalcStart]],Tasks[[#This Row],[_Days]]-1,WorkWeek,Holidays)))</f>
        <v/>
      </c>
      <c r="CS1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3" t="str">
        <f aca="false">IF(Tasks[[#This Row],[_Predecessors]]="","",TRIM(MID(SUBSTITUTE(SUBSTITUTE(SUBSTITUTE(UPPER(Tasks[[#This Row],[_Predecessors]]),";",",")," ",""),",",REPT(" ",99)),1,99)))</f>
        <v/>
      </c>
      <c r="CV110" s="43" t="str">
        <f aca="false">IF(Tasks[[#This Row],[_Pred1Text]]="","",IFERROR(VALUE(LEFT(Tasks[[#This Row],[_Pred1Text]],MIN(FIND("F",Tasks[[#This Row],[_Pred1Text]]&amp;"F"),FIND("S",Tasks[[#This Row],[_Pred1Text]]&amp;"S"),FIND("+",Tasks[[#This Row],[_Pred1Text]]&amp;"+"),FIND("-",Tasks[[#This Row],[_Pred1Text]]&amp;"-"))-1)),""))</f>
        <v/>
      </c>
      <c r="CW1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3" t="str">
        <f aca="false">IF(Tasks[[#This Row],[_Pred1Text]]="","",TRIM(MID(SUBSTITUTE(SUBSTITUTE(SUBSTITUTE(UPPER(Tasks[[#This Row],[_Predecessors]]),";",",")," ",""),",",REPT(" ",99)),100,99)))</f>
        <v/>
      </c>
      <c r="CZ110" s="43" t="str">
        <f aca="false">IF(Tasks[[#This Row],[_Pred2Text]]="","",IFERROR(VALUE(LEFT(Tasks[[#This Row],[_Pred2Text]],MIN(FIND("F",Tasks[[#This Row],[_Pred2Text]]&amp;"F"),FIND("S",Tasks[[#This Row],[_Pred2Text]]&amp;"S"),FIND("+",Tasks[[#This Row],[_Pred2Text]]&amp;"+"),FIND("-",Tasks[[#This Row],[_Pred2Text]]&amp;"-"))-1)),""))</f>
        <v/>
      </c>
      <c r="DA1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3" t="str">
        <f aca="false">IF(Tasks[[#This Row],[_Pred2Text]]="","",TRIM(MID(SUBSTITUTE(SUBSTITUTE(SUBSTITUTE(UPPER(Tasks[[#This Row],[_Predecessors]]),";",",")," ",""),",",REPT(" ",99)),199,99)))</f>
        <v/>
      </c>
      <c r="DD110" s="43" t="str">
        <f aca="false">IF(Tasks[[#This Row],[_Pred3Text]]="","",IFERROR(VALUE(LEFT(Tasks[[#This Row],[_Pred3Text]],MIN(FIND("F",Tasks[[#This Row],[_Pred3Text]]&amp;"F"),FIND("S",Tasks[[#This Row],[_Pred3Text]]&amp;"S"),FIND("+",Tasks[[#This Row],[_Pred3Text]]&amp;"+"),FIND("-",Tasks[[#This Row],[_Pred3Text]]&amp;"-"))-1)),""))</f>
        <v/>
      </c>
      <c r="DE1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3" t="str">
        <f aca="false">IF(Tasks[[#This Row],[_Pred3Text]]="","",TRIM(MID(SUBSTITUTE(SUBSTITUTE(SUBSTITUTE(UPPER(Tasks[[#This Row],[_Predecessors]]),";",",")," ",""),",",REPT(" ",99)),298,99)))</f>
        <v/>
      </c>
      <c r="DH110" s="43" t="str">
        <f aca="false">IF(Tasks[[#This Row],[_Pred4Text]]="","",IFERROR(VALUE(LEFT(Tasks[[#This Row],[_Pred4Text]],MIN(FIND("F",Tasks[[#This Row],[_Pred4Text]]&amp;"F"),FIND("S",Tasks[[#This Row],[_Pred4Text]]&amp;"S"),FIND("+",Tasks[[#This Row],[_Pred4Text]]&amp;"+"),FIND("-",Tasks[[#This Row],[_Pred4Text]]&amp;"-"))-1)),""))</f>
        <v/>
      </c>
      <c r="DI1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3" t="str">
        <f aca="false">IF(OR(Tasks[[#This Row],[Task Name]]="",Tasks[[#This Row],[_Resources]]=""),"",TRIM(MID(SUBSTITUTE(Tasks[[#This Row],[_Resources]],",",REPT(" ",99)),1,99)))</f>
        <v/>
      </c>
      <c r="DL110" s="43" t="str">
        <f aca="false">IF(Tasks[[#This Row],[_Res1Text]]="","",TRIM(MID(SUBSTITUTE(Tasks[[#This Row],[_Resources]],",",REPT(" ",99)),100,99)))</f>
        <v/>
      </c>
      <c r="DM110" s="43" t="str">
        <f aca="false">IF(Tasks[[#This Row],[_Res2Text]]="","",TRIM(MID(SUBSTITUTE(Tasks[[#This Row],[_Resources]],",",REPT(" ",99)),199,99)))</f>
        <v/>
      </c>
      <c r="DN110" s="43" t="str">
        <f aca="false">IF(Tasks[[#This Row],[_Res3Text]]="","",TRIM(MID(SUBSTITUTE(Tasks[[#This Row],[_Resources]],",",REPT(" ",99)),298,99)))</f>
        <v/>
      </c>
      <c r="DO110" s="43" t="n">
        <f aca="false">IF(Tasks[[#This Row],[_Res1Text]]="",0,IFERROR(MATCH(TRIM(LEFT(Tasks[[#This Row],[_Res1Text]],FIND("[",Tasks[[#This Row],[_Res1Text]]&amp;"[")-1)),res_Name,0),IFERROR(MATCH(TRIM(LEFT(Tasks[[#This Row],[_Res1Text]],FIND("[",Tasks[[#This Row],[_Res1Text]]&amp;"[")-1)),res_Initials,0),0)))</f>
        <v>0</v>
      </c>
      <c r="DP110" s="43" t="n">
        <f aca="false">IF(Tasks[[#This Row],[_Res2Text]]="",0,IFERROR(MATCH(TRIM(LEFT(Tasks[[#This Row],[_Res2Text]],FIND("[",Tasks[[#This Row],[_Res2Text]]&amp;"[")-1)),res_Name,0),IFERROR(MATCH(TRIM(LEFT(Tasks[[#This Row],[_Res2Text]],FIND("[",Tasks[[#This Row],[_Res2Text]]&amp;"[")-1)),res_Initials,0),0)))</f>
        <v>0</v>
      </c>
      <c r="DQ110" s="43" t="n">
        <f aca="false">IF(Tasks[[#This Row],[_Res3Text]]="",0,IFERROR(MATCH(TRIM(LEFT(Tasks[[#This Row],[_Res3Text]],FIND("[",Tasks[[#This Row],[_Res3Text]]&amp;"[")-1)),res_Name,0),IFERROR(MATCH(TRIM(LEFT(Tasks[[#This Row],[_Res3Text]],FIND("[",Tasks[[#This Row],[_Res3Text]]&amp;"[")-1)),res_Initials,0),0)))</f>
        <v>0</v>
      </c>
      <c r="DR110" s="43" t="n">
        <f aca="false">IF(Tasks[[#This Row],[_Res4Text]]="",0,IFERROR(MATCH(TRIM(LEFT(Tasks[[#This Row],[_Res4Text]],FIND("[",Tasks[[#This Row],[_Res4Text]]&amp;"[")-1)),res_Name,0),IFERROR(MATCH(TRIM(LEFT(Tasks[[#This Row],[_Res4Text]],FIND("[",Tasks[[#This Row],[_Res4Text]]&amp;"[")-1)),res_Initials,0),0)))</f>
        <v>0</v>
      </c>
      <c r="DS110" s="43" t="str">
        <f aca="false">IF(Tasks[[#This Row],[_Res1Text]]="","",IF(Tasks[[#This Row],[_Res1Row]]&gt;0,INDEX(res_Name,Tasks[[#This Row],[_Res1Row]]),TRIM(LEFT(Tasks[[#This Row],[_Res1Text]],FIND("[",Tasks[[#This Row],[_Res1Text]]&amp;"[")-1))))</f>
        <v/>
      </c>
      <c r="DT1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3" t="n">
        <f aca="false">IF(NOT(Tasks[[#This Row],[_IsLeaf]]=1),0,(Tasks[[#This Row],[_Resource1]]&lt;&gt;"")+(Tasks[[#This Row],[_Res2]]&lt;&gt;"")+(Tasks[[#This Row],[_Res3]]&lt;&gt;"")+(Tasks[[#This Row],[_Res4]]&lt;&gt;""))</f>
        <v>0</v>
      </c>
      <c r="DV110" s="43" t="str">
        <f aca="false">IF(Tasks[[#This Row],[_Res2Text]]="","",IF(Tasks[[#This Row],[_Res2Row]]&gt;0,INDEX(res_Name,Tasks[[#This Row],[_Res2Row]]),TRIM(LEFT(Tasks[[#This Row],[_Res2Text]],FIND("[",Tasks[[#This Row],[_Res2Text]]&amp;"[")-1))))</f>
        <v/>
      </c>
      <c r="DW1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3" t="n">
        <f aca="false">IF(OR(NOT(Tasks[[#This Row],[_IsLeaf]]=1),Tasks[[#This Row],[_Res2Row]]=0),0,N(Tasks[[#This Row],[_Days]])*HoursPerDay*IF(Tasks[[#This Row],[_Res2Units]]="",DefaultUnits,Tasks[[#This Row],[_Res2Units]]))</f>
        <v>0</v>
      </c>
      <c r="DY110" s="43" t="n">
        <f aca="false">IF(AND(AND(Tasks[[#This Row],[_IsLeaf]]=1,Tasks[[#This Row],[_LeafTotalWork]]&gt;0),Tasks[[#This Row],[_Res2Work]]&gt;0),Tasks[[#This Row],[_Res2Work]]/(Tasks[[#This Row],[_FinishWorkday]]-Tasks[[#This Row],[_StartWorkday]]+1),0)</f>
        <v>0</v>
      </c>
      <c r="DZ110" s="43" t="n">
        <f aca="false">Tasks[[#This Row],[_Res2WorkPerWD]]*MAX(0,Tasks[[#This Row],[_StartWorkday]]-1)</f>
        <v>0</v>
      </c>
      <c r="EA110" s="43" t="n">
        <f aca="false">Tasks[[#This Row],[_Res2Work]]*Tasks[[#This Row],[_LeafProgress]]</f>
        <v>0</v>
      </c>
      <c r="EB110" s="43" t="str">
        <f aca="false">IF(Tasks[[#This Row],[_Res3Text]]="","",IF(Tasks[[#This Row],[_Res3Row]]&gt;0,INDEX(res_Name,Tasks[[#This Row],[_Res3Row]]),TRIM(LEFT(Tasks[[#This Row],[_Res3Text]],FIND("[",Tasks[[#This Row],[_Res3Text]]&amp;"[")-1))))</f>
        <v/>
      </c>
      <c r="EC1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3" t="n">
        <f aca="false">IF(OR(NOT(Tasks[[#This Row],[_IsLeaf]]=1),Tasks[[#This Row],[_Res3Row]]=0),0,N(Tasks[[#This Row],[_Days]])*HoursPerDay*IF(Tasks[[#This Row],[_Res3Units]]="",DefaultUnits,Tasks[[#This Row],[_Res3Units]]))</f>
        <v>0</v>
      </c>
      <c r="EE110" s="43" t="n">
        <f aca="false">IF(AND(AND(Tasks[[#This Row],[_IsLeaf]]=1,Tasks[[#This Row],[_LeafTotalWork]]&gt;0),Tasks[[#This Row],[_Res3Work]]&gt;0),Tasks[[#This Row],[_Res3Work]]/(Tasks[[#This Row],[_FinishWorkday]]-Tasks[[#This Row],[_StartWorkday]]+1),0)</f>
        <v>0</v>
      </c>
      <c r="EF110" s="43" t="n">
        <f aca="false">Tasks[[#This Row],[_Res3WorkPerWD]]*MAX(0,Tasks[[#This Row],[_StartWorkday]]-1)</f>
        <v>0</v>
      </c>
      <c r="EG110" s="43" t="n">
        <f aca="false">Tasks[[#This Row],[_Res3Work]]*Tasks[[#This Row],[_LeafProgress]]</f>
        <v>0</v>
      </c>
      <c r="EH110" s="43" t="str">
        <f aca="false">IF(Tasks[[#This Row],[_Res4Text]]="","",IF(Tasks[[#This Row],[_Res4Row]]&gt;0,INDEX(res_Name,Tasks[[#This Row],[_Res4Row]]),TRIM(LEFT(Tasks[[#This Row],[_Res4Text]],FIND("[",Tasks[[#This Row],[_Res4Text]]&amp;"[")-1))))</f>
        <v/>
      </c>
      <c r="EI1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3" t="n">
        <f aca="false">IF(OR(NOT(Tasks[[#This Row],[_IsLeaf]]=1),Tasks[[#This Row],[_Res4Row]]=0),0,N(Tasks[[#This Row],[_Days]])*HoursPerDay*IF(Tasks[[#This Row],[_Res4Units]]="",DefaultUnits,Tasks[[#This Row],[_Res4Units]]))</f>
        <v>0</v>
      </c>
      <c r="EK110" s="43" t="n">
        <f aca="false">IF(AND(AND(Tasks[[#This Row],[_IsLeaf]]=1,Tasks[[#This Row],[_LeafTotalWork]]&gt;0),Tasks[[#This Row],[_Res4Work]]&gt;0),Tasks[[#This Row],[_Res4Work]]/(Tasks[[#This Row],[_FinishWorkday]]-Tasks[[#This Row],[_StartWorkday]]+1),0)</f>
        <v>0</v>
      </c>
      <c r="EL110" s="43" t="n">
        <f aca="false">Tasks[[#This Row],[_Res4WorkPerWD]]*MAX(0,Tasks[[#This Row],[_StartWorkday]]-1)</f>
        <v>0</v>
      </c>
      <c r="EM110" s="43" t="n">
        <f aca="false">Tasks[[#This Row],[_Res4Work]]*Tasks[[#This Row],[_LeafProgress]]</f>
        <v>0</v>
      </c>
      <c r="EN110" s="43" t="n">
        <f aca="false">IF(ISNUMBER(Tasks[[#This Row],[% Complete]]),Tasks[[#This Row],[% Complete]],IF(Tasks[[#This Row],[Stage]]="",0,IFERROR(INDEX(stg_Pct,MATCH(Tasks[[#This Row],[Stage]],stg_Name,0)),0)))</f>
        <v>0</v>
      </c>
      <c r="EO110" s="43" t="n">
        <f aca="false">IF(NOT(Tasks[[#This Row],[_IsLeaf]]=1),0,IF(N(Tasks[[#This Row],[Actual Finish]])&gt;0,1,MIN(1,Tasks[[#This Row],[_Pct]])))</f>
        <v>0</v>
      </c>
      <c r="EP110" s="43" t="n">
        <f aca="false">IF(OR(NOT(Tasks[[#This Row],[_IsLeaf]]=1),Tasks[[#This Row],[_Res1Row]]=0),0,N(Tasks[[#This Row],[_Days]])*HoursPerDay*IF(Tasks[[#This Row],[_Units1]]="",DefaultUnits,Tasks[[#This Row],[_Units1]]))</f>
        <v>0</v>
      </c>
      <c r="EQ110" s="43" t="n">
        <f aca="false">Tasks[[#This Row],[_LeafWork]]+Tasks[[#This Row],[_Res2Work]]+Tasks[[#This Row],[_Res3Work]]+Tasks[[#This Row],[_Res4Work]]</f>
        <v>0</v>
      </c>
      <c r="ER1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3" t="n">
        <f aca="false">IF(NOT(Tasks[[#This Row],[_IsLeaf]]=1),0,MAX(_xlfn.MAXIFS(Tasks[_Row],Tasks[_Pred1UID],Tasks[[#This Row],[UID]]),_xlfn.MAXIFS(Tasks[_Row],Tasks[_Pred2UID],Tasks[[#This Row],[UID]]),_xlfn.MAXIFS(Tasks[_Row],Tasks[_Pred3UID],Tasks[[#This Row],[UID]]),_xlfn.MAXIFS(Tasks[_Row],Tasks[_Pred4UID],Tasks[[#This Row],[UID]])))</f>
        <v>0</v>
      </c>
      <c r="FA1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91" t="str">
        <f aca="false">IF(NOT(Tasks[[#This Row],[_IsLeaf]]=1),"",IF(N(Tasks[[#This Row],[_Days]])&lt;=0,Tasks[[#This Row],[_LeafLateFinish]],WORKDAY.INTL(Tasks[[#This Row],[_LeafLateFinish]],-(Tasks[[#This Row],[_Days]]-1),WorkWeek,Holidays)))</f>
        <v/>
      </c>
      <c r="FD1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0" s="90" t="b">
        <f aca="false">AND(Tasks[[#This Row],[_IsLeaf]]=1,Tasks[[#This Row],[_LeafProgress]]&lt;1,N(Tasks[[#This Row],[_LeafTotalSlack]])&lt;=CriticalSlackDays)</f>
        <v>0</v>
      </c>
      <c r="FF110" s="43" t="n">
        <f aca="false">IF(AND(Tasks[[#This Row],[_IsLeaf]]=1,Tasks[[#This Row],[_ConstraintCode]]=1,Tasks[[#This Row],[Mode]]&lt;&gt;"Manual",N(Tasks[[#This Row],[Actual Start]])=0),MAX(0,N(Tasks[[#This Row],[Free Slack]])),0)</f>
        <v>0</v>
      </c>
      <c r="FG110" s="91" t="str">
        <f aca="false">IF(NOT(Tasks[[#This Row],[_IsLeaf]]=1),"",IF(Tasks[[#This Row],[_AlapShift]]=0,Tasks[[#This Row],[_LeafCalcStart]],WORKDAY.INTL(Tasks[[#This Row],[_LeafCalcStart]],Tasks[[#This Row],[_AlapShift]],WorkWeek,Holidays)))</f>
        <v/>
      </c>
      <c r="FH110" s="91" t="str">
        <f aca="false">IF(NOT(Tasks[[#This Row],[_IsLeaf]]=1),"",IF(Tasks[[#This Row],[_AlapShift]]=0,Tasks[[#This Row],[_LeafCalcFinish]],WORKDAY.INTL(Tasks[[#This Row],[_LeafCalcFinish]],Tasks[[#This Row],[_AlapShift]],WorkWeek,Holidays)))</f>
        <v/>
      </c>
      <c r="FI110" s="91" t="str">
        <f aca="false">IF(NOT(Tasks[[#This Row],[_IsLeaf]]=1),"",IF(Tasks[[#This Row],[_AlapShift]]=0,Tasks[[#This Row],[_LeafFcstStart]],WORKDAY.INTL(Tasks[[#This Row],[_LeafFcstStart]],Tasks[[#This Row],[_AlapShift]],WorkWeek,Holidays)))</f>
        <v/>
      </c>
      <c r="FJ110" s="91" t="str">
        <f aca="false">IF(NOT(Tasks[[#This Row],[_IsLeaf]]=1),"",IF(Tasks[[#This Row],[_AlapShift]]=0,Tasks[[#This Row],[_LeafFcstFinish]],WORKDAY.INTL(Tasks[[#This Row],[_LeafFcstFinish]],Tasks[[#This Row],[_AlapShift]],WorkWeek,Holidays)))</f>
        <v/>
      </c>
      <c r="FK110" s="91" t="str">
        <f aca="false">IF(Tasks[[#This Row],[Task Name]]="","",IF(Tasks[[#This Row],[_IsSummary]],MIN(INDEX(Tasks[_ShownCalcStart],Tasks[[#This Row],[_Row]]+1):INDEX(Tasks[_ShownCalcStart],Tasks[[#This Row],[_Row]]+Tasks[[#This Row],[_Descendants]])),Tasks[[#This Row],[_ShownCalcStart]]))</f>
        <v/>
      </c>
      <c r="FL110" s="91" t="str">
        <f aca="false">IF(Tasks[[#This Row],[Task Name]]="","",IF(Tasks[[#This Row],[_IsSummary]],MAX(INDEX(Tasks[_ShownCalcFinish],Tasks[[#This Row],[_Row]]+1):INDEX(Tasks[_ShownCalcFinish],Tasks[[#This Row],[_Row]]+Tasks[[#This Row],[_Descendants]])),Tasks[[#This Row],[_ShownCalcFinish]]))</f>
        <v/>
      </c>
      <c r="FM1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0" s="43" t="n">
        <f aca="false">IF(AND(Tasks[[#This Row],[_IsLeaf]]=1,Tasks[[#This Row],[_LeafTotalWork]]&gt;0),NETWORKDAYS.INTL(ProjectStart,Tasks[[#This Row],[_ShownFcstStart]],WorkWeek,Holidays),0)</f>
        <v>0</v>
      </c>
      <c r="FZ110" s="43" t="n">
        <f aca="false">IF(AND(Tasks[[#This Row],[_IsLeaf]]=1,Tasks[[#This Row],[_LeafTotalWork]]&gt;0),MAX(Tasks[[#This Row],[_StartWorkday]],NETWORKDAYS.INTL(ProjectStart,Tasks[[#This Row],[_ShownFcstFinish]],WorkWeek,Holidays)),0)</f>
        <v>0</v>
      </c>
      <c r="GA110" s="43" t="n">
        <f aca="false">IF(AND(Tasks[[#This Row],[_IsLeaf]]=1,Tasks[[#This Row],[_LeafTotalWork]]&gt;0),Tasks[[#This Row],[_LeafWork]]/(Tasks[[#This Row],[_FinishWorkday]]-Tasks[[#This Row],[_StartWorkday]]+1),0)</f>
        <v>0</v>
      </c>
      <c r="GB110" s="43" t="n">
        <f aca="false">Tasks[[#This Row],[_WorkPerWorkday]]*(Tasks[[#This Row],[_StartWorkday]]-1)</f>
        <v>-0</v>
      </c>
      <c r="GC110" s="43" t="n">
        <f aca="false">IF(Tasks[[#This Row],[_IsLeaf]]=1,MAX(N(Tasks[[#This Row],[_Days]]),0.1),0)</f>
        <v>0</v>
      </c>
      <c r="GD110" s="43" t="n">
        <f aca="false">Tasks[[#This Row],[_WeightDur]]*Tasks[[#This Row],[_LeafProgress]]</f>
        <v>0</v>
      </c>
      <c r="GE110" s="43" t="n">
        <f aca="false">Tasks[[#This Row],[_WeightDur]]*Tasks[[#This Row],[_PlannedPct]]</f>
        <v>0</v>
      </c>
      <c r="GF1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3" t="str">
        <f aca="false">IF(AND(Tasks[[#This Row],[_IsLeaf]]=1,N(Tasks[[#This Row],[_Days]])=0,Tasks[[#This Row],[_LeafProgress]]&lt;1),Tasks[[#This Row],[_ShownFcstFinish]]+Tasks[[#This Row],[_Row]]/100000,"")</f>
        <v/>
      </c>
      <c r="GH1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0" s="43" t="str">
        <f aca="false">IF(Tasks[[#This Row],[Task Name]]="","",LEFT(Tasks[[#This Row],[WBS]],FIND(".",Tasks[[#This Row],[WBS]]&amp;".")-1))</f>
        <v/>
      </c>
      <c r="GJ110" s="43" t="str">
        <f aca="false">IF(AND(Tasks[[#This Row],[Task Name]]&lt;&gt;"",Tasks[[#This Row],[_Level]]=1),Tasks[[#This Row],[_Row]],"")</f>
        <v/>
      </c>
      <c r="GK110" s="43" t="str">
        <f aca="false">IF(AND(Tasks[[#This Row],[_IsLeaf]]=1,N(Tasks[[#This Row],[_Days]])=0),Tasks[[#This Row],[Planned Finish]]+Tasks[[#This Row],[_Row]]/100000,"")</f>
        <v/>
      </c>
      <c r="GL110" s="43" t="str">
        <f aca="false">IF(AND(Tasks[[#This Row],[_IsLeaf]]=1,Tasks[[#This Row],[_LeafProgress]]&lt;1,OR(N(Tasks[[#This Row],[Finish Var]])&gt;0,Tasks[[#This Row],[Status]]="Late Start")),MAX(0,Tasks[[#This Row],[Finish Var]])+1-Tasks[[#This Row],[_Row]]/1000000,"")</f>
        <v/>
      </c>
      <c r="GM110" s="43" t="str">
        <f aca="false">IF(AND(Tasks[[#This Row],[_IsLeaf]]=1,N(Tasks[[#This Row],[Actual Start]])=0,Tasks[[#This Row],[_ShownFcstStart]]&gt;=StatusDate,Tasks[[#This Row],[_ShownFcstStart]]&lt;=LookaheadEnd),Tasks[[#This Row],[_ShownFcstStart]]+Tasks[[#This Row],[_Row]]/100000,"")</f>
        <v/>
      </c>
      <c r="GN110" s="43" t="str">
        <f aca="false">IF(AND(Tasks[[#This Row],[_IsLeaf]]=1,Tasks[[#This Row],[_LeafProgress]]&lt;1,Tasks[[#This Row],[_ShownFcstFinish]]&gt;=StatusDate,Tasks[[#This Row],[_ShownFcstFinish]]&lt;=LookaheadEnd),Tasks[[#This Row],[_ShownFcstFinish]]+Tasks[[#This Row],[_Row]]/100000,"")</f>
        <v/>
      </c>
      <c r="GO110" s="43" t="str">
        <f aca="false">IF(Tasks[[#This Row],[_LeafCritical]],Tasks[[#This Row],[_ShownFcstStart]]+Tasks[[#This Row],[_Row]]/100000,"")</f>
        <v/>
      </c>
      <c r="GP110" s="43" t="n">
        <f aca="false">Tasks[[#This Row],[_LeafWork]]*Tasks[[#This Row],[_LeafProgress]]</f>
        <v>0</v>
      </c>
      <c r="GQ110" s="91" t="str">
        <f aca="false">IF(AND(Tasks[[#This Row],[_IsLeaf]]=1,Tasks[[#This Row],[_LeafProgress]]&gt;=1),IF(N(Tasks[[#This Row],[Actual Finish]])&gt;0,Tasks[[#This Row],[Actual Finish]],Tasks[[#This Row],[_ShownFcstFinish]]),"")</f>
        <v/>
      </c>
      <c r="GR110" s="43" t="n">
        <f aca="false">IF(Tasks[[#This Row],[_IsLeaf]]=1,N(Tasks[[#This Row],[Story Points]]),0)</f>
        <v>0</v>
      </c>
      <c r="GS110" s="43" t="str">
        <f aca="false">""</f>
        <v/>
      </c>
      <c r="GT110" s="90" t="b">
        <f aca="false">IF(Tasks[[#This Row],[Task Name]]="",FALSE(),AND(Tasks[[#This Row],[_IsLeaf]]=1,N(Tasks[[#This Row],[_Days]])=0))</f>
        <v>0</v>
      </c>
      <c r="GU110" s="91" t="n">
        <f aca="false">IF(Tasks[[#This Row],[Task Name]]="",0,IF(AND(Tasks[[#This Row],[_IsLeaf]]=1,NOT(Tasks[[#This Row],[_IsMilestone]]),N(Tasks[[#This Row],[Progress]])&gt;0),Tasks[[#This Row],[Start]],0))</f>
        <v>0</v>
      </c>
      <c r="GV110" s="91" t="n">
        <f aca="false">IF(Tasks[[#This Row],[_DoneFrom]]=0,0,IF(Tasks[[#This Row],[Progress]]&gt;=1,Tasks[[#This Row],[Finish]],MAX(Tasks[[#This Row],[_DoneFrom]],Tasks[[#This Row],[Start]]+ROUND((Tasks[[#This Row],[Finish]]-Tasks[[#This Row],[Start]]+1)*Tasks[[#This Row],[Progress]],0)-1)))</f>
        <v>0</v>
      </c>
      <c r="GW110" s="91" t="n">
        <f aca="false">IF(Tasks[[#This Row],[Task Name]]="",0,IF(OR(NOT(Tasks[[#This Row],[_IsLeaf]]=1),Tasks[[#This Row],[_IsMilestone]],N(Tasks[[#This Row],[Progress]])&gt;=1),0,IF(Tasks[[#This Row],[_DoneTo]]&gt;0,Tasks[[#This Row],[_DoneTo]]+1,Tasks[[#This Row],[Start]])))</f>
        <v>0</v>
      </c>
      <c r="GX110" s="91" t="n">
        <f aca="false">IF(Tasks[[#This Row],[_RemFrom]]=0,0,Tasks[[#This Row],[Finish]])</f>
        <v>0</v>
      </c>
      <c r="GY110" s="90" t="b">
        <f aca="false">IF(Tasks[[#This Row],[Task Name]]="",FALSE(),OR(NOT(BaselineSet),N(Tasks[[#This Row],[Baseline Start]])&gt;0))</f>
        <v>0</v>
      </c>
      <c r="GZ11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92" t="str">
        <f aca="false">IF(Tasks[[#This Row],[_IsLeaf]]=1,Tasks[[#This Row],[_Row]],"")</f>
        <v/>
      </c>
      <c r="HD110" s="92" t="str">
        <f aca="false">IFERROR(INDEX(Tasks[UID],SMALL(Tasks[_PickKey],Tasks[[#This Row],[_Row]]))&amp;" "&amp;INDEX(Tasks[Task Name],SMALL(Tasks[_PickKey],Tasks[[#This Row],[_Row]])),"")</f>
        <v/>
      </c>
      <c r="HE110" s="43" t="str">
        <f aca="false">IF(Tasks[[#This Row],[Task Name]]="","",IF(Tasks[[#This Row],[_IsSummary]],NETWORKDAYS.INTL(Tasks[[#This Row],[Start]],Tasks[[#This Row],[Finish]],WorkWeek,Holidays),N(Tasks[[#This Row],[_Days]])))</f>
        <v/>
      </c>
      <c r="HF110" s="43" t="n">
        <f aca="false">IF(Tasks[[#This Row],[Expected]]="",0,((Tasks[[#This Row],[Pessimistic]]-Tasks[[#This Row],[Optimistic]])/6)^2)</f>
        <v>0</v>
      </c>
      <c r="HG110" s="43" t="n">
        <f aca="false">IF(Tasks[[#This Row],[Expected]]="",0,Tasks[[#This Row],[Expected]]-N(Tasks[[#This Row],[_Days]]))</f>
        <v>0</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4"/>
      <c r="U111" s="23"/>
      <c r="V111" s="84"/>
      <c r="W111" s="23"/>
      <c r="X111" s="84"/>
      <c r="Y111" s="23"/>
      <c r="Z111" s="84"/>
      <c r="AA111" s="23"/>
      <c r="AB111" s="23"/>
      <c r="AC111" s="7"/>
      <c r="AD111" s="7"/>
      <c r="AE111" s="63" t="str">
        <f aca="false">IF(Tasks[[#This Row],[Task Name]]="","",IF(Tasks[[#This Row],[_IsSummary]],MIN(INDEX(Tasks[_ShownFcstStart],Tasks[[#This Row],[_Row]]+1):INDEX(Tasks[_ShownFcstStart],Tasks[[#This Row],[_Row]]+Tasks[[#This Row],[_Descendants]])),Tasks[[#This Row],[_ShownFcstStart]]))</f>
        <v/>
      </c>
      <c r="AF111" s="63"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1" s="7"/>
      <c r="AK111" s="22"/>
      <c r="AL111" s="23"/>
      <c r="AM111" s="7"/>
      <c r="AN111" s="47"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3" t="str">
        <f aca="false">IF(Tasks[[#This Row],[Task Name]]="","",IF(N(Tasks[[#This Row],[Baseline Start]])&gt;0,Tasks[[#This Row],[Baseline Start]],Tasks[[#This Row],[_CalcStart]]))</f>
        <v/>
      </c>
      <c r="AR111" s="63" t="str">
        <f aca="false">IF(Tasks[[#This Row],[Task Name]]="","",IF(N(Tasks[[#This Row],[Baseline Finish]])&gt;0,Tasks[[#This Row],[Baseline Finish]],Tasks[[#This Row],[_CalcFinish]]))</f>
        <v/>
      </c>
      <c r="AS111" s="47" t="str">
        <f aca="false">IF(Tasks[[#This Row],[Task Name]]="","",IF(Tasks[[#This Row],[Start]]&gt;=Tasks[[#This Row],[Planned Start]],NETWORKDAYS.INTL(Tasks[[#This Row],[Planned Start]],Tasks[[#This Row],[Start]],WorkWeek,Holidays)-1,1-NETWORKDAYS.INTL(Tasks[[#This Row],[Start]],Tasks[[#This Row],[Planned Start]],WorkWeek,Holidays)))</f>
        <v/>
      </c>
      <c r="AT111" s="63" t="str">
        <f aca="false">IF(Tasks[[#This Row],[Task Name]]="","",IF(Tasks[[#This Row],[_IsSummary]],MIN(INDEX(Tasks[_LeafLateStart],Tasks[[#This Row],[_Row]]+1):INDEX(Tasks[_LeafLateStart],Tasks[[#This Row],[_Row]]+Tasks[[#This Row],[_Descendants]])),Tasks[[#This Row],[_LeafLateStart]]))</f>
        <v/>
      </c>
      <c r="AU111" s="63" t="str">
        <f aca="false">IF(Tasks[[#This Row],[Task Name]]="","",IF(Tasks[[#This Row],[_IsSummary]],MAX(INDEX(Tasks[_LeafLateFinish],Tasks[[#This Row],[_Row]]+1):INDEX(Tasks[_LeafLateFinish],Tasks[[#This Row],[_Row]]+Tasks[[#This Row],[_Descendants]])),Tasks[[#This Row],[_LeafLateFinish]]))</f>
        <v/>
      </c>
      <c r="AV111" s="47"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5"/>
      <c r="BA11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6"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7"/>
      <c r="BJ111" s="22"/>
      <c r="BK111" s="47" t="str">
        <f aca="false">IF(OR(Tasks[[#This Row],[Task Name]]="",Tasks[[#This Row],[Baseline Duration]]=""),"",Tasks[[#This Row],[_SpanDays]]-N(Tasks[[#This Row],[Baseline Duration]]))</f>
        <v/>
      </c>
      <c r="BL111" s="86" t="str">
        <f aca="false">IF(OR(Tasks[[#This Row],[Task Name]]="",Tasks[[#This Row],[Baseline Work]]=""),"",Tasks[[#This Row],[Work]]-N(Tasks[[#This Row],[Baseline Work]]))</f>
        <v/>
      </c>
      <c r="BM111" s="63" t="str">
        <f aca="false">IF(Tasks[[#This Row],[Task Name]]="","",IF(OR(TakeBaseline="Yes",N(Tasks[[#This Row],[Baseline Start]])=0),Tasks[[#This Row],[Start]],Tasks[[#This Row],[Baseline Start]]))</f>
        <v/>
      </c>
      <c r="BN111" s="63" t="str">
        <f aca="false">IF(Tasks[[#This Row],[Task Name]]="","",IF(OR(TakeBaseline="Yes",N(Tasks[[#This Row],[Baseline Finish]])=0),Tasks[[#This Row],[Finish]],Tasks[[#This Row],[Baseline Finish]]))</f>
        <v/>
      </c>
      <c r="BO111" s="21" t="str">
        <f aca="false">IF(Tasks[[#This Row],[Task Name]]="","",IF(OR(TakeBaseline="Yes",N(Tasks[[#This Row],[Baseline Duration]])=0),Tasks[[#This Row],[_SpanDays]],Tasks[[#This Row],[Baseline Duration]]))</f>
        <v/>
      </c>
      <c r="BP111" s="86" t="str">
        <f aca="false">IF(Tasks[[#This Row],[Task Name]]="","",IF(OR(TakeBaseline="Yes",N(Tasks[[#This Row],[Baseline Work]])=0),Tasks[[#This Row],[Work]],Tasks[[#This Row],[Baseline Work]]))</f>
        <v/>
      </c>
      <c r="BQ111" s="7"/>
      <c r="BR111" s="7"/>
      <c r="BS111" s="22"/>
      <c r="BT111" s="88"/>
      <c r="BU111" s="23"/>
      <c r="BV111" s="23"/>
      <c r="BW111" s="23"/>
      <c r="BX111" s="89" t="str">
        <f aca="false">IF(AND(Tasks[[#This Row],[_IsLeaf]]=1,ISNUMBER(Tasks[[#This Row],[Optimistic]]),ISNUMBER(Tasks[[#This Row],[Pessimistic]])),ROUND((Tasks[[#This Row],[Optimistic]]+4*N(Tasks[[#This Row],[_Days]])+Tasks[[#This Row],[Pessimistic]])/6,1),"")</f>
        <v/>
      </c>
      <c r="BY111" s="87"/>
      <c r="BZ111" s="87"/>
      <c r="CA111" s="22"/>
      <c r="CB111" s="43" t="str">
        <f aca="false">IF(Tasks[[#This Row],[Task Name]]="","",MAX(1,N(Tasks[[#This Row],[Level]])))</f>
        <v/>
      </c>
      <c r="CC111" s="43" t="n">
        <f aca="false">ROW()-ROW(Tasks[[#Headers],[ID]])</f>
        <v>106</v>
      </c>
      <c r="CD111" s="43" t="n">
        <f aca="false">IF(OR(Tasks[[#This Row],[Task Name]]="",Tasks[[#This Row],[_Level]]&lt;=1),0,IFERROR(LOOKUP(2,1/(Tasks[[#Headers],[_Level]]:Tasks[[#This Row],[_Level]]=Tasks[[#This Row],[_Level]]-1),ROW(Tasks[[#Headers],[_Level]]:Tasks[[#This Row],[_Level]])),0))</f>
        <v>0</v>
      </c>
      <c r="CE111" s="43" t="n">
        <f aca="false">IFERROR(N(INDEX(Tasks[_Level],Tasks[[#This Row],[_Row]]+1)),0)</f>
        <v>0</v>
      </c>
      <c r="CF111" s="90" t="b">
        <f aca="false">AND(Tasks[[#This Row],[Task Name]]&lt;&gt;"",Tasks[[#This Row],[_NextLevel]]&gt;Tasks[[#This Row],[_Level]])</f>
        <v>0</v>
      </c>
      <c r="CG111" s="43" t="n">
        <f aca="false">IF(Tasks[[#This Row],[_IsSummary]],COUNTIF(Tasks[WBS],Tasks[[#This Row],[WBS]]&amp;".*"),0)</f>
        <v>0</v>
      </c>
      <c r="CH111" s="43" t="n">
        <f aca="false">IF(AND(Tasks[[#This Row],[Task Name]]&lt;&gt;"",NOT(Tasks[[#This Row],[_IsSummary]])),1,0)</f>
        <v>0</v>
      </c>
      <c r="CI111" s="43" t="n">
        <f aca="false">IF(N(Tasks[[#This Row],[_Pred1UID]])=0,0,IFERROR(MATCH(Tasks[[#This Row],[_Pred1UID]],Tasks[UID],0),-1))</f>
        <v>0</v>
      </c>
      <c r="CJ111" s="43" t="n">
        <f aca="false">IF(N(Tasks[[#This Row],[_Pred2UID]])=0,0,IFERROR(MATCH(Tasks[[#This Row],[_Pred2UID]],Tasks[UID],0),-1))</f>
        <v>0</v>
      </c>
      <c r="CK111" s="43" t="n">
        <f aca="false">IF(N(Tasks[[#This Row],[_Pred3UID]])=0,0,IFERROR(MATCH(Tasks[[#This Row],[_Pred3UID]],Tasks[UID],0),-1))</f>
        <v>0</v>
      </c>
      <c r="CL111" s="43" t="n">
        <f aca="false">IF(N(Tasks[[#This Row],[_Pred4UID]])=0,0,IFERROR(MATCH(Tasks[[#This Row],[_Pred4UID]],Tasks[UID],0),-1))</f>
        <v>0</v>
      </c>
      <c r="CM11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1" s="91" t="n">
        <f aca="false">IF(OR(Tasks[[#This Row],[_ConstraintCode]]=2,Tasks[[#This Row],[_ConstraintCode]]=3,Tasks[[#This Row],[_ConstraintCode]]=4,Tasks[[#This Row],[_ConstraintCode]]=6),Tasks[[#This Row],[_ConstraintStart]],0)</f>
        <v>0</v>
      </c>
      <c r="CP111" s="91" t="n">
        <f aca="false">IF(OR(Tasks[[#This Row],[_ConstraintCode]]=2,Tasks[[#This Row],[_ConstraintCode]]=3,Tasks[[#This Row],[_ConstraintCode]]=5,Tasks[[#This Row],[_ConstraintCode]]=7),Tasks[[#This Row],[_ConstraintStart]],2958465)</f>
        <v>2958465</v>
      </c>
      <c r="CQ11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91" t="str">
        <f aca="false">IF(NOT(Tasks[[#This Row],[_IsLeaf]]=1),"",IF(N(Tasks[[#This Row],[_Days]])&lt;=0,Tasks[[#This Row],[_LeafCalcStart]],WORKDAY.INTL(Tasks[[#This Row],[_LeafCalcStart]],Tasks[[#This Row],[_Days]]-1,WorkWeek,Holidays)))</f>
        <v/>
      </c>
      <c r="CS11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3" t="str">
        <f aca="false">IF(Tasks[[#This Row],[_Predecessors]]="","",TRIM(MID(SUBSTITUTE(SUBSTITUTE(SUBSTITUTE(UPPER(Tasks[[#This Row],[_Predecessors]]),";",",")," ",""),",",REPT(" ",99)),1,99)))</f>
        <v/>
      </c>
      <c r="CV111" s="43" t="str">
        <f aca="false">IF(Tasks[[#This Row],[_Pred1Text]]="","",IFERROR(VALUE(LEFT(Tasks[[#This Row],[_Pred1Text]],MIN(FIND("F",Tasks[[#This Row],[_Pred1Text]]&amp;"F"),FIND("S",Tasks[[#This Row],[_Pred1Text]]&amp;"S"),FIND("+",Tasks[[#This Row],[_Pred1Text]]&amp;"+"),FIND("-",Tasks[[#This Row],[_Pred1Text]]&amp;"-"))-1)),""))</f>
        <v/>
      </c>
      <c r="CW1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3" t="str">
        <f aca="false">IF(Tasks[[#This Row],[_Pred1Text]]="","",TRIM(MID(SUBSTITUTE(SUBSTITUTE(SUBSTITUTE(UPPER(Tasks[[#This Row],[_Predecessors]]),";",",")," ",""),",",REPT(" ",99)),100,99)))</f>
        <v/>
      </c>
      <c r="CZ111" s="43" t="str">
        <f aca="false">IF(Tasks[[#This Row],[_Pred2Text]]="","",IFERROR(VALUE(LEFT(Tasks[[#This Row],[_Pred2Text]],MIN(FIND("F",Tasks[[#This Row],[_Pred2Text]]&amp;"F"),FIND("S",Tasks[[#This Row],[_Pred2Text]]&amp;"S"),FIND("+",Tasks[[#This Row],[_Pred2Text]]&amp;"+"),FIND("-",Tasks[[#This Row],[_Pred2Text]]&amp;"-"))-1)),""))</f>
        <v/>
      </c>
      <c r="DA1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3" t="str">
        <f aca="false">IF(Tasks[[#This Row],[_Pred2Text]]="","",TRIM(MID(SUBSTITUTE(SUBSTITUTE(SUBSTITUTE(UPPER(Tasks[[#This Row],[_Predecessors]]),";",",")," ",""),",",REPT(" ",99)),199,99)))</f>
        <v/>
      </c>
      <c r="DD111" s="43" t="str">
        <f aca="false">IF(Tasks[[#This Row],[_Pred3Text]]="","",IFERROR(VALUE(LEFT(Tasks[[#This Row],[_Pred3Text]],MIN(FIND("F",Tasks[[#This Row],[_Pred3Text]]&amp;"F"),FIND("S",Tasks[[#This Row],[_Pred3Text]]&amp;"S"),FIND("+",Tasks[[#This Row],[_Pred3Text]]&amp;"+"),FIND("-",Tasks[[#This Row],[_Pred3Text]]&amp;"-"))-1)),""))</f>
        <v/>
      </c>
      <c r="DE1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3" t="str">
        <f aca="false">IF(Tasks[[#This Row],[_Pred3Text]]="","",TRIM(MID(SUBSTITUTE(SUBSTITUTE(SUBSTITUTE(UPPER(Tasks[[#This Row],[_Predecessors]]),";",",")," ",""),",",REPT(" ",99)),298,99)))</f>
        <v/>
      </c>
      <c r="DH111" s="43" t="str">
        <f aca="false">IF(Tasks[[#This Row],[_Pred4Text]]="","",IFERROR(VALUE(LEFT(Tasks[[#This Row],[_Pred4Text]],MIN(FIND("F",Tasks[[#This Row],[_Pred4Text]]&amp;"F"),FIND("S",Tasks[[#This Row],[_Pred4Text]]&amp;"S"),FIND("+",Tasks[[#This Row],[_Pred4Text]]&amp;"+"),FIND("-",Tasks[[#This Row],[_Pred4Text]]&amp;"-"))-1)),""))</f>
        <v/>
      </c>
      <c r="DI1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3" t="str">
        <f aca="false">IF(OR(Tasks[[#This Row],[Task Name]]="",Tasks[[#This Row],[_Resources]]=""),"",TRIM(MID(SUBSTITUTE(Tasks[[#This Row],[_Resources]],",",REPT(" ",99)),1,99)))</f>
        <v/>
      </c>
      <c r="DL111" s="43" t="str">
        <f aca="false">IF(Tasks[[#This Row],[_Res1Text]]="","",TRIM(MID(SUBSTITUTE(Tasks[[#This Row],[_Resources]],",",REPT(" ",99)),100,99)))</f>
        <v/>
      </c>
      <c r="DM111" s="43" t="str">
        <f aca="false">IF(Tasks[[#This Row],[_Res2Text]]="","",TRIM(MID(SUBSTITUTE(Tasks[[#This Row],[_Resources]],",",REPT(" ",99)),199,99)))</f>
        <v/>
      </c>
      <c r="DN111" s="43" t="str">
        <f aca="false">IF(Tasks[[#This Row],[_Res3Text]]="","",TRIM(MID(SUBSTITUTE(Tasks[[#This Row],[_Resources]],",",REPT(" ",99)),298,99)))</f>
        <v/>
      </c>
      <c r="DO111" s="43" t="n">
        <f aca="false">IF(Tasks[[#This Row],[_Res1Text]]="",0,IFERROR(MATCH(TRIM(LEFT(Tasks[[#This Row],[_Res1Text]],FIND("[",Tasks[[#This Row],[_Res1Text]]&amp;"[")-1)),res_Name,0),IFERROR(MATCH(TRIM(LEFT(Tasks[[#This Row],[_Res1Text]],FIND("[",Tasks[[#This Row],[_Res1Text]]&amp;"[")-1)),res_Initials,0),0)))</f>
        <v>0</v>
      </c>
      <c r="DP111" s="43" t="n">
        <f aca="false">IF(Tasks[[#This Row],[_Res2Text]]="",0,IFERROR(MATCH(TRIM(LEFT(Tasks[[#This Row],[_Res2Text]],FIND("[",Tasks[[#This Row],[_Res2Text]]&amp;"[")-1)),res_Name,0),IFERROR(MATCH(TRIM(LEFT(Tasks[[#This Row],[_Res2Text]],FIND("[",Tasks[[#This Row],[_Res2Text]]&amp;"[")-1)),res_Initials,0),0)))</f>
        <v>0</v>
      </c>
      <c r="DQ111" s="43" t="n">
        <f aca="false">IF(Tasks[[#This Row],[_Res3Text]]="",0,IFERROR(MATCH(TRIM(LEFT(Tasks[[#This Row],[_Res3Text]],FIND("[",Tasks[[#This Row],[_Res3Text]]&amp;"[")-1)),res_Name,0),IFERROR(MATCH(TRIM(LEFT(Tasks[[#This Row],[_Res3Text]],FIND("[",Tasks[[#This Row],[_Res3Text]]&amp;"[")-1)),res_Initials,0),0)))</f>
        <v>0</v>
      </c>
      <c r="DR111" s="43" t="n">
        <f aca="false">IF(Tasks[[#This Row],[_Res4Text]]="",0,IFERROR(MATCH(TRIM(LEFT(Tasks[[#This Row],[_Res4Text]],FIND("[",Tasks[[#This Row],[_Res4Text]]&amp;"[")-1)),res_Name,0),IFERROR(MATCH(TRIM(LEFT(Tasks[[#This Row],[_Res4Text]],FIND("[",Tasks[[#This Row],[_Res4Text]]&amp;"[")-1)),res_Initials,0),0)))</f>
        <v>0</v>
      </c>
      <c r="DS111" s="43" t="str">
        <f aca="false">IF(Tasks[[#This Row],[_Res1Text]]="","",IF(Tasks[[#This Row],[_Res1Row]]&gt;0,INDEX(res_Name,Tasks[[#This Row],[_Res1Row]]),TRIM(LEFT(Tasks[[#This Row],[_Res1Text]],FIND("[",Tasks[[#This Row],[_Res1Text]]&amp;"[")-1))))</f>
        <v/>
      </c>
      <c r="DT1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3" t="n">
        <f aca="false">IF(NOT(Tasks[[#This Row],[_IsLeaf]]=1),0,(Tasks[[#This Row],[_Resource1]]&lt;&gt;"")+(Tasks[[#This Row],[_Res2]]&lt;&gt;"")+(Tasks[[#This Row],[_Res3]]&lt;&gt;"")+(Tasks[[#This Row],[_Res4]]&lt;&gt;""))</f>
        <v>0</v>
      </c>
      <c r="DV111" s="43" t="str">
        <f aca="false">IF(Tasks[[#This Row],[_Res2Text]]="","",IF(Tasks[[#This Row],[_Res2Row]]&gt;0,INDEX(res_Name,Tasks[[#This Row],[_Res2Row]]),TRIM(LEFT(Tasks[[#This Row],[_Res2Text]],FIND("[",Tasks[[#This Row],[_Res2Text]]&amp;"[")-1))))</f>
        <v/>
      </c>
      <c r="DW1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3" t="n">
        <f aca="false">IF(OR(NOT(Tasks[[#This Row],[_IsLeaf]]=1),Tasks[[#This Row],[_Res2Row]]=0),0,N(Tasks[[#This Row],[_Days]])*HoursPerDay*IF(Tasks[[#This Row],[_Res2Units]]="",DefaultUnits,Tasks[[#This Row],[_Res2Units]]))</f>
        <v>0</v>
      </c>
      <c r="DY111" s="43" t="n">
        <f aca="false">IF(AND(AND(Tasks[[#This Row],[_IsLeaf]]=1,Tasks[[#This Row],[_LeafTotalWork]]&gt;0),Tasks[[#This Row],[_Res2Work]]&gt;0),Tasks[[#This Row],[_Res2Work]]/(Tasks[[#This Row],[_FinishWorkday]]-Tasks[[#This Row],[_StartWorkday]]+1),0)</f>
        <v>0</v>
      </c>
      <c r="DZ111" s="43" t="n">
        <f aca="false">Tasks[[#This Row],[_Res2WorkPerWD]]*MAX(0,Tasks[[#This Row],[_StartWorkday]]-1)</f>
        <v>0</v>
      </c>
      <c r="EA111" s="43" t="n">
        <f aca="false">Tasks[[#This Row],[_Res2Work]]*Tasks[[#This Row],[_LeafProgress]]</f>
        <v>0</v>
      </c>
      <c r="EB111" s="43" t="str">
        <f aca="false">IF(Tasks[[#This Row],[_Res3Text]]="","",IF(Tasks[[#This Row],[_Res3Row]]&gt;0,INDEX(res_Name,Tasks[[#This Row],[_Res3Row]]),TRIM(LEFT(Tasks[[#This Row],[_Res3Text]],FIND("[",Tasks[[#This Row],[_Res3Text]]&amp;"[")-1))))</f>
        <v/>
      </c>
      <c r="EC1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3" t="n">
        <f aca="false">IF(OR(NOT(Tasks[[#This Row],[_IsLeaf]]=1),Tasks[[#This Row],[_Res3Row]]=0),0,N(Tasks[[#This Row],[_Days]])*HoursPerDay*IF(Tasks[[#This Row],[_Res3Units]]="",DefaultUnits,Tasks[[#This Row],[_Res3Units]]))</f>
        <v>0</v>
      </c>
      <c r="EE111" s="43" t="n">
        <f aca="false">IF(AND(AND(Tasks[[#This Row],[_IsLeaf]]=1,Tasks[[#This Row],[_LeafTotalWork]]&gt;0),Tasks[[#This Row],[_Res3Work]]&gt;0),Tasks[[#This Row],[_Res3Work]]/(Tasks[[#This Row],[_FinishWorkday]]-Tasks[[#This Row],[_StartWorkday]]+1),0)</f>
        <v>0</v>
      </c>
      <c r="EF111" s="43" t="n">
        <f aca="false">Tasks[[#This Row],[_Res3WorkPerWD]]*MAX(0,Tasks[[#This Row],[_StartWorkday]]-1)</f>
        <v>0</v>
      </c>
      <c r="EG111" s="43" t="n">
        <f aca="false">Tasks[[#This Row],[_Res3Work]]*Tasks[[#This Row],[_LeafProgress]]</f>
        <v>0</v>
      </c>
      <c r="EH111" s="43" t="str">
        <f aca="false">IF(Tasks[[#This Row],[_Res4Text]]="","",IF(Tasks[[#This Row],[_Res4Row]]&gt;0,INDEX(res_Name,Tasks[[#This Row],[_Res4Row]]),TRIM(LEFT(Tasks[[#This Row],[_Res4Text]],FIND("[",Tasks[[#This Row],[_Res4Text]]&amp;"[")-1))))</f>
        <v/>
      </c>
      <c r="EI1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3" t="n">
        <f aca="false">IF(OR(NOT(Tasks[[#This Row],[_IsLeaf]]=1),Tasks[[#This Row],[_Res4Row]]=0),0,N(Tasks[[#This Row],[_Days]])*HoursPerDay*IF(Tasks[[#This Row],[_Res4Units]]="",DefaultUnits,Tasks[[#This Row],[_Res4Units]]))</f>
        <v>0</v>
      </c>
      <c r="EK111" s="43" t="n">
        <f aca="false">IF(AND(AND(Tasks[[#This Row],[_IsLeaf]]=1,Tasks[[#This Row],[_LeafTotalWork]]&gt;0),Tasks[[#This Row],[_Res4Work]]&gt;0),Tasks[[#This Row],[_Res4Work]]/(Tasks[[#This Row],[_FinishWorkday]]-Tasks[[#This Row],[_StartWorkday]]+1),0)</f>
        <v>0</v>
      </c>
      <c r="EL111" s="43" t="n">
        <f aca="false">Tasks[[#This Row],[_Res4WorkPerWD]]*MAX(0,Tasks[[#This Row],[_StartWorkday]]-1)</f>
        <v>0</v>
      </c>
      <c r="EM111" s="43" t="n">
        <f aca="false">Tasks[[#This Row],[_Res4Work]]*Tasks[[#This Row],[_LeafProgress]]</f>
        <v>0</v>
      </c>
      <c r="EN111" s="43" t="n">
        <f aca="false">IF(ISNUMBER(Tasks[[#This Row],[% Complete]]),Tasks[[#This Row],[% Complete]],IF(Tasks[[#This Row],[Stage]]="",0,IFERROR(INDEX(stg_Pct,MATCH(Tasks[[#This Row],[Stage]],stg_Name,0)),0)))</f>
        <v>0</v>
      </c>
      <c r="EO111" s="43" t="n">
        <f aca="false">IF(NOT(Tasks[[#This Row],[_IsLeaf]]=1),0,IF(N(Tasks[[#This Row],[Actual Finish]])&gt;0,1,MIN(1,Tasks[[#This Row],[_Pct]])))</f>
        <v>0</v>
      </c>
      <c r="EP111" s="43" t="n">
        <f aca="false">IF(OR(NOT(Tasks[[#This Row],[_IsLeaf]]=1),Tasks[[#This Row],[_Res1Row]]=0),0,N(Tasks[[#This Row],[_Days]])*HoursPerDay*IF(Tasks[[#This Row],[_Units1]]="",DefaultUnits,Tasks[[#This Row],[_Units1]]))</f>
        <v>0</v>
      </c>
      <c r="EQ111" s="43" t="n">
        <f aca="false">Tasks[[#This Row],[_LeafWork]]+Tasks[[#This Row],[_Res2Work]]+Tasks[[#This Row],[_Res3Work]]+Tasks[[#This Row],[_Res4Work]]</f>
        <v>0</v>
      </c>
      <c r="ER11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3" t="n">
        <f aca="false">IF(NOT(Tasks[[#This Row],[_IsLeaf]]=1),0,MAX(_xlfn.MAXIFS(Tasks[_Row],Tasks[_Pred1UID],Tasks[[#This Row],[UID]]),_xlfn.MAXIFS(Tasks[_Row],Tasks[_Pred2UID],Tasks[[#This Row],[UID]]),_xlfn.MAXIFS(Tasks[_Row],Tasks[_Pred3UID],Tasks[[#This Row],[UID]]),_xlfn.MAXIFS(Tasks[_Row],Tasks[_Pred4UID],Tasks[[#This Row],[UID]])))</f>
        <v>0</v>
      </c>
      <c r="FA11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91" t="str">
        <f aca="false">IF(NOT(Tasks[[#This Row],[_IsLeaf]]=1),"",IF(N(Tasks[[#This Row],[_Days]])&lt;=0,Tasks[[#This Row],[_LeafLateFinish]],WORKDAY.INTL(Tasks[[#This Row],[_LeafLateFinish]],-(Tasks[[#This Row],[_Days]]-1),WorkWeek,Holidays)))</f>
        <v/>
      </c>
      <c r="FD11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1" s="90" t="b">
        <f aca="false">AND(Tasks[[#This Row],[_IsLeaf]]=1,Tasks[[#This Row],[_LeafProgress]]&lt;1,N(Tasks[[#This Row],[_LeafTotalSlack]])&lt;=CriticalSlackDays)</f>
        <v>0</v>
      </c>
      <c r="FF111" s="43" t="n">
        <f aca="false">IF(AND(Tasks[[#This Row],[_IsLeaf]]=1,Tasks[[#This Row],[_ConstraintCode]]=1,Tasks[[#This Row],[Mode]]&lt;&gt;"Manual",N(Tasks[[#This Row],[Actual Start]])=0),MAX(0,N(Tasks[[#This Row],[Free Slack]])),0)</f>
        <v>0</v>
      </c>
      <c r="FG111" s="91" t="str">
        <f aca="false">IF(NOT(Tasks[[#This Row],[_IsLeaf]]=1),"",IF(Tasks[[#This Row],[_AlapShift]]=0,Tasks[[#This Row],[_LeafCalcStart]],WORKDAY.INTL(Tasks[[#This Row],[_LeafCalcStart]],Tasks[[#This Row],[_AlapShift]],WorkWeek,Holidays)))</f>
        <v/>
      </c>
      <c r="FH111" s="91" t="str">
        <f aca="false">IF(NOT(Tasks[[#This Row],[_IsLeaf]]=1),"",IF(Tasks[[#This Row],[_AlapShift]]=0,Tasks[[#This Row],[_LeafCalcFinish]],WORKDAY.INTL(Tasks[[#This Row],[_LeafCalcFinish]],Tasks[[#This Row],[_AlapShift]],WorkWeek,Holidays)))</f>
        <v/>
      </c>
      <c r="FI111" s="91" t="str">
        <f aca="false">IF(NOT(Tasks[[#This Row],[_IsLeaf]]=1),"",IF(Tasks[[#This Row],[_AlapShift]]=0,Tasks[[#This Row],[_LeafFcstStart]],WORKDAY.INTL(Tasks[[#This Row],[_LeafFcstStart]],Tasks[[#This Row],[_AlapShift]],WorkWeek,Holidays)))</f>
        <v/>
      </c>
      <c r="FJ111" s="91" t="str">
        <f aca="false">IF(NOT(Tasks[[#This Row],[_IsLeaf]]=1),"",IF(Tasks[[#This Row],[_AlapShift]]=0,Tasks[[#This Row],[_LeafFcstFinish]],WORKDAY.INTL(Tasks[[#This Row],[_LeafFcstFinish]],Tasks[[#This Row],[_AlapShift]],WorkWeek,Holidays)))</f>
        <v/>
      </c>
      <c r="FK111" s="91" t="str">
        <f aca="false">IF(Tasks[[#This Row],[Task Name]]="","",IF(Tasks[[#This Row],[_IsSummary]],MIN(INDEX(Tasks[_ShownCalcStart],Tasks[[#This Row],[_Row]]+1):INDEX(Tasks[_ShownCalcStart],Tasks[[#This Row],[_Row]]+Tasks[[#This Row],[_Descendants]])),Tasks[[#This Row],[_ShownCalcStart]]))</f>
        <v/>
      </c>
      <c r="FL111" s="91" t="str">
        <f aca="false">IF(Tasks[[#This Row],[Task Name]]="","",IF(Tasks[[#This Row],[_IsSummary]],MAX(INDEX(Tasks[_ShownCalcFinish],Tasks[[#This Row],[_Row]]+1):INDEX(Tasks[_ShownCalcFinish],Tasks[[#This Row],[_Row]]+Tasks[[#This Row],[_Descendants]])),Tasks[[#This Row],[_ShownCalcFinish]]))</f>
        <v/>
      </c>
      <c r="FM1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1" s="43" t="n">
        <f aca="false">IF(AND(Tasks[[#This Row],[_IsLeaf]]=1,Tasks[[#This Row],[_LeafTotalWork]]&gt;0),NETWORKDAYS.INTL(ProjectStart,Tasks[[#This Row],[_ShownFcstStart]],WorkWeek,Holidays),0)</f>
        <v>0</v>
      </c>
      <c r="FZ111" s="43" t="n">
        <f aca="false">IF(AND(Tasks[[#This Row],[_IsLeaf]]=1,Tasks[[#This Row],[_LeafTotalWork]]&gt;0),MAX(Tasks[[#This Row],[_StartWorkday]],NETWORKDAYS.INTL(ProjectStart,Tasks[[#This Row],[_ShownFcstFinish]],WorkWeek,Holidays)),0)</f>
        <v>0</v>
      </c>
      <c r="GA111" s="43" t="n">
        <f aca="false">IF(AND(Tasks[[#This Row],[_IsLeaf]]=1,Tasks[[#This Row],[_LeafTotalWork]]&gt;0),Tasks[[#This Row],[_LeafWork]]/(Tasks[[#This Row],[_FinishWorkday]]-Tasks[[#This Row],[_StartWorkday]]+1),0)</f>
        <v>0</v>
      </c>
      <c r="GB111" s="43" t="n">
        <f aca="false">Tasks[[#This Row],[_WorkPerWorkday]]*(Tasks[[#This Row],[_StartWorkday]]-1)</f>
        <v>-0</v>
      </c>
      <c r="GC111" s="43" t="n">
        <f aca="false">IF(Tasks[[#This Row],[_IsLeaf]]=1,MAX(N(Tasks[[#This Row],[_Days]]),0.1),0)</f>
        <v>0</v>
      </c>
      <c r="GD111" s="43" t="n">
        <f aca="false">Tasks[[#This Row],[_WeightDur]]*Tasks[[#This Row],[_LeafProgress]]</f>
        <v>0</v>
      </c>
      <c r="GE111" s="43" t="n">
        <f aca="false">Tasks[[#This Row],[_WeightDur]]*Tasks[[#This Row],[_PlannedPct]]</f>
        <v>0</v>
      </c>
      <c r="GF1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3" t="str">
        <f aca="false">IF(AND(Tasks[[#This Row],[_IsLeaf]]=1,N(Tasks[[#This Row],[_Days]])=0,Tasks[[#This Row],[_LeafProgress]]&lt;1),Tasks[[#This Row],[_ShownFcstFinish]]+Tasks[[#This Row],[_Row]]/100000,"")</f>
        <v/>
      </c>
      <c r="GH1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1" s="43" t="str">
        <f aca="false">IF(Tasks[[#This Row],[Task Name]]="","",LEFT(Tasks[[#This Row],[WBS]],FIND(".",Tasks[[#This Row],[WBS]]&amp;".")-1))</f>
        <v/>
      </c>
      <c r="GJ111" s="43" t="str">
        <f aca="false">IF(AND(Tasks[[#This Row],[Task Name]]&lt;&gt;"",Tasks[[#This Row],[_Level]]=1),Tasks[[#This Row],[_Row]],"")</f>
        <v/>
      </c>
      <c r="GK111" s="43" t="str">
        <f aca="false">IF(AND(Tasks[[#This Row],[_IsLeaf]]=1,N(Tasks[[#This Row],[_Days]])=0),Tasks[[#This Row],[Planned Finish]]+Tasks[[#This Row],[_Row]]/100000,"")</f>
        <v/>
      </c>
      <c r="GL111" s="43" t="str">
        <f aca="false">IF(AND(Tasks[[#This Row],[_IsLeaf]]=1,Tasks[[#This Row],[_LeafProgress]]&lt;1,OR(N(Tasks[[#This Row],[Finish Var]])&gt;0,Tasks[[#This Row],[Status]]="Late Start")),MAX(0,Tasks[[#This Row],[Finish Var]])+1-Tasks[[#This Row],[_Row]]/1000000,"")</f>
        <v/>
      </c>
      <c r="GM111" s="43" t="str">
        <f aca="false">IF(AND(Tasks[[#This Row],[_IsLeaf]]=1,N(Tasks[[#This Row],[Actual Start]])=0,Tasks[[#This Row],[_ShownFcstStart]]&gt;=StatusDate,Tasks[[#This Row],[_ShownFcstStart]]&lt;=LookaheadEnd),Tasks[[#This Row],[_ShownFcstStart]]+Tasks[[#This Row],[_Row]]/100000,"")</f>
        <v/>
      </c>
      <c r="GN111" s="43" t="str">
        <f aca="false">IF(AND(Tasks[[#This Row],[_IsLeaf]]=1,Tasks[[#This Row],[_LeafProgress]]&lt;1,Tasks[[#This Row],[_ShownFcstFinish]]&gt;=StatusDate,Tasks[[#This Row],[_ShownFcstFinish]]&lt;=LookaheadEnd),Tasks[[#This Row],[_ShownFcstFinish]]+Tasks[[#This Row],[_Row]]/100000,"")</f>
        <v/>
      </c>
      <c r="GO111" s="43" t="str">
        <f aca="false">IF(Tasks[[#This Row],[_LeafCritical]],Tasks[[#This Row],[_ShownFcstStart]]+Tasks[[#This Row],[_Row]]/100000,"")</f>
        <v/>
      </c>
      <c r="GP111" s="43" t="n">
        <f aca="false">Tasks[[#This Row],[_LeafWork]]*Tasks[[#This Row],[_LeafProgress]]</f>
        <v>0</v>
      </c>
      <c r="GQ111" s="91" t="str">
        <f aca="false">IF(AND(Tasks[[#This Row],[_IsLeaf]]=1,Tasks[[#This Row],[_LeafProgress]]&gt;=1),IF(N(Tasks[[#This Row],[Actual Finish]])&gt;0,Tasks[[#This Row],[Actual Finish]],Tasks[[#This Row],[_ShownFcstFinish]]),"")</f>
        <v/>
      </c>
      <c r="GR111" s="43" t="n">
        <f aca="false">IF(Tasks[[#This Row],[_IsLeaf]]=1,N(Tasks[[#This Row],[Story Points]]),0)</f>
        <v>0</v>
      </c>
      <c r="GS111" s="43" t="str">
        <f aca="false">""</f>
        <v/>
      </c>
      <c r="GT111" s="90" t="b">
        <f aca="false">IF(Tasks[[#This Row],[Task Name]]="",FALSE(),AND(Tasks[[#This Row],[_IsLeaf]]=1,N(Tasks[[#This Row],[_Days]])=0))</f>
        <v>0</v>
      </c>
      <c r="GU111" s="91" t="n">
        <f aca="false">IF(Tasks[[#This Row],[Task Name]]="",0,IF(AND(Tasks[[#This Row],[_IsLeaf]]=1,NOT(Tasks[[#This Row],[_IsMilestone]]),N(Tasks[[#This Row],[Progress]])&gt;0),Tasks[[#This Row],[Start]],0))</f>
        <v>0</v>
      </c>
      <c r="GV111" s="91" t="n">
        <f aca="false">IF(Tasks[[#This Row],[_DoneFrom]]=0,0,IF(Tasks[[#This Row],[Progress]]&gt;=1,Tasks[[#This Row],[Finish]],MAX(Tasks[[#This Row],[_DoneFrom]],Tasks[[#This Row],[Start]]+ROUND((Tasks[[#This Row],[Finish]]-Tasks[[#This Row],[Start]]+1)*Tasks[[#This Row],[Progress]],0)-1)))</f>
        <v>0</v>
      </c>
      <c r="GW111" s="91" t="n">
        <f aca="false">IF(Tasks[[#This Row],[Task Name]]="",0,IF(OR(NOT(Tasks[[#This Row],[_IsLeaf]]=1),Tasks[[#This Row],[_IsMilestone]],N(Tasks[[#This Row],[Progress]])&gt;=1),0,IF(Tasks[[#This Row],[_DoneTo]]&gt;0,Tasks[[#This Row],[_DoneTo]]+1,Tasks[[#This Row],[Start]])))</f>
        <v>0</v>
      </c>
      <c r="GX111" s="91" t="n">
        <f aca="false">IF(Tasks[[#This Row],[_RemFrom]]=0,0,Tasks[[#This Row],[Finish]])</f>
        <v>0</v>
      </c>
      <c r="GY111" s="90" t="b">
        <f aca="false">IF(Tasks[[#This Row],[Task Name]]="",FALSE(),OR(NOT(BaselineSet),N(Tasks[[#This Row],[Baseline Start]])&gt;0))</f>
        <v>0</v>
      </c>
      <c r="GZ11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92" t="str">
        <f aca="false">IF(Tasks[[#This Row],[_IsLeaf]]=1,Tasks[[#This Row],[_Row]],"")</f>
        <v/>
      </c>
      <c r="HD111" s="92" t="str">
        <f aca="false">IFERROR(INDEX(Tasks[UID],SMALL(Tasks[_PickKey],Tasks[[#This Row],[_Row]]))&amp;" "&amp;INDEX(Tasks[Task Name],SMALL(Tasks[_PickKey],Tasks[[#This Row],[_Row]])),"")</f>
        <v/>
      </c>
      <c r="HE111" s="43" t="str">
        <f aca="false">IF(Tasks[[#This Row],[Task Name]]="","",IF(Tasks[[#This Row],[_IsSummary]],NETWORKDAYS.INTL(Tasks[[#This Row],[Start]],Tasks[[#This Row],[Finish]],WorkWeek,Holidays),N(Tasks[[#This Row],[_Days]])))</f>
        <v/>
      </c>
      <c r="HF111" s="43" t="n">
        <f aca="false">IF(Tasks[[#This Row],[Expected]]="",0,((Tasks[[#This Row],[Pessimistic]]-Tasks[[#This Row],[Optimistic]])/6)^2)</f>
        <v>0</v>
      </c>
      <c r="HG111" s="43" t="n">
        <f aca="false">IF(Tasks[[#This Row],[Expected]]="",0,Tasks[[#This Row],[Expected]]-N(Tasks[[#This Row],[_Days]]))</f>
        <v>0</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4"/>
      <c r="U112" s="23"/>
      <c r="V112" s="84"/>
      <c r="W112" s="23"/>
      <c r="X112" s="84"/>
      <c r="Y112" s="23"/>
      <c r="Z112" s="84"/>
      <c r="AA112" s="23"/>
      <c r="AB112" s="23"/>
      <c r="AC112" s="7"/>
      <c r="AD112" s="7"/>
      <c r="AE112" s="63" t="str">
        <f aca="false">IF(Tasks[[#This Row],[Task Name]]="","",IF(Tasks[[#This Row],[_IsSummary]],MIN(INDEX(Tasks[_ShownFcstStart],Tasks[[#This Row],[_Row]]+1):INDEX(Tasks[_ShownFcstStart],Tasks[[#This Row],[_Row]]+Tasks[[#This Row],[_Descendants]])),Tasks[[#This Row],[_ShownFcstStart]]))</f>
        <v/>
      </c>
      <c r="AF112" s="63"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2" s="7"/>
      <c r="AK112" s="22"/>
      <c r="AL112" s="23"/>
      <c r="AM112" s="7"/>
      <c r="AN112" s="47"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3" t="str">
        <f aca="false">IF(Tasks[[#This Row],[Task Name]]="","",IF(N(Tasks[[#This Row],[Baseline Start]])&gt;0,Tasks[[#This Row],[Baseline Start]],Tasks[[#This Row],[_CalcStart]]))</f>
        <v/>
      </c>
      <c r="AR112" s="63" t="str">
        <f aca="false">IF(Tasks[[#This Row],[Task Name]]="","",IF(N(Tasks[[#This Row],[Baseline Finish]])&gt;0,Tasks[[#This Row],[Baseline Finish]],Tasks[[#This Row],[_CalcFinish]]))</f>
        <v/>
      </c>
      <c r="AS112" s="47" t="str">
        <f aca="false">IF(Tasks[[#This Row],[Task Name]]="","",IF(Tasks[[#This Row],[Start]]&gt;=Tasks[[#This Row],[Planned Start]],NETWORKDAYS.INTL(Tasks[[#This Row],[Planned Start]],Tasks[[#This Row],[Start]],WorkWeek,Holidays)-1,1-NETWORKDAYS.INTL(Tasks[[#This Row],[Start]],Tasks[[#This Row],[Planned Start]],WorkWeek,Holidays)))</f>
        <v/>
      </c>
      <c r="AT112" s="63" t="str">
        <f aca="false">IF(Tasks[[#This Row],[Task Name]]="","",IF(Tasks[[#This Row],[_IsSummary]],MIN(INDEX(Tasks[_LeafLateStart],Tasks[[#This Row],[_Row]]+1):INDEX(Tasks[_LeafLateStart],Tasks[[#This Row],[_Row]]+Tasks[[#This Row],[_Descendants]])),Tasks[[#This Row],[_LeafLateStart]]))</f>
        <v/>
      </c>
      <c r="AU112" s="63" t="str">
        <f aca="false">IF(Tasks[[#This Row],[Task Name]]="","",IF(Tasks[[#This Row],[_IsSummary]],MAX(INDEX(Tasks[_LeafLateFinish],Tasks[[#This Row],[_Row]]+1):INDEX(Tasks[_LeafLateFinish],Tasks[[#This Row],[_Row]]+Tasks[[#This Row],[_Descendants]])),Tasks[[#This Row],[_LeafLateFinish]]))</f>
        <v/>
      </c>
      <c r="AV112" s="47"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5"/>
      <c r="BA11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6"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7"/>
      <c r="BJ112" s="22"/>
      <c r="BK112" s="47" t="str">
        <f aca="false">IF(OR(Tasks[[#This Row],[Task Name]]="",Tasks[[#This Row],[Baseline Duration]]=""),"",Tasks[[#This Row],[_SpanDays]]-N(Tasks[[#This Row],[Baseline Duration]]))</f>
        <v/>
      </c>
      <c r="BL112" s="86" t="str">
        <f aca="false">IF(OR(Tasks[[#This Row],[Task Name]]="",Tasks[[#This Row],[Baseline Work]]=""),"",Tasks[[#This Row],[Work]]-N(Tasks[[#This Row],[Baseline Work]]))</f>
        <v/>
      </c>
      <c r="BM112" s="63" t="str">
        <f aca="false">IF(Tasks[[#This Row],[Task Name]]="","",IF(OR(TakeBaseline="Yes",N(Tasks[[#This Row],[Baseline Start]])=0),Tasks[[#This Row],[Start]],Tasks[[#This Row],[Baseline Start]]))</f>
        <v/>
      </c>
      <c r="BN112" s="63" t="str">
        <f aca="false">IF(Tasks[[#This Row],[Task Name]]="","",IF(OR(TakeBaseline="Yes",N(Tasks[[#This Row],[Baseline Finish]])=0),Tasks[[#This Row],[Finish]],Tasks[[#This Row],[Baseline Finish]]))</f>
        <v/>
      </c>
      <c r="BO112" s="21" t="str">
        <f aca="false">IF(Tasks[[#This Row],[Task Name]]="","",IF(OR(TakeBaseline="Yes",N(Tasks[[#This Row],[Baseline Duration]])=0),Tasks[[#This Row],[_SpanDays]],Tasks[[#This Row],[Baseline Duration]]))</f>
        <v/>
      </c>
      <c r="BP112" s="86" t="str">
        <f aca="false">IF(Tasks[[#This Row],[Task Name]]="","",IF(OR(TakeBaseline="Yes",N(Tasks[[#This Row],[Baseline Work]])=0),Tasks[[#This Row],[Work]],Tasks[[#This Row],[Baseline Work]]))</f>
        <v/>
      </c>
      <c r="BQ112" s="7"/>
      <c r="BR112" s="7"/>
      <c r="BS112" s="22"/>
      <c r="BT112" s="88"/>
      <c r="BU112" s="23"/>
      <c r="BV112" s="23"/>
      <c r="BW112" s="23"/>
      <c r="BX112" s="89" t="str">
        <f aca="false">IF(AND(Tasks[[#This Row],[_IsLeaf]]=1,ISNUMBER(Tasks[[#This Row],[Optimistic]]),ISNUMBER(Tasks[[#This Row],[Pessimistic]])),ROUND((Tasks[[#This Row],[Optimistic]]+4*N(Tasks[[#This Row],[_Days]])+Tasks[[#This Row],[Pessimistic]])/6,1),"")</f>
        <v/>
      </c>
      <c r="BY112" s="87"/>
      <c r="BZ112" s="87"/>
      <c r="CA112" s="22"/>
      <c r="CB112" s="43" t="str">
        <f aca="false">IF(Tasks[[#This Row],[Task Name]]="","",MAX(1,N(Tasks[[#This Row],[Level]])))</f>
        <v/>
      </c>
      <c r="CC112" s="43" t="n">
        <f aca="false">ROW()-ROW(Tasks[[#Headers],[ID]])</f>
        <v>107</v>
      </c>
      <c r="CD112" s="43" t="n">
        <f aca="false">IF(OR(Tasks[[#This Row],[Task Name]]="",Tasks[[#This Row],[_Level]]&lt;=1),0,IFERROR(LOOKUP(2,1/(Tasks[[#Headers],[_Level]]:Tasks[[#This Row],[_Level]]=Tasks[[#This Row],[_Level]]-1),ROW(Tasks[[#Headers],[_Level]]:Tasks[[#This Row],[_Level]])),0))</f>
        <v>0</v>
      </c>
      <c r="CE112" s="43" t="n">
        <f aca="false">IFERROR(N(INDEX(Tasks[_Level],Tasks[[#This Row],[_Row]]+1)),0)</f>
        <v>0</v>
      </c>
      <c r="CF112" s="90" t="b">
        <f aca="false">AND(Tasks[[#This Row],[Task Name]]&lt;&gt;"",Tasks[[#This Row],[_NextLevel]]&gt;Tasks[[#This Row],[_Level]])</f>
        <v>0</v>
      </c>
      <c r="CG112" s="43" t="n">
        <f aca="false">IF(Tasks[[#This Row],[_IsSummary]],COUNTIF(Tasks[WBS],Tasks[[#This Row],[WBS]]&amp;".*"),0)</f>
        <v>0</v>
      </c>
      <c r="CH112" s="43" t="n">
        <f aca="false">IF(AND(Tasks[[#This Row],[Task Name]]&lt;&gt;"",NOT(Tasks[[#This Row],[_IsSummary]])),1,0)</f>
        <v>0</v>
      </c>
      <c r="CI112" s="43" t="n">
        <f aca="false">IF(N(Tasks[[#This Row],[_Pred1UID]])=0,0,IFERROR(MATCH(Tasks[[#This Row],[_Pred1UID]],Tasks[UID],0),-1))</f>
        <v>0</v>
      </c>
      <c r="CJ112" s="43" t="n">
        <f aca="false">IF(N(Tasks[[#This Row],[_Pred2UID]])=0,0,IFERROR(MATCH(Tasks[[#This Row],[_Pred2UID]],Tasks[UID],0),-1))</f>
        <v>0</v>
      </c>
      <c r="CK112" s="43" t="n">
        <f aca="false">IF(N(Tasks[[#This Row],[_Pred3UID]])=0,0,IFERROR(MATCH(Tasks[[#This Row],[_Pred3UID]],Tasks[UID],0),-1))</f>
        <v>0</v>
      </c>
      <c r="CL112" s="43" t="n">
        <f aca="false">IF(N(Tasks[[#This Row],[_Pred4UID]])=0,0,IFERROR(MATCH(Tasks[[#This Row],[_Pred4UID]],Tasks[UID],0),-1))</f>
        <v>0</v>
      </c>
      <c r="CM11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2" s="91" t="n">
        <f aca="false">IF(OR(Tasks[[#This Row],[_ConstraintCode]]=2,Tasks[[#This Row],[_ConstraintCode]]=3,Tasks[[#This Row],[_ConstraintCode]]=4,Tasks[[#This Row],[_ConstraintCode]]=6),Tasks[[#This Row],[_ConstraintStart]],0)</f>
        <v>0</v>
      </c>
      <c r="CP112" s="91" t="n">
        <f aca="false">IF(OR(Tasks[[#This Row],[_ConstraintCode]]=2,Tasks[[#This Row],[_ConstraintCode]]=3,Tasks[[#This Row],[_ConstraintCode]]=5,Tasks[[#This Row],[_ConstraintCode]]=7),Tasks[[#This Row],[_ConstraintStart]],2958465)</f>
        <v>2958465</v>
      </c>
      <c r="CQ11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91" t="str">
        <f aca="false">IF(NOT(Tasks[[#This Row],[_IsLeaf]]=1),"",IF(N(Tasks[[#This Row],[_Days]])&lt;=0,Tasks[[#This Row],[_LeafCalcStart]],WORKDAY.INTL(Tasks[[#This Row],[_LeafCalcStart]],Tasks[[#This Row],[_Days]]-1,WorkWeek,Holidays)))</f>
        <v/>
      </c>
      <c r="CS11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3" t="str">
        <f aca="false">IF(Tasks[[#This Row],[_Predecessors]]="","",TRIM(MID(SUBSTITUTE(SUBSTITUTE(SUBSTITUTE(UPPER(Tasks[[#This Row],[_Predecessors]]),";",",")," ",""),",",REPT(" ",99)),1,99)))</f>
        <v/>
      </c>
      <c r="CV112" s="43" t="str">
        <f aca="false">IF(Tasks[[#This Row],[_Pred1Text]]="","",IFERROR(VALUE(LEFT(Tasks[[#This Row],[_Pred1Text]],MIN(FIND("F",Tasks[[#This Row],[_Pred1Text]]&amp;"F"),FIND("S",Tasks[[#This Row],[_Pred1Text]]&amp;"S"),FIND("+",Tasks[[#This Row],[_Pred1Text]]&amp;"+"),FIND("-",Tasks[[#This Row],[_Pred1Text]]&amp;"-"))-1)),""))</f>
        <v/>
      </c>
      <c r="CW1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3" t="str">
        <f aca="false">IF(Tasks[[#This Row],[_Pred1Text]]="","",TRIM(MID(SUBSTITUTE(SUBSTITUTE(SUBSTITUTE(UPPER(Tasks[[#This Row],[_Predecessors]]),";",",")," ",""),",",REPT(" ",99)),100,99)))</f>
        <v/>
      </c>
      <c r="CZ112" s="43" t="str">
        <f aca="false">IF(Tasks[[#This Row],[_Pred2Text]]="","",IFERROR(VALUE(LEFT(Tasks[[#This Row],[_Pred2Text]],MIN(FIND("F",Tasks[[#This Row],[_Pred2Text]]&amp;"F"),FIND("S",Tasks[[#This Row],[_Pred2Text]]&amp;"S"),FIND("+",Tasks[[#This Row],[_Pred2Text]]&amp;"+"),FIND("-",Tasks[[#This Row],[_Pred2Text]]&amp;"-"))-1)),""))</f>
        <v/>
      </c>
      <c r="DA1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3" t="str">
        <f aca="false">IF(Tasks[[#This Row],[_Pred2Text]]="","",TRIM(MID(SUBSTITUTE(SUBSTITUTE(SUBSTITUTE(UPPER(Tasks[[#This Row],[_Predecessors]]),";",",")," ",""),",",REPT(" ",99)),199,99)))</f>
        <v/>
      </c>
      <c r="DD112" s="43" t="str">
        <f aca="false">IF(Tasks[[#This Row],[_Pred3Text]]="","",IFERROR(VALUE(LEFT(Tasks[[#This Row],[_Pred3Text]],MIN(FIND("F",Tasks[[#This Row],[_Pred3Text]]&amp;"F"),FIND("S",Tasks[[#This Row],[_Pred3Text]]&amp;"S"),FIND("+",Tasks[[#This Row],[_Pred3Text]]&amp;"+"),FIND("-",Tasks[[#This Row],[_Pred3Text]]&amp;"-"))-1)),""))</f>
        <v/>
      </c>
      <c r="DE1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3" t="str">
        <f aca="false">IF(Tasks[[#This Row],[_Pred3Text]]="","",TRIM(MID(SUBSTITUTE(SUBSTITUTE(SUBSTITUTE(UPPER(Tasks[[#This Row],[_Predecessors]]),";",",")," ",""),",",REPT(" ",99)),298,99)))</f>
        <v/>
      </c>
      <c r="DH112" s="43" t="str">
        <f aca="false">IF(Tasks[[#This Row],[_Pred4Text]]="","",IFERROR(VALUE(LEFT(Tasks[[#This Row],[_Pred4Text]],MIN(FIND("F",Tasks[[#This Row],[_Pred4Text]]&amp;"F"),FIND("S",Tasks[[#This Row],[_Pred4Text]]&amp;"S"),FIND("+",Tasks[[#This Row],[_Pred4Text]]&amp;"+"),FIND("-",Tasks[[#This Row],[_Pred4Text]]&amp;"-"))-1)),""))</f>
        <v/>
      </c>
      <c r="DI1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3" t="str">
        <f aca="false">IF(OR(Tasks[[#This Row],[Task Name]]="",Tasks[[#This Row],[_Resources]]=""),"",TRIM(MID(SUBSTITUTE(Tasks[[#This Row],[_Resources]],",",REPT(" ",99)),1,99)))</f>
        <v/>
      </c>
      <c r="DL112" s="43" t="str">
        <f aca="false">IF(Tasks[[#This Row],[_Res1Text]]="","",TRIM(MID(SUBSTITUTE(Tasks[[#This Row],[_Resources]],",",REPT(" ",99)),100,99)))</f>
        <v/>
      </c>
      <c r="DM112" s="43" t="str">
        <f aca="false">IF(Tasks[[#This Row],[_Res2Text]]="","",TRIM(MID(SUBSTITUTE(Tasks[[#This Row],[_Resources]],",",REPT(" ",99)),199,99)))</f>
        <v/>
      </c>
      <c r="DN112" s="43" t="str">
        <f aca="false">IF(Tasks[[#This Row],[_Res3Text]]="","",TRIM(MID(SUBSTITUTE(Tasks[[#This Row],[_Resources]],",",REPT(" ",99)),298,99)))</f>
        <v/>
      </c>
      <c r="DO112" s="43" t="n">
        <f aca="false">IF(Tasks[[#This Row],[_Res1Text]]="",0,IFERROR(MATCH(TRIM(LEFT(Tasks[[#This Row],[_Res1Text]],FIND("[",Tasks[[#This Row],[_Res1Text]]&amp;"[")-1)),res_Name,0),IFERROR(MATCH(TRIM(LEFT(Tasks[[#This Row],[_Res1Text]],FIND("[",Tasks[[#This Row],[_Res1Text]]&amp;"[")-1)),res_Initials,0),0)))</f>
        <v>0</v>
      </c>
      <c r="DP112" s="43" t="n">
        <f aca="false">IF(Tasks[[#This Row],[_Res2Text]]="",0,IFERROR(MATCH(TRIM(LEFT(Tasks[[#This Row],[_Res2Text]],FIND("[",Tasks[[#This Row],[_Res2Text]]&amp;"[")-1)),res_Name,0),IFERROR(MATCH(TRIM(LEFT(Tasks[[#This Row],[_Res2Text]],FIND("[",Tasks[[#This Row],[_Res2Text]]&amp;"[")-1)),res_Initials,0),0)))</f>
        <v>0</v>
      </c>
      <c r="DQ112" s="43" t="n">
        <f aca="false">IF(Tasks[[#This Row],[_Res3Text]]="",0,IFERROR(MATCH(TRIM(LEFT(Tasks[[#This Row],[_Res3Text]],FIND("[",Tasks[[#This Row],[_Res3Text]]&amp;"[")-1)),res_Name,0),IFERROR(MATCH(TRIM(LEFT(Tasks[[#This Row],[_Res3Text]],FIND("[",Tasks[[#This Row],[_Res3Text]]&amp;"[")-1)),res_Initials,0),0)))</f>
        <v>0</v>
      </c>
      <c r="DR112" s="43" t="n">
        <f aca="false">IF(Tasks[[#This Row],[_Res4Text]]="",0,IFERROR(MATCH(TRIM(LEFT(Tasks[[#This Row],[_Res4Text]],FIND("[",Tasks[[#This Row],[_Res4Text]]&amp;"[")-1)),res_Name,0),IFERROR(MATCH(TRIM(LEFT(Tasks[[#This Row],[_Res4Text]],FIND("[",Tasks[[#This Row],[_Res4Text]]&amp;"[")-1)),res_Initials,0),0)))</f>
        <v>0</v>
      </c>
      <c r="DS112" s="43" t="str">
        <f aca="false">IF(Tasks[[#This Row],[_Res1Text]]="","",IF(Tasks[[#This Row],[_Res1Row]]&gt;0,INDEX(res_Name,Tasks[[#This Row],[_Res1Row]]),TRIM(LEFT(Tasks[[#This Row],[_Res1Text]],FIND("[",Tasks[[#This Row],[_Res1Text]]&amp;"[")-1))))</f>
        <v/>
      </c>
      <c r="DT1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3" t="n">
        <f aca="false">IF(NOT(Tasks[[#This Row],[_IsLeaf]]=1),0,(Tasks[[#This Row],[_Resource1]]&lt;&gt;"")+(Tasks[[#This Row],[_Res2]]&lt;&gt;"")+(Tasks[[#This Row],[_Res3]]&lt;&gt;"")+(Tasks[[#This Row],[_Res4]]&lt;&gt;""))</f>
        <v>0</v>
      </c>
      <c r="DV112" s="43" t="str">
        <f aca="false">IF(Tasks[[#This Row],[_Res2Text]]="","",IF(Tasks[[#This Row],[_Res2Row]]&gt;0,INDEX(res_Name,Tasks[[#This Row],[_Res2Row]]),TRIM(LEFT(Tasks[[#This Row],[_Res2Text]],FIND("[",Tasks[[#This Row],[_Res2Text]]&amp;"[")-1))))</f>
        <v/>
      </c>
      <c r="DW1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3" t="n">
        <f aca="false">IF(OR(NOT(Tasks[[#This Row],[_IsLeaf]]=1),Tasks[[#This Row],[_Res2Row]]=0),0,N(Tasks[[#This Row],[_Days]])*HoursPerDay*IF(Tasks[[#This Row],[_Res2Units]]="",DefaultUnits,Tasks[[#This Row],[_Res2Units]]))</f>
        <v>0</v>
      </c>
      <c r="DY112" s="43" t="n">
        <f aca="false">IF(AND(AND(Tasks[[#This Row],[_IsLeaf]]=1,Tasks[[#This Row],[_LeafTotalWork]]&gt;0),Tasks[[#This Row],[_Res2Work]]&gt;0),Tasks[[#This Row],[_Res2Work]]/(Tasks[[#This Row],[_FinishWorkday]]-Tasks[[#This Row],[_StartWorkday]]+1),0)</f>
        <v>0</v>
      </c>
      <c r="DZ112" s="43" t="n">
        <f aca="false">Tasks[[#This Row],[_Res2WorkPerWD]]*MAX(0,Tasks[[#This Row],[_StartWorkday]]-1)</f>
        <v>0</v>
      </c>
      <c r="EA112" s="43" t="n">
        <f aca="false">Tasks[[#This Row],[_Res2Work]]*Tasks[[#This Row],[_LeafProgress]]</f>
        <v>0</v>
      </c>
      <c r="EB112" s="43" t="str">
        <f aca="false">IF(Tasks[[#This Row],[_Res3Text]]="","",IF(Tasks[[#This Row],[_Res3Row]]&gt;0,INDEX(res_Name,Tasks[[#This Row],[_Res3Row]]),TRIM(LEFT(Tasks[[#This Row],[_Res3Text]],FIND("[",Tasks[[#This Row],[_Res3Text]]&amp;"[")-1))))</f>
        <v/>
      </c>
      <c r="EC1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3" t="n">
        <f aca="false">IF(OR(NOT(Tasks[[#This Row],[_IsLeaf]]=1),Tasks[[#This Row],[_Res3Row]]=0),0,N(Tasks[[#This Row],[_Days]])*HoursPerDay*IF(Tasks[[#This Row],[_Res3Units]]="",DefaultUnits,Tasks[[#This Row],[_Res3Units]]))</f>
        <v>0</v>
      </c>
      <c r="EE112" s="43" t="n">
        <f aca="false">IF(AND(AND(Tasks[[#This Row],[_IsLeaf]]=1,Tasks[[#This Row],[_LeafTotalWork]]&gt;0),Tasks[[#This Row],[_Res3Work]]&gt;0),Tasks[[#This Row],[_Res3Work]]/(Tasks[[#This Row],[_FinishWorkday]]-Tasks[[#This Row],[_StartWorkday]]+1),0)</f>
        <v>0</v>
      </c>
      <c r="EF112" s="43" t="n">
        <f aca="false">Tasks[[#This Row],[_Res3WorkPerWD]]*MAX(0,Tasks[[#This Row],[_StartWorkday]]-1)</f>
        <v>0</v>
      </c>
      <c r="EG112" s="43" t="n">
        <f aca="false">Tasks[[#This Row],[_Res3Work]]*Tasks[[#This Row],[_LeafProgress]]</f>
        <v>0</v>
      </c>
      <c r="EH112" s="43" t="str">
        <f aca="false">IF(Tasks[[#This Row],[_Res4Text]]="","",IF(Tasks[[#This Row],[_Res4Row]]&gt;0,INDEX(res_Name,Tasks[[#This Row],[_Res4Row]]),TRIM(LEFT(Tasks[[#This Row],[_Res4Text]],FIND("[",Tasks[[#This Row],[_Res4Text]]&amp;"[")-1))))</f>
        <v/>
      </c>
      <c r="EI1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3" t="n">
        <f aca="false">IF(OR(NOT(Tasks[[#This Row],[_IsLeaf]]=1),Tasks[[#This Row],[_Res4Row]]=0),0,N(Tasks[[#This Row],[_Days]])*HoursPerDay*IF(Tasks[[#This Row],[_Res4Units]]="",DefaultUnits,Tasks[[#This Row],[_Res4Units]]))</f>
        <v>0</v>
      </c>
      <c r="EK112" s="43" t="n">
        <f aca="false">IF(AND(AND(Tasks[[#This Row],[_IsLeaf]]=1,Tasks[[#This Row],[_LeafTotalWork]]&gt;0),Tasks[[#This Row],[_Res4Work]]&gt;0),Tasks[[#This Row],[_Res4Work]]/(Tasks[[#This Row],[_FinishWorkday]]-Tasks[[#This Row],[_StartWorkday]]+1),0)</f>
        <v>0</v>
      </c>
      <c r="EL112" s="43" t="n">
        <f aca="false">Tasks[[#This Row],[_Res4WorkPerWD]]*MAX(0,Tasks[[#This Row],[_StartWorkday]]-1)</f>
        <v>0</v>
      </c>
      <c r="EM112" s="43" t="n">
        <f aca="false">Tasks[[#This Row],[_Res4Work]]*Tasks[[#This Row],[_LeafProgress]]</f>
        <v>0</v>
      </c>
      <c r="EN112" s="43" t="n">
        <f aca="false">IF(ISNUMBER(Tasks[[#This Row],[% Complete]]),Tasks[[#This Row],[% Complete]],IF(Tasks[[#This Row],[Stage]]="",0,IFERROR(INDEX(stg_Pct,MATCH(Tasks[[#This Row],[Stage]],stg_Name,0)),0)))</f>
        <v>0</v>
      </c>
      <c r="EO112" s="43" t="n">
        <f aca="false">IF(NOT(Tasks[[#This Row],[_IsLeaf]]=1),0,IF(N(Tasks[[#This Row],[Actual Finish]])&gt;0,1,MIN(1,Tasks[[#This Row],[_Pct]])))</f>
        <v>0</v>
      </c>
      <c r="EP112" s="43" t="n">
        <f aca="false">IF(OR(NOT(Tasks[[#This Row],[_IsLeaf]]=1),Tasks[[#This Row],[_Res1Row]]=0),0,N(Tasks[[#This Row],[_Days]])*HoursPerDay*IF(Tasks[[#This Row],[_Units1]]="",DefaultUnits,Tasks[[#This Row],[_Units1]]))</f>
        <v>0</v>
      </c>
      <c r="EQ112" s="43" t="n">
        <f aca="false">Tasks[[#This Row],[_LeafWork]]+Tasks[[#This Row],[_Res2Work]]+Tasks[[#This Row],[_Res3Work]]+Tasks[[#This Row],[_Res4Work]]</f>
        <v>0</v>
      </c>
      <c r="ER11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3" t="n">
        <f aca="false">IF(NOT(Tasks[[#This Row],[_IsLeaf]]=1),0,MAX(_xlfn.MAXIFS(Tasks[_Row],Tasks[_Pred1UID],Tasks[[#This Row],[UID]]),_xlfn.MAXIFS(Tasks[_Row],Tasks[_Pred2UID],Tasks[[#This Row],[UID]]),_xlfn.MAXIFS(Tasks[_Row],Tasks[_Pred3UID],Tasks[[#This Row],[UID]]),_xlfn.MAXIFS(Tasks[_Row],Tasks[_Pred4UID],Tasks[[#This Row],[UID]])))</f>
        <v>0</v>
      </c>
      <c r="FA11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91" t="str">
        <f aca="false">IF(NOT(Tasks[[#This Row],[_IsLeaf]]=1),"",IF(N(Tasks[[#This Row],[_Days]])&lt;=0,Tasks[[#This Row],[_LeafLateFinish]],WORKDAY.INTL(Tasks[[#This Row],[_LeafLateFinish]],-(Tasks[[#This Row],[_Days]]-1),WorkWeek,Holidays)))</f>
        <v/>
      </c>
      <c r="FD11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2" s="90" t="b">
        <f aca="false">AND(Tasks[[#This Row],[_IsLeaf]]=1,Tasks[[#This Row],[_LeafProgress]]&lt;1,N(Tasks[[#This Row],[_LeafTotalSlack]])&lt;=CriticalSlackDays)</f>
        <v>0</v>
      </c>
      <c r="FF112" s="43" t="n">
        <f aca="false">IF(AND(Tasks[[#This Row],[_IsLeaf]]=1,Tasks[[#This Row],[_ConstraintCode]]=1,Tasks[[#This Row],[Mode]]&lt;&gt;"Manual",N(Tasks[[#This Row],[Actual Start]])=0),MAX(0,N(Tasks[[#This Row],[Free Slack]])),0)</f>
        <v>0</v>
      </c>
      <c r="FG112" s="91" t="str">
        <f aca="false">IF(NOT(Tasks[[#This Row],[_IsLeaf]]=1),"",IF(Tasks[[#This Row],[_AlapShift]]=0,Tasks[[#This Row],[_LeafCalcStart]],WORKDAY.INTL(Tasks[[#This Row],[_LeafCalcStart]],Tasks[[#This Row],[_AlapShift]],WorkWeek,Holidays)))</f>
        <v/>
      </c>
      <c r="FH112" s="91" t="str">
        <f aca="false">IF(NOT(Tasks[[#This Row],[_IsLeaf]]=1),"",IF(Tasks[[#This Row],[_AlapShift]]=0,Tasks[[#This Row],[_LeafCalcFinish]],WORKDAY.INTL(Tasks[[#This Row],[_LeafCalcFinish]],Tasks[[#This Row],[_AlapShift]],WorkWeek,Holidays)))</f>
        <v/>
      </c>
      <c r="FI112" s="91" t="str">
        <f aca="false">IF(NOT(Tasks[[#This Row],[_IsLeaf]]=1),"",IF(Tasks[[#This Row],[_AlapShift]]=0,Tasks[[#This Row],[_LeafFcstStart]],WORKDAY.INTL(Tasks[[#This Row],[_LeafFcstStart]],Tasks[[#This Row],[_AlapShift]],WorkWeek,Holidays)))</f>
        <v/>
      </c>
      <c r="FJ112" s="91" t="str">
        <f aca="false">IF(NOT(Tasks[[#This Row],[_IsLeaf]]=1),"",IF(Tasks[[#This Row],[_AlapShift]]=0,Tasks[[#This Row],[_LeafFcstFinish]],WORKDAY.INTL(Tasks[[#This Row],[_LeafFcstFinish]],Tasks[[#This Row],[_AlapShift]],WorkWeek,Holidays)))</f>
        <v/>
      </c>
      <c r="FK112" s="91" t="str">
        <f aca="false">IF(Tasks[[#This Row],[Task Name]]="","",IF(Tasks[[#This Row],[_IsSummary]],MIN(INDEX(Tasks[_ShownCalcStart],Tasks[[#This Row],[_Row]]+1):INDEX(Tasks[_ShownCalcStart],Tasks[[#This Row],[_Row]]+Tasks[[#This Row],[_Descendants]])),Tasks[[#This Row],[_ShownCalcStart]]))</f>
        <v/>
      </c>
      <c r="FL112" s="91" t="str">
        <f aca="false">IF(Tasks[[#This Row],[Task Name]]="","",IF(Tasks[[#This Row],[_IsSummary]],MAX(INDEX(Tasks[_ShownCalcFinish],Tasks[[#This Row],[_Row]]+1):INDEX(Tasks[_ShownCalcFinish],Tasks[[#This Row],[_Row]]+Tasks[[#This Row],[_Descendants]])),Tasks[[#This Row],[_ShownCalcFinish]]))</f>
        <v/>
      </c>
      <c r="FM1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2" s="43" t="n">
        <f aca="false">IF(AND(Tasks[[#This Row],[_IsLeaf]]=1,Tasks[[#This Row],[_LeafTotalWork]]&gt;0),NETWORKDAYS.INTL(ProjectStart,Tasks[[#This Row],[_ShownFcstStart]],WorkWeek,Holidays),0)</f>
        <v>0</v>
      </c>
      <c r="FZ112" s="43" t="n">
        <f aca="false">IF(AND(Tasks[[#This Row],[_IsLeaf]]=1,Tasks[[#This Row],[_LeafTotalWork]]&gt;0),MAX(Tasks[[#This Row],[_StartWorkday]],NETWORKDAYS.INTL(ProjectStart,Tasks[[#This Row],[_ShownFcstFinish]],WorkWeek,Holidays)),0)</f>
        <v>0</v>
      </c>
      <c r="GA112" s="43" t="n">
        <f aca="false">IF(AND(Tasks[[#This Row],[_IsLeaf]]=1,Tasks[[#This Row],[_LeafTotalWork]]&gt;0),Tasks[[#This Row],[_LeafWork]]/(Tasks[[#This Row],[_FinishWorkday]]-Tasks[[#This Row],[_StartWorkday]]+1),0)</f>
        <v>0</v>
      </c>
      <c r="GB112" s="43" t="n">
        <f aca="false">Tasks[[#This Row],[_WorkPerWorkday]]*(Tasks[[#This Row],[_StartWorkday]]-1)</f>
        <v>-0</v>
      </c>
      <c r="GC112" s="43" t="n">
        <f aca="false">IF(Tasks[[#This Row],[_IsLeaf]]=1,MAX(N(Tasks[[#This Row],[_Days]]),0.1),0)</f>
        <v>0</v>
      </c>
      <c r="GD112" s="43" t="n">
        <f aca="false">Tasks[[#This Row],[_WeightDur]]*Tasks[[#This Row],[_LeafProgress]]</f>
        <v>0</v>
      </c>
      <c r="GE112" s="43" t="n">
        <f aca="false">Tasks[[#This Row],[_WeightDur]]*Tasks[[#This Row],[_PlannedPct]]</f>
        <v>0</v>
      </c>
      <c r="GF1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3" t="str">
        <f aca="false">IF(AND(Tasks[[#This Row],[_IsLeaf]]=1,N(Tasks[[#This Row],[_Days]])=0,Tasks[[#This Row],[_LeafProgress]]&lt;1),Tasks[[#This Row],[_ShownFcstFinish]]+Tasks[[#This Row],[_Row]]/100000,"")</f>
        <v/>
      </c>
      <c r="GH1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2" s="43" t="str">
        <f aca="false">IF(Tasks[[#This Row],[Task Name]]="","",LEFT(Tasks[[#This Row],[WBS]],FIND(".",Tasks[[#This Row],[WBS]]&amp;".")-1))</f>
        <v/>
      </c>
      <c r="GJ112" s="43" t="str">
        <f aca="false">IF(AND(Tasks[[#This Row],[Task Name]]&lt;&gt;"",Tasks[[#This Row],[_Level]]=1),Tasks[[#This Row],[_Row]],"")</f>
        <v/>
      </c>
      <c r="GK112" s="43" t="str">
        <f aca="false">IF(AND(Tasks[[#This Row],[_IsLeaf]]=1,N(Tasks[[#This Row],[_Days]])=0),Tasks[[#This Row],[Planned Finish]]+Tasks[[#This Row],[_Row]]/100000,"")</f>
        <v/>
      </c>
      <c r="GL112" s="43" t="str">
        <f aca="false">IF(AND(Tasks[[#This Row],[_IsLeaf]]=1,Tasks[[#This Row],[_LeafProgress]]&lt;1,OR(N(Tasks[[#This Row],[Finish Var]])&gt;0,Tasks[[#This Row],[Status]]="Late Start")),MAX(0,Tasks[[#This Row],[Finish Var]])+1-Tasks[[#This Row],[_Row]]/1000000,"")</f>
        <v/>
      </c>
      <c r="GM112" s="43" t="str">
        <f aca="false">IF(AND(Tasks[[#This Row],[_IsLeaf]]=1,N(Tasks[[#This Row],[Actual Start]])=0,Tasks[[#This Row],[_ShownFcstStart]]&gt;=StatusDate,Tasks[[#This Row],[_ShownFcstStart]]&lt;=LookaheadEnd),Tasks[[#This Row],[_ShownFcstStart]]+Tasks[[#This Row],[_Row]]/100000,"")</f>
        <v/>
      </c>
      <c r="GN112" s="43" t="str">
        <f aca="false">IF(AND(Tasks[[#This Row],[_IsLeaf]]=1,Tasks[[#This Row],[_LeafProgress]]&lt;1,Tasks[[#This Row],[_ShownFcstFinish]]&gt;=StatusDate,Tasks[[#This Row],[_ShownFcstFinish]]&lt;=LookaheadEnd),Tasks[[#This Row],[_ShownFcstFinish]]+Tasks[[#This Row],[_Row]]/100000,"")</f>
        <v/>
      </c>
      <c r="GO112" s="43" t="str">
        <f aca="false">IF(Tasks[[#This Row],[_LeafCritical]],Tasks[[#This Row],[_ShownFcstStart]]+Tasks[[#This Row],[_Row]]/100000,"")</f>
        <v/>
      </c>
      <c r="GP112" s="43" t="n">
        <f aca="false">Tasks[[#This Row],[_LeafWork]]*Tasks[[#This Row],[_LeafProgress]]</f>
        <v>0</v>
      </c>
      <c r="GQ112" s="91" t="str">
        <f aca="false">IF(AND(Tasks[[#This Row],[_IsLeaf]]=1,Tasks[[#This Row],[_LeafProgress]]&gt;=1),IF(N(Tasks[[#This Row],[Actual Finish]])&gt;0,Tasks[[#This Row],[Actual Finish]],Tasks[[#This Row],[_ShownFcstFinish]]),"")</f>
        <v/>
      </c>
      <c r="GR112" s="43" t="n">
        <f aca="false">IF(Tasks[[#This Row],[_IsLeaf]]=1,N(Tasks[[#This Row],[Story Points]]),0)</f>
        <v>0</v>
      </c>
      <c r="GS112" s="43" t="str">
        <f aca="false">""</f>
        <v/>
      </c>
      <c r="GT112" s="90" t="b">
        <f aca="false">IF(Tasks[[#This Row],[Task Name]]="",FALSE(),AND(Tasks[[#This Row],[_IsLeaf]]=1,N(Tasks[[#This Row],[_Days]])=0))</f>
        <v>0</v>
      </c>
      <c r="GU112" s="91" t="n">
        <f aca="false">IF(Tasks[[#This Row],[Task Name]]="",0,IF(AND(Tasks[[#This Row],[_IsLeaf]]=1,NOT(Tasks[[#This Row],[_IsMilestone]]),N(Tasks[[#This Row],[Progress]])&gt;0),Tasks[[#This Row],[Start]],0))</f>
        <v>0</v>
      </c>
      <c r="GV112" s="91" t="n">
        <f aca="false">IF(Tasks[[#This Row],[_DoneFrom]]=0,0,IF(Tasks[[#This Row],[Progress]]&gt;=1,Tasks[[#This Row],[Finish]],MAX(Tasks[[#This Row],[_DoneFrom]],Tasks[[#This Row],[Start]]+ROUND((Tasks[[#This Row],[Finish]]-Tasks[[#This Row],[Start]]+1)*Tasks[[#This Row],[Progress]],0)-1)))</f>
        <v>0</v>
      </c>
      <c r="GW112" s="91" t="n">
        <f aca="false">IF(Tasks[[#This Row],[Task Name]]="",0,IF(OR(NOT(Tasks[[#This Row],[_IsLeaf]]=1),Tasks[[#This Row],[_IsMilestone]],N(Tasks[[#This Row],[Progress]])&gt;=1),0,IF(Tasks[[#This Row],[_DoneTo]]&gt;0,Tasks[[#This Row],[_DoneTo]]+1,Tasks[[#This Row],[Start]])))</f>
        <v>0</v>
      </c>
      <c r="GX112" s="91" t="n">
        <f aca="false">IF(Tasks[[#This Row],[_RemFrom]]=0,0,Tasks[[#This Row],[Finish]])</f>
        <v>0</v>
      </c>
      <c r="GY112" s="90" t="b">
        <f aca="false">IF(Tasks[[#This Row],[Task Name]]="",FALSE(),OR(NOT(BaselineSet),N(Tasks[[#This Row],[Baseline Start]])&gt;0))</f>
        <v>0</v>
      </c>
      <c r="GZ11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92" t="str">
        <f aca="false">IF(Tasks[[#This Row],[_IsLeaf]]=1,Tasks[[#This Row],[_Row]],"")</f>
        <v/>
      </c>
      <c r="HD112" s="92" t="str">
        <f aca="false">IFERROR(INDEX(Tasks[UID],SMALL(Tasks[_PickKey],Tasks[[#This Row],[_Row]]))&amp;" "&amp;INDEX(Tasks[Task Name],SMALL(Tasks[_PickKey],Tasks[[#This Row],[_Row]])),"")</f>
        <v/>
      </c>
      <c r="HE112" s="43" t="str">
        <f aca="false">IF(Tasks[[#This Row],[Task Name]]="","",IF(Tasks[[#This Row],[_IsSummary]],NETWORKDAYS.INTL(Tasks[[#This Row],[Start]],Tasks[[#This Row],[Finish]],WorkWeek,Holidays),N(Tasks[[#This Row],[_Days]])))</f>
        <v/>
      </c>
      <c r="HF112" s="43" t="n">
        <f aca="false">IF(Tasks[[#This Row],[Expected]]="",0,((Tasks[[#This Row],[Pessimistic]]-Tasks[[#This Row],[Optimistic]])/6)^2)</f>
        <v>0</v>
      </c>
      <c r="HG112" s="43" t="n">
        <f aca="false">IF(Tasks[[#This Row],[Expected]]="",0,Tasks[[#This Row],[Expected]]-N(Tasks[[#This Row],[_Days]]))</f>
        <v>0</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4"/>
      <c r="U113" s="23"/>
      <c r="V113" s="84"/>
      <c r="W113" s="23"/>
      <c r="X113" s="84"/>
      <c r="Y113" s="23"/>
      <c r="Z113" s="84"/>
      <c r="AA113" s="23"/>
      <c r="AB113" s="23"/>
      <c r="AC113" s="7"/>
      <c r="AD113" s="7"/>
      <c r="AE113" s="63" t="str">
        <f aca="false">IF(Tasks[[#This Row],[Task Name]]="","",IF(Tasks[[#This Row],[_IsSummary]],MIN(INDEX(Tasks[_ShownFcstStart],Tasks[[#This Row],[_Row]]+1):INDEX(Tasks[_ShownFcstStart],Tasks[[#This Row],[_Row]]+Tasks[[#This Row],[_Descendants]])),Tasks[[#This Row],[_ShownFcstStart]]))</f>
        <v/>
      </c>
      <c r="AF113" s="63"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3" s="7"/>
      <c r="AK113" s="22"/>
      <c r="AL113" s="23"/>
      <c r="AM113" s="7"/>
      <c r="AN113" s="47"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3" t="str">
        <f aca="false">IF(Tasks[[#This Row],[Task Name]]="","",IF(N(Tasks[[#This Row],[Baseline Start]])&gt;0,Tasks[[#This Row],[Baseline Start]],Tasks[[#This Row],[_CalcStart]]))</f>
        <v/>
      </c>
      <c r="AR113" s="63" t="str">
        <f aca="false">IF(Tasks[[#This Row],[Task Name]]="","",IF(N(Tasks[[#This Row],[Baseline Finish]])&gt;0,Tasks[[#This Row],[Baseline Finish]],Tasks[[#This Row],[_CalcFinish]]))</f>
        <v/>
      </c>
      <c r="AS113" s="47" t="str">
        <f aca="false">IF(Tasks[[#This Row],[Task Name]]="","",IF(Tasks[[#This Row],[Start]]&gt;=Tasks[[#This Row],[Planned Start]],NETWORKDAYS.INTL(Tasks[[#This Row],[Planned Start]],Tasks[[#This Row],[Start]],WorkWeek,Holidays)-1,1-NETWORKDAYS.INTL(Tasks[[#This Row],[Start]],Tasks[[#This Row],[Planned Start]],WorkWeek,Holidays)))</f>
        <v/>
      </c>
      <c r="AT113" s="63" t="str">
        <f aca="false">IF(Tasks[[#This Row],[Task Name]]="","",IF(Tasks[[#This Row],[_IsSummary]],MIN(INDEX(Tasks[_LeafLateStart],Tasks[[#This Row],[_Row]]+1):INDEX(Tasks[_LeafLateStart],Tasks[[#This Row],[_Row]]+Tasks[[#This Row],[_Descendants]])),Tasks[[#This Row],[_LeafLateStart]]))</f>
        <v/>
      </c>
      <c r="AU113" s="63" t="str">
        <f aca="false">IF(Tasks[[#This Row],[Task Name]]="","",IF(Tasks[[#This Row],[_IsSummary]],MAX(INDEX(Tasks[_LeafLateFinish],Tasks[[#This Row],[_Row]]+1):INDEX(Tasks[_LeafLateFinish],Tasks[[#This Row],[_Row]]+Tasks[[#This Row],[_Descendants]])),Tasks[[#This Row],[_LeafLateFinish]]))</f>
        <v/>
      </c>
      <c r="AV113" s="47"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5"/>
      <c r="BA11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6"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7"/>
      <c r="BJ113" s="22"/>
      <c r="BK113" s="47" t="str">
        <f aca="false">IF(OR(Tasks[[#This Row],[Task Name]]="",Tasks[[#This Row],[Baseline Duration]]=""),"",Tasks[[#This Row],[_SpanDays]]-N(Tasks[[#This Row],[Baseline Duration]]))</f>
        <v/>
      </c>
      <c r="BL113" s="86" t="str">
        <f aca="false">IF(OR(Tasks[[#This Row],[Task Name]]="",Tasks[[#This Row],[Baseline Work]]=""),"",Tasks[[#This Row],[Work]]-N(Tasks[[#This Row],[Baseline Work]]))</f>
        <v/>
      </c>
      <c r="BM113" s="63" t="str">
        <f aca="false">IF(Tasks[[#This Row],[Task Name]]="","",IF(OR(TakeBaseline="Yes",N(Tasks[[#This Row],[Baseline Start]])=0),Tasks[[#This Row],[Start]],Tasks[[#This Row],[Baseline Start]]))</f>
        <v/>
      </c>
      <c r="BN113" s="63" t="str">
        <f aca="false">IF(Tasks[[#This Row],[Task Name]]="","",IF(OR(TakeBaseline="Yes",N(Tasks[[#This Row],[Baseline Finish]])=0),Tasks[[#This Row],[Finish]],Tasks[[#This Row],[Baseline Finish]]))</f>
        <v/>
      </c>
      <c r="BO113" s="21" t="str">
        <f aca="false">IF(Tasks[[#This Row],[Task Name]]="","",IF(OR(TakeBaseline="Yes",N(Tasks[[#This Row],[Baseline Duration]])=0),Tasks[[#This Row],[_SpanDays]],Tasks[[#This Row],[Baseline Duration]]))</f>
        <v/>
      </c>
      <c r="BP113" s="86" t="str">
        <f aca="false">IF(Tasks[[#This Row],[Task Name]]="","",IF(OR(TakeBaseline="Yes",N(Tasks[[#This Row],[Baseline Work]])=0),Tasks[[#This Row],[Work]],Tasks[[#This Row],[Baseline Work]]))</f>
        <v/>
      </c>
      <c r="BQ113" s="7"/>
      <c r="BR113" s="7"/>
      <c r="BS113" s="22"/>
      <c r="BT113" s="88"/>
      <c r="BU113" s="23"/>
      <c r="BV113" s="23"/>
      <c r="BW113" s="23"/>
      <c r="BX113" s="89" t="str">
        <f aca="false">IF(AND(Tasks[[#This Row],[_IsLeaf]]=1,ISNUMBER(Tasks[[#This Row],[Optimistic]]),ISNUMBER(Tasks[[#This Row],[Pessimistic]])),ROUND((Tasks[[#This Row],[Optimistic]]+4*N(Tasks[[#This Row],[_Days]])+Tasks[[#This Row],[Pessimistic]])/6,1),"")</f>
        <v/>
      </c>
      <c r="BY113" s="87"/>
      <c r="BZ113" s="87"/>
      <c r="CA113" s="22"/>
      <c r="CB113" s="43" t="str">
        <f aca="false">IF(Tasks[[#This Row],[Task Name]]="","",MAX(1,N(Tasks[[#This Row],[Level]])))</f>
        <v/>
      </c>
      <c r="CC113" s="43" t="n">
        <f aca="false">ROW()-ROW(Tasks[[#Headers],[ID]])</f>
        <v>108</v>
      </c>
      <c r="CD113" s="43" t="n">
        <f aca="false">IF(OR(Tasks[[#This Row],[Task Name]]="",Tasks[[#This Row],[_Level]]&lt;=1),0,IFERROR(LOOKUP(2,1/(Tasks[[#Headers],[_Level]]:Tasks[[#This Row],[_Level]]=Tasks[[#This Row],[_Level]]-1),ROW(Tasks[[#Headers],[_Level]]:Tasks[[#This Row],[_Level]])),0))</f>
        <v>0</v>
      </c>
      <c r="CE113" s="43" t="n">
        <f aca="false">IFERROR(N(INDEX(Tasks[_Level],Tasks[[#This Row],[_Row]]+1)),0)</f>
        <v>0</v>
      </c>
      <c r="CF113" s="90" t="b">
        <f aca="false">AND(Tasks[[#This Row],[Task Name]]&lt;&gt;"",Tasks[[#This Row],[_NextLevel]]&gt;Tasks[[#This Row],[_Level]])</f>
        <v>0</v>
      </c>
      <c r="CG113" s="43" t="n">
        <f aca="false">IF(Tasks[[#This Row],[_IsSummary]],COUNTIF(Tasks[WBS],Tasks[[#This Row],[WBS]]&amp;".*"),0)</f>
        <v>0</v>
      </c>
      <c r="CH113" s="43" t="n">
        <f aca="false">IF(AND(Tasks[[#This Row],[Task Name]]&lt;&gt;"",NOT(Tasks[[#This Row],[_IsSummary]])),1,0)</f>
        <v>0</v>
      </c>
      <c r="CI113" s="43" t="n">
        <f aca="false">IF(N(Tasks[[#This Row],[_Pred1UID]])=0,0,IFERROR(MATCH(Tasks[[#This Row],[_Pred1UID]],Tasks[UID],0),-1))</f>
        <v>0</v>
      </c>
      <c r="CJ113" s="43" t="n">
        <f aca="false">IF(N(Tasks[[#This Row],[_Pred2UID]])=0,0,IFERROR(MATCH(Tasks[[#This Row],[_Pred2UID]],Tasks[UID],0),-1))</f>
        <v>0</v>
      </c>
      <c r="CK113" s="43" t="n">
        <f aca="false">IF(N(Tasks[[#This Row],[_Pred3UID]])=0,0,IFERROR(MATCH(Tasks[[#This Row],[_Pred3UID]],Tasks[UID],0),-1))</f>
        <v>0</v>
      </c>
      <c r="CL113" s="43" t="n">
        <f aca="false">IF(N(Tasks[[#This Row],[_Pred4UID]])=0,0,IFERROR(MATCH(Tasks[[#This Row],[_Pred4UID]],Tasks[UID],0),-1))</f>
        <v>0</v>
      </c>
      <c r="CM11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3" s="91" t="n">
        <f aca="false">IF(OR(Tasks[[#This Row],[_ConstraintCode]]=2,Tasks[[#This Row],[_ConstraintCode]]=3,Tasks[[#This Row],[_ConstraintCode]]=4,Tasks[[#This Row],[_ConstraintCode]]=6),Tasks[[#This Row],[_ConstraintStart]],0)</f>
        <v>0</v>
      </c>
      <c r="CP113" s="91" t="n">
        <f aca="false">IF(OR(Tasks[[#This Row],[_ConstraintCode]]=2,Tasks[[#This Row],[_ConstraintCode]]=3,Tasks[[#This Row],[_ConstraintCode]]=5,Tasks[[#This Row],[_ConstraintCode]]=7),Tasks[[#This Row],[_ConstraintStart]],2958465)</f>
        <v>2958465</v>
      </c>
      <c r="CQ11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91" t="str">
        <f aca="false">IF(NOT(Tasks[[#This Row],[_IsLeaf]]=1),"",IF(N(Tasks[[#This Row],[_Days]])&lt;=0,Tasks[[#This Row],[_LeafCalcStart]],WORKDAY.INTL(Tasks[[#This Row],[_LeafCalcStart]],Tasks[[#This Row],[_Days]]-1,WorkWeek,Holidays)))</f>
        <v/>
      </c>
      <c r="CS11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3" t="str">
        <f aca="false">IF(Tasks[[#This Row],[_Predecessors]]="","",TRIM(MID(SUBSTITUTE(SUBSTITUTE(SUBSTITUTE(UPPER(Tasks[[#This Row],[_Predecessors]]),";",",")," ",""),",",REPT(" ",99)),1,99)))</f>
        <v/>
      </c>
      <c r="CV113" s="43" t="str">
        <f aca="false">IF(Tasks[[#This Row],[_Pred1Text]]="","",IFERROR(VALUE(LEFT(Tasks[[#This Row],[_Pred1Text]],MIN(FIND("F",Tasks[[#This Row],[_Pred1Text]]&amp;"F"),FIND("S",Tasks[[#This Row],[_Pred1Text]]&amp;"S"),FIND("+",Tasks[[#This Row],[_Pred1Text]]&amp;"+"),FIND("-",Tasks[[#This Row],[_Pred1Text]]&amp;"-"))-1)),""))</f>
        <v/>
      </c>
      <c r="CW1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3" t="str">
        <f aca="false">IF(Tasks[[#This Row],[_Pred1Text]]="","",TRIM(MID(SUBSTITUTE(SUBSTITUTE(SUBSTITUTE(UPPER(Tasks[[#This Row],[_Predecessors]]),";",",")," ",""),",",REPT(" ",99)),100,99)))</f>
        <v/>
      </c>
      <c r="CZ113" s="43" t="str">
        <f aca="false">IF(Tasks[[#This Row],[_Pred2Text]]="","",IFERROR(VALUE(LEFT(Tasks[[#This Row],[_Pred2Text]],MIN(FIND("F",Tasks[[#This Row],[_Pred2Text]]&amp;"F"),FIND("S",Tasks[[#This Row],[_Pred2Text]]&amp;"S"),FIND("+",Tasks[[#This Row],[_Pred2Text]]&amp;"+"),FIND("-",Tasks[[#This Row],[_Pred2Text]]&amp;"-"))-1)),""))</f>
        <v/>
      </c>
      <c r="DA1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3" t="str">
        <f aca="false">IF(Tasks[[#This Row],[_Pred2Text]]="","",TRIM(MID(SUBSTITUTE(SUBSTITUTE(SUBSTITUTE(UPPER(Tasks[[#This Row],[_Predecessors]]),";",",")," ",""),",",REPT(" ",99)),199,99)))</f>
        <v/>
      </c>
      <c r="DD113" s="43" t="str">
        <f aca="false">IF(Tasks[[#This Row],[_Pred3Text]]="","",IFERROR(VALUE(LEFT(Tasks[[#This Row],[_Pred3Text]],MIN(FIND("F",Tasks[[#This Row],[_Pred3Text]]&amp;"F"),FIND("S",Tasks[[#This Row],[_Pred3Text]]&amp;"S"),FIND("+",Tasks[[#This Row],[_Pred3Text]]&amp;"+"),FIND("-",Tasks[[#This Row],[_Pred3Text]]&amp;"-"))-1)),""))</f>
        <v/>
      </c>
      <c r="DE1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3" t="str">
        <f aca="false">IF(Tasks[[#This Row],[_Pred3Text]]="","",TRIM(MID(SUBSTITUTE(SUBSTITUTE(SUBSTITUTE(UPPER(Tasks[[#This Row],[_Predecessors]]),";",",")," ",""),",",REPT(" ",99)),298,99)))</f>
        <v/>
      </c>
      <c r="DH113" s="43" t="str">
        <f aca="false">IF(Tasks[[#This Row],[_Pred4Text]]="","",IFERROR(VALUE(LEFT(Tasks[[#This Row],[_Pred4Text]],MIN(FIND("F",Tasks[[#This Row],[_Pred4Text]]&amp;"F"),FIND("S",Tasks[[#This Row],[_Pred4Text]]&amp;"S"),FIND("+",Tasks[[#This Row],[_Pred4Text]]&amp;"+"),FIND("-",Tasks[[#This Row],[_Pred4Text]]&amp;"-"))-1)),""))</f>
        <v/>
      </c>
      <c r="DI1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3" t="str">
        <f aca="false">IF(OR(Tasks[[#This Row],[Task Name]]="",Tasks[[#This Row],[_Resources]]=""),"",TRIM(MID(SUBSTITUTE(Tasks[[#This Row],[_Resources]],",",REPT(" ",99)),1,99)))</f>
        <v/>
      </c>
      <c r="DL113" s="43" t="str">
        <f aca="false">IF(Tasks[[#This Row],[_Res1Text]]="","",TRIM(MID(SUBSTITUTE(Tasks[[#This Row],[_Resources]],",",REPT(" ",99)),100,99)))</f>
        <v/>
      </c>
      <c r="DM113" s="43" t="str">
        <f aca="false">IF(Tasks[[#This Row],[_Res2Text]]="","",TRIM(MID(SUBSTITUTE(Tasks[[#This Row],[_Resources]],",",REPT(" ",99)),199,99)))</f>
        <v/>
      </c>
      <c r="DN113" s="43" t="str">
        <f aca="false">IF(Tasks[[#This Row],[_Res3Text]]="","",TRIM(MID(SUBSTITUTE(Tasks[[#This Row],[_Resources]],",",REPT(" ",99)),298,99)))</f>
        <v/>
      </c>
      <c r="DO113" s="43" t="n">
        <f aca="false">IF(Tasks[[#This Row],[_Res1Text]]="",0,IFERROR(MATCH(TRIM(LEFT(Tasks[[#This Row],[_Res1Text]],FIND("[",Tasks[[#This Row],[_Res1Text]]&amp;"[")-1)),res_Name,0),IFERROR(MATCH(TRIM(LEFT(Tasks[[#This Row],[_Res1Text]],FIND("[",Tasks[[#This Row],[_Res1Text]]&amp;"[")-1)),res_Initials,0),0)))</f>
        <v>0</v>
      </c>
      <c r="DP113" s="43" t="n">
        <f aca="false">IF(Tasks[[#This Row],[_Res2Text]]="",0,IFERROR(MATCH(TRIM(LEFT(Tasks[[#This Row],[_Res2Text]],FIND("[",Tasks[[#This Row],[_Res2Text]]&amp;"[")-1)),res_Name,0),IFERROR(MATCH(TRIM(LEFT(Tasks[[#This Row],[_Res2Text]],FIND("[",Tasks[[#This Row],[_Res2Text]]&amp;"[")-1)),res_Initials,0),0)))</f>
        <v>0</v>
      </c>
      <c r="DQ113" s="43" t="n">
        <f aca="false">IF(Tasks[[#This Row],[_Res3Text]]="",0,IFERROR(MATCH(TRIM(LEFT(Tasks[[#This Row],[_Res3Text]],FIND("[",Tasks[[#This Row],[_Res3Text]]&amp;"[")-1)),res_Name,0),IFERROR(MATCH(TRIM(LEFT(Tasks[[#This Row],[_Res3Text]],FIND("[",Tasks[[#This Row],[_Res3Text]]&amp;"[")-1)),res_Initials,0),0)))</f>
        <v>0</v>
      </c>
      <c r="DR113" s="43" t="n">
        <f aca="false">IF(Tasks[[#This Row],[_Res4Text]]="",0,IFERROR(MATCH(TRIM(LEFT(Tasks[[#This Row],[_Res4Text]],FIND("[",Tasks[[#This Row],[_Res4Text]]&amp;"[")-1)),res_Name,0),IFERROR(MATCH(TRIM(LEFT(Tasks[[#This Row],[_Res4Text]],FIND("[",Tasks[[#This Row],[_Res4Text]]&amp;"[")-1)),res_Initials,0),0)))</f>
        <v>0</v>
      </c>
      <c r="DS113" s="43" t="str">
        <f aca="false">IF(Tasks[[#This Row],[_Res1Text]]="","",IF(Tasks[[#This Row],[_Res1Row]]&gt;0,INDEX(res_Name,Tasks[[#This Row],[_Res1Row]]),TRIM(LEFT(Tasks[[#This Row],[_Res1Text]],FIND("[",Tasks[[#This Row],[_Res1Text]]&amp;"[")-1))))</f>
        <v/>
      </c>
      <c r="DT1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3" t="n">
        <f aca="false">IF(NOT(Tasks[[#This Row],[_IsLeaf]]=1),0,(Tasks[[#This Row],[_Resource1]]&lt;&gt;"")+(Tasks[[#This Row],[_Res2]]&lt;&gt;"")+(Tasks[[#This Row],[_Res3]]&lt;&gt;"")+(Tasks[[#This Row],[_Res4]]&lt;&gt;""))</f>
        <v>0</v>
      </c>
      <c r="DV113" s="43" t="str">
        <f aca="false">IF(Tasks[[#This Row],[_Res2Text]]="","",IF(Tasks[[#This Row],[_Res2Row]]&gt;0,INDEX(res_Name,Tasks[[#This Row],[_Res2Row]]),TRIM(LEFT(Tasks[[#This Row],[_Res2Text]],FIND("[",Tasks[[#This Row],[_Res2Text]]&amp;"[")-1))))</f>
        <v/>
      </c>
      <c r="DW1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3" t="n">
        <f aca="false">IF(OR(NOT(Tasks[[#This Row],[_IsLeaf]]=1),Tasks[[#This Row],[_Res2Row]]=0),0,N(Tasks[[#This Row],[_Days]])*HoursPerDay*IF(Tasks[[#This Row],[_Res2Units]]="",DefaultUnits,Tasks[[#This Row],[_Res2Units]]))</f>
        <v>0</v>
      </c>
      <c r="DY113" s="43" t="n">
        <f aca="false">IF(AND(AND(Tasks[[#This Row],[_IsLeaf]]=1,Tasks[[#This Row],[_LeafTotalWork]]&gt;0),Tasks[[#This Row],[_Res2Work]]&gt;0),Tasks[[#This Row],[_Res2Work]]/(Tasks[[#This Row],[_FinishWorkday]]-Tasks[[#This Row],[_StartWorkday]]+1),0)</f>
        <v>0</v>
      </c>
      <c r="DZ113" s="43" t="n">
        <f aca="false">Tasks[[#This Row],[_Res2WorkPerWD]]*MAX(0,Tasks[[#This Row],[_StartWorkday]]-1)</f>
        <v>0</v>
      </c>
      <c r="EA113" s="43" t="n">
        <f aca="false">Tasks[[#This Row],[_Res2Work]]*Tasks[[#This Row],[_LeafProgress]]</f>
        <v>0</v>
      </c>
      <c r="EB113" s="43" t="str">
        <f aca="false">IF(Tasks[[#This Row],[_Res3Text]]="","",IF(Tasks[[#This Row],[_Res3Row]]&gt;0,INDEX(res_Name,Tasks[[#This Row],[_Res3Row]]),TRIM(LEFT(Tasks[[#This Row],[_Res3Text]],FIND("[",Tasks[[#This Row],[_Res3Text]]&amp;"[")-1))))</f>
        <v/>
      </c>
      <c r="EC1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3" t="n">
        <f aca="false">IF(OR(NOT(Tasks[[#This Row],[_IsLeaf]]=1),Tasks[[#This Row],[_Res3Row]]=0),0,N(Tasks[[#This Row],[_Days]])*HoursPerDay*IF(Tasks[[#This Row],[_Res3Units]]="",DefaultUnits,Tasks[[#This Row],[_Res3Units]]))</f>
        <v>0</v>
      </c>
      <c r="EE113" s="43" t="n">
        <f aca="false">IF(AND(AND(Tasks[[#This Row],[_IsLeaf]]=1,Tasks[[#This Row],[_LeafTotalWork]]&gt;0),Tasks[[#This Row],[_Res3Work]]&gt;0),Tasks[[#This Row],[_Res3Work]]/(Tasks[[#This Row],[_FinishWorkday]]-Tasks[[#This Row],[_StartWorkday]]+1),0)</f>
        <v>0</v>
      </c>
      <c r="EF113" s="43" t="n">
        <f aca="false">Tasks[[#This Row],[_Res3WorkPerWD]]*MAX(0,Tasks[[#This Row],[_StartWorkday]]-1)</f>
        <v>0</v>
      </c>
      <c r="EG113" s="43" t="n">
        <f aca="false">Tasks[[#This Row],[_Res3Work]]*Tasks[[#This Row],[_LeafProgress]]</f>
        <v>0</v>
      </c>
      <c r="EH113" s="43" t="str">
        <f aca="false">IF(Tasks[[#This Row],[_Res4Text]]="","",IF(Tasks[[#This Row],[_Res4Row]]&gt;0,INDEX(res_Name,Tasks[[#This Row],[_Res4Row]]),TRIM(LEFT(Tasks[[#This Row],[_Res4Text]],FIND("[",Tasks[[#This Row],[_Res4Text]]&amp;"[")-1))))</f>
        <v/>
      </c>
      <c r="EI1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3" t="n">
        <f aca="false">IF(OR(NOT(Tasks[[#This Row],[_IsLeaf]]=1),Tasks[[#This Row],[_Res4Row]]=0),0,N(Tasks[[#This Row],[_Days]])*HoursPerDay*IF(Tasks[[#This Row],[_Res4Units]]="",DefaultUnits,Tasks[[#This Row],[_Res4Units]]))</f>
        <v>0</v>
      </c>
      <c r="EK113" s="43" t="n">
        <f aca="false">IF(AND(AND(Tasks[[#This Row],[_IsLeaf]]=1,Tasks[[#This Row],[_LeafTotalWork]]&gt;0),Tasks[[#This Row],[_Res4Work]]&gt;0),Tasks[[#This Row],[_Res4Work]]/(Tasks[[#This Row],[_FinishWorkday]]-Tasks[[#This Row],[_StartWorkday]]+1),0)</f>
        <v>0</v>
      </c>
      <c r="EL113" s="43" t="n">
        <f aca="false">Tasks[[#This Row],[_Res4WorkPerWD]]*MAX(0,Tasks[[#This Row],[_StartWorkday]]-1)</f>
        <v>0</v>
      </c>
      <c r="EM113" s="43" t="n">
        <f aca="false">Tasks[[#This Row],[_Res4Work]]*Tasks[[#This Row],[_LeafProgress]]</f>
        <v>0</v>
      </c>
      <c r="EN113" s="43" t="n">
        <f aca="false">IF(ISNUMBER(Tasks[[#This Row],[% Complete]]),Tasks[[#This Row],[% Complete]],IF(Tasks[[#This Row],[Stage]]="",0,IFERROR(INDEX(stg_Pct,MATCH(Tasks[[#This Row],[Stage]],stg_Name,0)),0)))</f>
        <v>0</v>
      </c>
      <c r="EO113" s="43" t="n">
        <f aca="false">IF(NOT(Tasks[[#This Row],[_IsLeaf]]=1),0,IF(N(Tasks[[#This Row],[Actual Finish]])&gt;0,1,MIN(1,Tasks[[#This Row],[_Pct]])))</f>
        <v>0</v>
      </c>
      <c r="EP113" s="43" t="n">
        <f aca="false">IF(OR(NOT(Tasks[[#This Row],[_IsLeaf]]=1),Tasks[[#This Row],[_Res1Row]]=0),0,N(Tasks[[#This Row],[_Days]])*HoursPerDay*IF(Tasks[[#This Row],[_Units1]]="",DefaultUnits,Tasks[[#This Row],[_Units1]]))</f>
        <v>0</v>
      </c>
      <c r="EQ113" s="43" t="n">
        <f aca="false">Tasks[[#This Row],[_LeafWork]]+Tasks[[#This Row],[_Res2Work]]+Tasks[[#This Row],[_Res3Work]]+Tasks[[#This Row],[_Res4Work]]</f>
        <v>0</v>
      </c>
      <c r="ER11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3" t="n">
        <f aca="false">IF(NOT(Tasks[[#This Row],[_IsLeaf]]=1),0,MAX(_xlfn.MAXIFS(Tasks[_Row],Tasks[_Pred1UID],Tasks[[#This Row],[UID]]),_xlfn.MAXIFS(Tasks[_Row],Tasks[_Pred2UID],Tasks[[#This Row],[UID]]),_xlfn.MAXIFS(Tasks[_Row],Tasks[_Pred3UID],Tasks[[#This Row],[UID]]),_xlfn.MAXIFS(Tasks[_Row],Tasks[_Pred4UID],Tasks[[#This Row],[UID]])))</f>
        <v>0</v>
      </c>
      <c r="FA11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91" t="str">
        <f aca="false">IF(NOT(Tasks[[#This Row],[_IsLeaf]]=1),"",IF(N(Tasks[[#This Row],[_Days]])&lt;=0,Tasks[[#This Row],[_LeafLateFinish]],WORKDAY.INTL(Tasks[[#This Row],[_LeafLateFinish]],-(Tasks[[#This Row],[_Days]]-1),WorkWeek,Holidays)))</f>
        <v/>
      </c>
      <c r="FD11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3" s="90" t="b">
        <f aca="false">AND(Tasks[[#This Row],[_IsLeaf]]=1,Tasks[[#This Row],[_LeafProgress]]&lt;1,N(Tasks[[#This Row],[_LeafTotalSlack]])&lt;=CriticalSlackDays)</f>
        <v>0</v>
      </c>
      <c r="FF113" s="43" t="n">
        <f aca="false">IF(AND(Tasks[[#This Row],[_IsLeaf]]=1,Tasks[[#This Row],[_ConstraintCode]]=1,Tasks[[#This Row],[Mode]]&lt;&gt;"Manual",N(Tasks[[#This Row],[Actual Start]])=0),MAX(0,N(Tasks[[#This Row],[Free Slack]])),0)</f>
        <v>0</v>
      </c>
      <c r="FG113" s="91" t="str">
        <f aca="false">IF(NOT(Tasks[[#This Row],[_IsLeaf]]=1),"",IF(Tasks[[#This Row],[_AlapShift]]=0,Tasks[[#This Row],[_LeafCalcStart]],WORKDAY.INTL(Tasks[[#This Row],[_LeafCalcStart]],Tasks[[#This Row],[_AlapShift]],WorkWeek,Holidays)))</f>
        <v/>
      </c>
      <c r="FH113" s="91" t="str">
        <f aca="false">IF(NOT(Tasks[[#This Row],[_IsLeaf]]=1),"",IF(Tasks[[#This Row],[_AlapShift]]=0,Tasks[[#This Row],[_LeafCalcFinish]],WORKDAY.INTL(Tasks[[#This Row],[_LeafCalcFinish]],Tasks[[#This Row],[_AlapShift]],WorkWeek,Holidays)))</f>
        <v/>
      </c>
      <c r="FI113" s="91" t="str">
        <f aca="false">IF(NOT(Tasks[[#This Row],[_IsLeaf]]=1),"",IF(Tasks[[#This Row],[_AlapShift]]=0,Tasks[[#This Row],[_LeafFcstStart]],WORKDAY.INTL(Tasks[[#This Row],[_LeafFcstStart]],Tasks[[#This Row],[_AlapShift]],WorkWeek,Holidays)))</f>
        <v/>
      </c>
      <c r="FJ113" s="91" t="str">
        <f aca="false">IF(NOT(Tasks[[#This Row],[_IsLeaf]]=1),"",IF(Tasks[[#This Row],[_AlapShift]]=0,Tasks[[#This Row],[_LeafFcstFinish]],WORKDAY.INTL(Tasks[[#This Row],[_LeafFcstFinish]],Tasks[[#This Row],[_AlapShift]],WorkWeek,Holidays)))</f>
        <v/>
      </c>
      <c r="FK113" s="91" t="str">
        <f aca="false">IF(Tasks[[#This Row],[Task Name]]="","",IF(Tasks[[#This Row],[_IsSummary]],MIN(INDEX(Tasks[_ShownCalcStart],Tasks[[#This Row],[_Row]]+1):INDEX(Tasks[_ShownCalcStart],Tasks[[#This Row],[_Row]]+Tasks[[#This Row],[_Descendants]])),Tasks[[#This Row],[_ShownCalcStart]]))</f>
        <v/>
      </c>
      <c r="FL113" s="91" t="str">
        <f aca="false">IF(Tasks[[#This Row],[Task Name]]="","",IF(Tasks[[#This Row],[_IsSummary]],MAX(INDEX(Tasks[_ShownCalcFinish],Tasks[[#This Row],[_Row]]+1):INDEX(Tasks[_ShownCalcFinish],Tasks[[#This Row],[_Row]]+Tasks[[#This Row],[_Descendants]])),Tasks[[#This Row],[_ShownCalcFinish]]))</f>
        <v/>
      </c>
      <c r="FM1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3" s="43" t="n">
        <f aca="false">IF(AND(Tasks[[#This Row],[_IsLeaf]]=1,Tasks[[#This Row],[_LeafTotalWork]]&gt;0),NETWORKDAYS.INTL(ProjectStart,Tasks[[#This Row],[_ShownFcstStart]],WorkWeek,Holidays),0)</f>
        <v>0</v>
      </c>
      <c r="FZ113" s="43" t="n">
        <f aca="false">IF(AND(Tasks[[#This Row],[_IsLeaf]]=1,Tasks[[#This Row],[_LeafTotalWork]]&gt;0),MAX(Tasks[[#This Row],[_StartWorkday]],NETWORKDAYS.INTL(ProjectStart,Tasks[[#This Row],[_ShownFcstFinish]],WorkWeek,Holidays)),0)</f>
        <v>0</v>
      </c>
      <c r="GA113" s="43" t="n">
        <f aca="false">IF(AND(Tasks[[#This Row],[_IsLeaf]]=1,Tasks[[#This Row],[_LeafTotalWork]]&gt;0),Tasks[[#This Row],[_LeafWork]]/(Tasks[[#This Row],[_FinishWorkday]]-Tasks[[#This Row],[_StartWorkday]]+1),0)</f>
        <v>0</v>
      </c>
      <c r="GB113" s="43" t="n">
        <f aca="false">Tasks[[#This Row],[_WorkPerWorkday]]*(Tasks[[#This Row],[_StartWorkday]]-1)</f>
        <v>-0</v>
      </c>
      <c r="GC113" s="43" t="n">
        <f aca="false">IF(Tasks[[#This Row],[_IsLeaf]]=1,MAX(N(Tasks[[#This Row],[_Days]]),0.1),0)</f>
        <v>0</v>
      </c>
      <c r="GD113" s="43" t="n">
        <f aca="false">Tasks[[#This Row],[_WeightDur]]*Tasks[[#This Row],[_LeafProgress]]</f>
        <v>0</v>
      </c>
      <c r="GE113" s="43" t="n">
        <f aca="false">Tasks[[#This Row],[_WeightDur]]*Tasks[[#This Row],[_PlannedPct]]</f>
        <v>0</v>
      </c>
      <c r="GF1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3" t="str">
        <f aca="false">IF(AND(Tasks[[#This Row],[_IsLeaf]]=1,N(Tasks[[#This Row],[_Days]])=0,Tasks[[#This Row],[_LeafProgress]]&lt;1),Tasks[[#This Row],[_ShownFcstFinish]]+Tasks[[#This Row],[_Row]]/100000,"")</f>
        <v/>
      </c>
      <c r="GH1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3" s="43" t="str">
        <f aca="false">IF(Tasks[[#This Row],[Task Name]]="","",LEFT(Tasks[[#This Row],[WBS]],FIND(".",Tasks[[#This Row],[WBS]]&amp;".")-1))</f>
        <v/>
      </c>
      <c r="GJ113" s="43" t="str">
        <f aca="false">IF(AND(Tasks[[#This Row],[Task Name]]&lt;&gt;"",Tasks[[#This Row],[_Level]]=1),Tasks[[#This Row],[_Row]],"")</f>
        <v/>
      </c>
      <c r="GK113" s="43" t="str">
        <f aca="false">IF(AND(Tasks[[#This Row],[_IsLeaf]]=1,N(Tasks[[#This Row],[_Days]])=0),Tasks[[#This Row],[Planned Finish]]+Tasks[[#This Row],[_Row]]/100000,"")</f>
        <v/>
      </c>
      <c r="GL113" s="43" t="str">
        <f aca="false">IF(AND(Tasks[[#This Row],[_IsLeaf]]=1,Tasks[[#This Row],[_LeafProgress]]&lt;1,OR(N(Tasks[[#This Row],[Finish Var]])&gt;0,Tasks[[#This Row],[Status]]="Late Start")),MAX(0,Tasks[[#This Row],[Finish Var]])+1-Tasks[[#This Row],[_Row]]/1000000,"")</f>
        <v/>
      </c>
      <c r="GM113" s="43" t="str">
        <f aca="false">IF(AND(Tasks[[#This Row],[_IsLeaf]]=1,N(Tasks[[#This Row],[Actual Start]])=0,Tasks[[#This Row],[_ShownFcstStart]]&gt;=StatusDate,Tasks[[#This Row],[_ShownFcstStart]]&lt;=LookaheadEnd),Tasks[[#This Row],[_ShownFcstStart]]+Tasks[[#This Row],[_Row]]/100000,"")</f>
        <v/>
      </c>
      <c r="GN113" s="43" t="str">
        <f aca="false">IF(AND(Tasks[[#This Row],[_IsLeaf]]=1,Tasks[[#This Row],[_LeafProgress]]&lt;1,Tasks[[#This Row],[_ShownFcstFinish]]&gt;=StatusDate,Tasks[[#This Row],[_ShownFcstFinish]]&lt;=LookaheadEnd),Tasks[[#This Row],[_ShownFcstFinish]]+Tasks[[#This Row],[_Row]]/100000,"")</f>
        <v/>
      </c>
      <c r="GO113" s="43" t="str">
        <f aca="false">IF(Tasks[[#This Row],[_LeafCritical]],Tasks[[#This Row],[_ShownFcstStart]]+Tasks[[#This Row],[_Row]]/100000,"")</f>
        <v/>
      </c>
      <c r="GP113" s="43" t="n">
        <f aca="false">Tasks[[#This Row],[_LeafWork]]*Tasks[[#This Row],[_LeafProgress]]</f>
        <v>0</v>
      </c>
      <c r="GQ113" s="91" t="str">
        <f aca="false">IF(AND(Tasks[[#This Row],[_IsLeaf]]=1,Tasks[[#This Row],[_LeafProgress]]&gt;=1),IF(N(Tasks[[#This Row],[Actual Finish]])&gt;0,Tasks[[#This Row],[Actual Finish]],Tasks[[#This Row],[_ShownFcstFinish]]),"")</f>
        <v/>
      </c>
      <c r="GR113" s="43" t="n">
        <f aca="false">IF(Tasks[[#This Row],[_IsLeaf]]=1,N(Tasks[[#This Row],[Story Points]]),0)</f>
        <v>0</v>
      </c>
      <c r="GS113" s="43" t="str">
        <f aca="false">""</f>
        <v/>
      </c>
      <c r="GT113" s="90" t="b">
        <f aca="false">IF(Tasks[[#This Row],[Task Name]]="",FALSE(),AND(Tasks[[#This Row],[_IsLeaf]]=1,N(Tasks[[#This Row],[_Days]])=0))</f>
        <v>0</v>
      </c>
      <c r="GU113" s="91" t="n">
        <f aca="false">IF(Tasks[[#This Row],[Task Name]]="",0,IF(AND(Tasks[[#This Row],[_IsLeaf]]=1,NOT(Tasks[[#This Row],[_IsMilestone]]),N(Tasks[[#This Row],[Progress]])&gt;0),Tasks[[#This Row],[Start]],0))</f>
        <v>0</v>
      </c>
      <c r="GV113" s="91" t="n">
        <f aca="false">IF(Tasks[[#This Row],[_DoneFrom]]=0,0,IF(Tasks[[#This Row],[Progress]]&gt;=1,Tasks[[#This Row],[Finish]],MAX(Tasks[[#This Row],[_DoneFrom]],Tasks[[#This Row],[Start]]+ROUND((Tasks[[#This Row],[Finish]]-Tasks[[#This Row],[Start]]+1)*Tasks[[#This Row],[Progress]],0)-1)))</f>
        <v>0</v>
      </c>
      <c r="GW113" s="91" t="n">
        <f aca="false">IF(Tasks[[#This Row],[Task Name]]="",0,IF(OR(NOT(Tasks[[#This Row],[_IsLeaf]]=1),Tasks[[#This Row],[_IsMilestone]],N(Tasks[[#This Row],[Progress]])&gt;=1),0,IF(Tasks[[#This Row],[_DoneTo]]&gt;0,Tasks[[#This Row],[_DoneTo]]+1,Tasks[[#This Row],[Start]])))</f>
        <v>0</v>
      </c>
      <c r="GX113" s="91" t="n">
        <f aca="false">IF(Tasks[[#This Row],[_RemFrom]]=0,0,Tasks[[#This Row],[Finish]])</f>
        <v>0</v>
      </c>
      <c r="GY113" s="90" t="b">
        <f aca="false">IF(Tasks[[#This Row],[Task Name]]="",FALSE(),OR(NOT(BaselineSet),N(Tasks[[#This Row],[Baseline Start]])&gt;0))</f>
        <v>0</v>
      </c>
      <c r="GZ11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92" t="str">
        <f aca="false">IF(Tasks[[#This Row],[_IsLeaf]]=1,Tasks[[#This Row],[_Row]],"")</f>
        <v/>
      </c>
      <c r="HD113" s="92" t="str">
        <f aca="false">IFERROR(INDEX(Tasks[UID],SMALL(Tasks[_PickKey],Tasks[[#This Row],[_Row]]))&amp;" "&amp;INDEX(Tasks[Task Name],SMALL(Tasks[_PickKey],Tasks[[#This Row],[_Row]])),"")</f>
        <v/>
      </c>
      <c r="HE113" s="43" t="str">
        <f aca="false">IF(Tasks[[#This Row],[Task Name]]="","",IF(Tasks[[#This Row],[_IsSummary]],NETWORKDAYS.INTL(Tasks[[#This Row],[Start]],Tasks[[#This Row],[Finish]],WorkWeek,Holidays),N(Tasks[[#This Row],[_Days]])))</f>
        <v/>
      </c>
      <c r="HF113" s="43" t="n">
        <f aca="false">IF(Tasks[[#This Row],[Expected]]="",0,((Tasks[[#This Row],[Pessimistic]]-Tasks[[#This Row],[Optimistic]])/6)^2)</f>
        <v>0</v>
      </c>
      <c r="HG113" s="43" t="n">
        <f aca="false">IF(Tasks[[#This Row],[Expected]]="",0,Tasks[[#This Row],[Expected]]-N(Tasks[[#This Row],[_Days]]))</f>
        <v>0</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4"/>
      <c r="U114" s="23"/>
      <c r="V114" s="84"/>
      <c r="W114" s="23"/>
      <c r="X114" s="84"/>
      <c r="Y114" s="23"/>
      <c r="Z114" s="84"/>
      <c r="AA114" s="23"/>
      <c r="AB114" s="23"/>
      <c r="AC114" s="7"/>
      <c r="AD114" s="7"/>
      <c r="AE114" s="63" t="str">
        <f aca="false">IF(Tasks[[#This Row],[Task Name]]="","",IF(Tasks[[#This Row],[_IsSummary]],MIN(INDEX(Tasks[_ShownFcstStart],Tasks[[#This Row],[_Row]]+1):INDEX(Tasks[_ShownFcstStart],Tasks[[#This Row],[_Row]]+Tasks[[#This Row],[_Descendants]])),Tasks[[#This Row],[_ShownFcstStart]]))</f>
        <v/>
      </c>
      <c r="AF114" s="63"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4" s="7"/>
      <c r="AK114" s="22"/>
      <c r="AL114" s="23"/>
      <c r="AM114" s="7"/>
      <c r="AN114" s="47"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3" t="str">
        <f aca="false">IF(Tasks[[#This Row],[Task Name]]="","",IF(N(Tasks[[#This Row],[Baseline Start]])&gt;0,Tasks[[#This Row],[Baseline Start]],Tasks[[#This Row],[_CalcStart]]))</f>
        <v/>
      </c>
      <c r="AR114" s="63" t="str">
        <f aca="false">IF(Tasks[[#This Row],[Task Name]]="","",IF(N(Tasks[[#This Row],[Baseline Finish]])&gt;0,Tasks[[#This Row],[Baseline Finish]],Tasks[[#This Row],[_CalcFinish]]))</f>
        <v/>
      </c>
      <c r="AS114" s="47" t="str">
        <f aca="false">IF(Tasks[[#This Row],[Task Name]]="","",IF(Tasks[[#This Row],[Start]]&gt;=Tasks[[#This Row],[Planned Start]],NETWORKDAYS.INTL(Tasks[[#This Row],[Planned Start]],Tasks[[#This Row],[Start]],WorkWeek,Holidays)-1,1-NETWORKDAYS.INTL(Tasks[[#This Row],[Start]],Tasks[[#This Row],[Planned Start]],WorkWeek,Holidays)))</f>
        <v/>
      </c>
      <c r="AT114" s="63" t="str">
        <f aca="false">IF(Tasks[[#This Row],[Task Name]]="","",IF(Tasks[[#This Row],[_IsSummary]],MIN(INDEX(Tasks[_LeafLateStart],Tasks[[#This Row],[_Row]]+1):INDEX(Tasks[_LeafLateStart],Tasks[[#This Row],[_Row]]+Tasks[[#This Row],[_Descendants]])),Tasks[[#This Row],[_LeafLateStart]]))</f>
        <v/>
      </c>
      <c r="AU114" s="63" t="str">
        <f aca="false">IF(Tasks[[#This Row],[Task Name]]="","",IF(Tasks[[#This Row],[_IsSummary]],MAX(INDEX(Tasks[_LeafLateFinish],Tasks[[#This Row],[_Row]]+1):INDEX(Tasks[_LeafLateFinish],Tasks[[#This Row],[_Row]]+Tasks[[#This Row],[_Descendants]])),Tasks[[#This Row],[_LeafLateFinish]]))</f>
        <v/>
      </c>
      <c r="AV114" s="47"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5"/>
      <c r="BA11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6"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7"/>
      <c r="BJ114" s="22"/>
      <c r="BK114" s="47" t="str">
        <f aca="false">IF(OR(Tasks[[#This Row],[Task Name]]="",Tasks[[#This Row],[Baseline Duration]]=""),"",Tasks[[#This Row],[_SpanDays]]-N(Tasks[[#This Row],[Baseline Duration]]))</f>
        <v/>
      </c>
      <c r="BL114" s="86" t="str">
        <f aca="false">IF(OR(Tasks[[#This Row],[Task Name]]="",Tasks[[#This Row],[Baseline Work]]=""),"",Tasks[[#This Row],[Work]]-N(Tasks[[#This Row],[Baseline Work]]))</f>
        <v/>
      </c>
      <c r="BM114" s="63" t="str">
        <f aca="false">IF(Tasks[[#This Row],[Task Name]]="","",IF(OR(TakeBaseline="Yes",N(Tasks[[#This Row],[Baseline Start]])=0),Tasks[[#This Row],[Start]],Tasks[[#This Row],[Baseline Start]]))</f>
        <v/>
      </c>
      <c r="BN114" s="63" t="str">
        <f aca="false">IF(Tasks[[#This Row],[Task Name]]="","",IF(OR(TakeBaseline="Yes",N(Tasks[[#This Row],[Baseline Finish]])=0),Tasks[[#This Row],[Finish]],Tasks[[#This Row],[Baseline Finish]]))</f>
        <v/>
      </c>
      <c r="BO114" s="21" t="str">
        <f aca="false">IF(Tasks[[#This Row],[Task Name]]="","",IF(OR(TakeBaseline="Yes",N(Tasks[[#This Row],[Baseline Duration]])=0),Tasks[[#This Row],[_SpanDays]],Tasks[[#This Row],[Baseline Duration]]))</f>
        <v/>
      </c>
      <c r="BP114" s="86" t="str">
        <f aca="false">IF(Tasks[[#This Row],[Task Name]]="","",IF(OR(TakeBaseline="Yes",N(Tasks[[#This Row],[Baseline Work]])=0),Tasks[[#This Row],[Work]],Tasks[[#This Row],[Baseline Work]]))</f>
        <v/>
      </c>
      <c r="BQ114" s="7"/>
      <c r="BR114" s="7"/>
      <c r="BS114" s="22"/>
      <c r="BT114" s="88"/>
      <c r="BU114" s="23"/>
      <c r="BV114" s="23"/>
      <c r="BW114" s="23"/>
      <c r="BX114" s="89" t="str">
        <f aca="false">IF(AND(Tasks[[#This Row],[_IsLeaf]]=1,ISNUMBER(Tasks[[#This Row],[Optimistic]]),ISNUMBER(Tasks[[#This Row],[Pessimistic]])),ROUND((Tasks[[#This Row],[Optimistic]]+4*N(Tasks[[#This Row],[_Days]])+Tasks[[#This Row],[Pessimistic]])/6,1),"")</f>
        <v/>
      </c>
      <c r="BY114" s="87"/>
      <c r="BZ114" s="87"/>
      <c r="CA114" s="22"/>
      <c r="CB114" s="43" t="str">
        <f aca="false">IF(Tasks[[#This Row],[Task Name]]="","",MAX(1,N(Tasks[[#This Row],[Level]])))</f>
        <v/>
      </c>
      <c r="CC114" s="43" t="n">
        <f aca="false">ROW()-ROW(Tasks[[#Headers],[ID]])</f>
        <v>109</v>
      </c>
      <c r="CD114" s="43" t="n">
        <f aca="false">IF(OR(Tasks[[#This Row],[Task Name]]="",Tasks[[#This Row],[_Level]]&lt;=1),0,IFERROR(LOOKUP(2,1/(Tasks[[#Headers],[_Level]]:Tasks[[#This Row],[_Level]]=Tasks[[#This Row],[_Level]]-1),ROW(Tasks[[#Headers],[_Level]]:Tasks[[#This Row],[_Level]])),0))</f>
        <v>0</v>
      </c>
      <c r="CE114" s="43" t="n">
        <f aca="false">IFERROR(N(INDEX(Tasks[_Level],Tasks[[#This Row],[_Row]]+1)),0)</f>
        <v>0</v>
      </c>
      <c r="CF114" s="90" t="b">
        <f aca="false">AND(Tasks[[#This Row],[Task Name]]&lt;&gt;"",Tasks[[#This Row],[_NextLevel]]&gt;Tasks[[#This Row],[_Level]])</f>
        <v>0</v>
      </c>
      <c r="CG114" s="43" t="n">
        <f aca="false">IF(Tasks[[#This Row],[_IsSummary]],COUNTIF(Tasks[WBS],Tasks[[#This Row],[WBS]]&amp;".*"),0)</f>
        <v>0</v>
      </c>
      <c r="CH114" s="43" t="n">
        <f aca="false">IF(AND(Tasks[[#This Row],[Task Name]]&lt;&gt;"",NOT(Tasks[[#This Row],[_IsSummary]])),1,0)</f>
        <v>0</v>
      </c>
      <c r="CI114" s="43" t="n">
        <f aca="false">IF(N(Tasks[[#This Row],[_Pred1UID]])=0,0,IFERROR(MATCH(Tasks[[#This Row],[_Pred1UID]],Tasks[UID],0),-1))</f>
        <v>0</v>
      </c>
      <c r="CJ114" s="43" t="n">
        <f aca="false">IF(N(Tasks[[#This Row],[_Pred2UID]])=0,0,IFERROR(MATCH(Tasks[[#This Row],[_Pred2UID]],Tasks[UID],0),-1))</f>
        <v>0</v>
      </c>
      <c r="CK114" s="43" t="n">
        <f aca="false">IF(N(Tasks[[#This Row],[_Pred3UID]])=0,0,IFERROR(MATCH(Tasks[[#This Row],[_Pred3UID]],Tasks[UID],0),-1))</f>
        <v>0</v>
      </c>
      <c r="CL114" s="43" t="n">
        <f aca="false">IF(N(Tasks[[#This Row],[_Pred4UID]])=0,0,IFERROR(MATCH(Tasks[[#This Row],[_Pred4UID]],Tasks[UID],0),-1))</f>
        <v>0</v>
      </c>
      <c r="CM1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4" s="91" t="n">
        <f aca="false">IF(OR(Tasks[[#This Row],[_ConstraintCode]]=2,Tasks[[#This Row],[_ConstraintCode]]=3,Tasks[[#This Row],[_ConstraintCode]]=4,Tasks[[#This Row],[_ConstraintCode]]=6),Tasks[[#This Row],[_ConstraintStart]],0)</f>
        <v>0</v>
      </c>
      <c r="CP114" s="91" t="n">
        <f aca="false">IF(OR(Tasks[[#This Row],[_ConstraintCode]]=2,Tasks[[#This Row],[_ConstraintCode]]=3,Tasks[[#This Row],[_ConstraintCode]]=5,Tasks[[#This Row],[_ConstraintCode]]=7),Tasks[[#This Row],[_ConstraintStart]],2958465)</f>
        <v>2958465</v>
      </c>
      <c r="CQ1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91" t="str">
        <f aca="false">IF(NOT(Tasks[[#This Row],[_IsLeaf]]=1),"",IF(N(Tasks[[#This Row],[_Days]])&lt;=0,Tasks[[#This Row],[_LeafCalcStart]],WORKDAY.INTL(Tasks[[#This Row],[_LeafCalcStart]],Tasks[[#This Row],[_Days]]-1,WorkWeek,Holidays)))</f>
        <v/>
      </c>
      <c r="CS1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3" t="str">
        <f aca="false">IF(Tasks[[#This Row],[_Predecessors]]="","",TRIM(MID(SUBSTITUTE(SUBSTITUTE(SUBSTITUTE(UPPER(Tasks[[#This Row],[_Predecessors]]),";",",")," ",""),",",REPT(" ",99)),1,99)))</f>
        <v/>
      </c>
      <c r="CV114" s="43" t="str">
        <f aca="false">IF(Tasks[[#This Row],[_Pred1Text]]="","",IFERROR(VALUE(LEFT(Tasks[[#This Row],[_Pred1Text]],MIN(FIND("F",Tasks[[#This Row],[_Pred1Text]]&amp;"F"),FIND("S",Tasks[[#This Row],[_Pred1Text]]&amp;"S"),FIND("+",Tasks[[#This Row],[_Pred1Text]]&amp;"+"),FIND("-",Tasks[[#This Row],[_Pred1Text]]&amp;"-"))-1)),""))</f>
        <v/>
      </c>
      <c r="CW1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3" t="str">
        <f aca="false">IF(Tasks[[#This Row],[_Pred1Text]]="","",TRIM(MID(SUBSTITUTE(SUBSTITUTE(SUBSTITUTE(UPPER(Tasks[[#This Row],[_Predecessors]]),";",",")," ",""),",",REPT(" ",99)),100,99)))</f>
        <v/>
      </c>
      <c r="CZ114" s="43" t="str">
        <f aca="false">IF(Tasks[[#This Row],[_Pred2Text]]="","",IFERROR(VALUE(LEFT(Tasks[[#This Row],[_Pred2Text]],MIN(FIND("F",Tasks[[#This Row],[_Pred2Text]]&amp;"F"),FIND("S",Tasks[[#This Row],[_Pred2Text]]&amp;"S"),FIND("+",Tasks[[#This Row],[_Pred2Text]]&amp;"+"),FIND("-",Tasks[[#This Row],[_Pred2Text]]&amp;"-"))-1)),""))</f>
        <v/>
      </c>
      <c r="DA1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3" t="str">
        <f aca="false">IF(Tasks[[#This Row],[_Pred2Text]]="","",TRIM(MID(SUBSTITUTE(SUBSTITUTE(SUBSTITUTE(UPPER(Tasks[[#This Row],[_Predecessors]]),";",",")," ",""),",",REPT(" ",99)),199,99)))</f>
        <v/>
      </c>
      <c r="DD114" s="43" t="str">
        <f aca="false">IF(Tasks[[#This Row],[_Pred3Text]]="","",IFERROR(VALUE(LEFT(Tasks[[#This Row],[_Pred3Text]],MIN(FIND("F",Tasks[[#This Row],[_Pred3Text]]&amp;"F"),FIND("S",Tasks[[#This Row],[_Pred3Text]]&amp;"S"),FIND("+",Tasks[[#This Row],[_Pred3Text]]&amp;"+"),FIND("-",Tasks[[#This Row],[_Pred3Text]]&amp;"-"))-1)),""))</f>
        <v/>
      </c>
      <c r="DE1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3" t="str">
        <f aca="false">IF(Tasks[[#This Row],[_Pred3Text]]="","",TRIM(MID(SUBSTITUTE(SUBSTITUTE(SUBSTITUTE(UPPER(Tasks[[#This Row],[_Predecessors]]),";",",")," ",""),",",REPT(" ",99)),298,99)))</f>
        <v/>
      </c>
      <c r="DH114" s="43" t="str">
        <f aca="false">IF(Tasks[[#This Row],[_Pred4Text]]="","",IFERROR(VALUE(LEFT(Tasks[[#This Row],[_Pred4Text]],MIN(FIND("F",Tasks[[#This Row],[_Pred4Text]]&amp;"F"),FIND("S",Tasks[[#This Row],[_Pred4Text]]&amp;"S"),FIND("+",Tasks[[#This Row],[_Pred4Text]]&amp;"+"),FIND("-",Tasks[[#This Row],[_Pred4Text]]&amp;"-"))-1)),""))</f>
        <v/>
      </c>
      <c r="DI1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3" t="str">
        <f aca="false">IF(OR(Tasks[[#This Row],[Task Name]]="",Tasks[[#This Row],[_Resources]]=""),"",TRIM(MID(SUBSTITUTE(Tasks[[#This Row],[_Resources]],",",REPT(" ",99)),1,99)))</f>
        <v/>
      </c>
      <c r="DL114" s="43" t="str">
        <f aca="false">IF(Tasks[[#This Row],[_Res1Text]]="","",TRIM(MID(SUBSTITUTE(Tasks[[#This Row],[_Resources]],",",REPT(" ",99)),100,99)))</f>
        <v/>
      </c>
      <c r="DM114" s="43" t="str">
        <f aca="false">IF(Tasks[[#This Row],[_Res2Text]]="","",TRIM(MID(SUBSTITUTE(Tasks[[#This Row],[_Resources]],",",REPT(" ",99)),199,99)))</f>
        <v/>
      </c>
      <c r="DN114" s="43" t="str">
        <f aca="false">IF(Tasks[[#This Row],[_Res3Text]]="","",TRIM(MID(SUBSTITUTE(Tasks[[#This Row],[_Resources]],",",REPT(" ",99)),298,99)))</f>
        <v/>
      </c>
      <c r="DO114" s="43" t="n">
        <f aca="false">IF(Tasks[[#This Row],[_Res1Text]]="",0,IFERROR(MATCH(TRIM(LEFT(Tasks[[#This Row],[_Res1Text]],FIND("[",Tasks[[#This Row],[_Res1Text]]&amp;"[")-1)),res_Name,0),IFERROR(MATCH(TRIM(LEFT(Tasks[[#This Row],[_Res1Text]],FIND("[",Tasks[[#This Row],[_Res1Text]]&amp;"[")-1)),res_Initials,0),0)))</f>
        <v>0</v>
      </c>
      <c r="DP114" s="43" t="n">
        <f aca="false">IF(Tasks[[#This Row],[_Res2Text]]="",0,IFERROR(MATCH(TRIM(LEFT(Tasks[[#This Row],[_Res2Text]],FIND("[",Tasks[[#This Row],[_Res2Text]]&amp;"[")-1)),res_Name,0),IFERROR(MATCH(TRIM(LEFT(Tasks[[#This Row],[_Res2Text]],FIND("[",Tasks[[#This Row],[_Res2Text]]&amp;"[")-1)),res_Initials,0),0)))</f>
        <v>0</v>
      </c>
      <c r="DQ114" s="43" t="n">
        <f aca="false">IF(Tasks[[#This Row],[_Res3Text]]="",0,IFERROR(MATCH(TRIM(LEFT(Tasks[[#This Row],[_Res3Text]],FIND("[",Tasks[[#This Row],[_Res3Text]]&amp;"[")-1)),res_Name,0),IFERROR(MATCH(TRIM(LEFT(Tasks[[#This Row],[_Res3Text]],FIND("[",Tasks[[#This Row],[_Res3Text]]&amp;"[")-1)),res_Initials,0),0)))</f>
        <v>0</v>
      </c>
      <c r="DR114" s="43" t="n">
        <f aca="false">IF(Tasks[[#This Row],[_Res4Text]]="",0,IFERROR(MATCH(TRIM(LEFT(Tasks[[#This Row],[_Res4Text]],FIND("[",Tasks[[#This Row],[_Res4Text]]&amp;"[")-1)),res_Name,0),IFERROR(MATCH(TRIM(LEFT(Tasks[[#This Row],[_Res4Text]],FIND("[",Tasks[[#This Row],[_Res4Text]]&amp;"[")-1)),res_Initials,0),0)))</f>
        <v>0</v>
      </c>
      <c r="DS114" s="43" t="str">
        <f aca="false">IF(Tasks[[#This Row],[_Res1Text]]="","",IF(Tasks[[#This Row],[_Res1Row]]&gt;0,INDEX(res_Name,Tasks[[#This Row],[_Res1Row]]),TRIM(LEFT(Tasks[[#This Row],[_Res1Text]],FIND("[",Tasks[[#This Row],[_Res1Text]]&amp;"[")-1))))</f>
        <v/>
      </c>
      <c r="DT1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3" t="n">
        <f aca="false">IF(NOT(Tasks[[#This Row],[_IsLeaf]]=1),0,(Tasks[[#This Row],[_Resource1]]&lt;&gt;"")+(Tasks[[#This Row],[_Res2]]&lt;&gt;"")+(Tasks[[#This Row],[_Res3]]&lt;&gt;"")+(Tasks[[#This Row],[_Res4]]&lt;&gt;""))</f>
        <v>0</v>
      </c>
      <c r="DV114" s="43" t="str">
        <f aca="false">IF(Tasks[[#This Row],[_Res2Text]]="","",IF(Tasks[[#This Row],[_Res2Row]]&gt;0,INDEX(res_Name,Tasks[[#This Row],[_Res2Row]]),TRIM(LEFT(Tasks[[#This Row],[_Res2Text]],FIND("[",Tasks[[#This Row],[_Res2Text]]&amp;"[")-1))))</f>
        <v/>
      </c>
      <c r="DW1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3" t="n">
        <f aca="false">IF(OR(NOT(Tasks[[#This Row],[_IsLeaf]]=1),Tasks[[#This Row],[_Res2Row]]=0),0,N(Tasks[[#This Row],[_Days]])*HoursPerDay*IF(Tasks[[#This Row],[_Res2Units]]="",DefaultUnits,Tasks[[#This Row],[_Res2Units]]))</f>
        <v>0</v>
      </c>
      <c r="DY114" s="43" t="n">
        <f aca="false">IF(AND(AND(Tasks[[#This Row],[_IsLeaf]]=1,Tasks[[#This Row],[_LeafTotalWork]]&gt;0),Tasks[[#This Row],[_Res2Work]]&gt;0),Tasks[[#This Row],[_Res2Work]]/(Tasks[[#This Row],[_FinishWorkday]]-Tasks[[#This Row],[_StartWorkday]]+1),0)</f>
        <v>0</v>
      </c>
      <c r="DZ114" s="43" t="n">
        <f aca="false">Tasks[[#This Row],[_Res2WorkPerWD]]*MAX(0,Tasks[[#This Row],[_StartWorkday]]-1)</f>
        <v>0</v>
      </c>
      <c r="EA114" s="43" t="n">
        <f aca="false">Tasks[[#This Row],[_Res2Work]]*Tasks[[#This Row],[_LeafProgress]]</f>
        <v>0</v>
      </c>
      <c r="EB114" s="43" t="str">
        <f aca="false">IF(Tasks[[#This Row],[_Res3Text]]="","",IF(Tasks[[#This Row],[_Res3Row]]&gt;0,INDEX(res_Name,Tasks[[#This Row],[_Res3Row]]),TRIM(LEFT(Tasks[[#This Row],[_Res3Text]],FIND("[",Tasks[[#This Row],[_Res3Text]]&amp;"[")-1))))</f>
        <v/>
      </c>
      <c r="EC1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3" t="n">
        <f aca="false">IF(OR(NOT(Tasks[[#This Row],[_IsLeaf]]=1),Tasks[[#This Row],[_Res3Row]]=0),0,N(Tasks[[#This Row],[_Days]])*HoursPerDay*IF(Tasks[[#This Row],[_Res3Units]]="",DefaultUnits,Tasks[[#This Row],[_Res3Units]]))</f>
        <v>0</v>
      </c>
      <c r="EE114" s="43" t="n">
        <f aca="false">IF(AND(AND(Tasks[[#This Row],[_IsLeaf]]=1,Tasks[[#This Row],[_LeafTotalWork]]&gt;0),Tasks[[#This Row],[_Res3Work]]&gt;0),Tasks[[#This Row],[_Res3Work]]/(Tasks[[#This Row],[_FinishWorkday]]-Tasks[[#This Row],[_StartWorkday]]+1),0)</f>
        <v>0</v>
      </c>
      <c r="EF114" s="43" t="n">
        <f aca="false">Tasks[[#This Row],[_Res3WorkPerWD]]*MAX(0,Tasks[[#This Row],[_StartWorkday]]-1)</f>
        <v>0</v>
      </c>
      <c r="EG114" s="43" t="n">
        <f aca="false">Tasks[[#This Row],[_Res3Work]]*Tasks[[#This Row],[_LeafProgress]]</f>
        <v>0</v>
      </c>
      <c r="EH114" s="43" t="str">
        <f aca="false">IF(Tasks[[#This Row],[_Res4Text]]="","",IF(Tasks[[#This Row],[_Res4Row]]&gt;0,INDEX(res_Name,Tasks[[#This Row],[_Res4Row]]),TRIM(LEFT(Tasks[[#This Row],[_Res4Text]],FIND("[",Tasks[[#This Row],[_Res4Text]]&amp;"[")-1))))</f>
        <v/>
      </c>
      <c r="EI1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3" t="n">
        <f aca="false">IF(OR(NOT(Tasks[[#This Row],[_IsLeaf]]=1),Tasks[[#This Row],[_Res4Row]]=0),0,N(Tasks[[#This Row],[_Days]])*HoursPerDay*IF(Tasks[[#This Row],[_Res4Units]]="",DefaultUnits,Tasks[[#This Row],[_Res4Units]]))</f>
        <v>0</v>
      </c>
      <c r="EK114" s="43" t="n">
        <f aca="false">IF(AND(AND(Tasks[[#This Row],[_IsLeaf]]=1,Tasks[[#This Row],[_LeafTotalWork]]&gt;0),Tasks[[#This Row],[_Res4Work]]&gt;0),Tasks[[#This Row],[_Res4Work]]/(Tasks[[#This Row],[_FinishWorkday]]-Tasks[[#This Row],[_StartWorkday]]+1),0)</f>
        <v>0</v>
      </c>
      <c r="EL114" s="43" t="n">
        <f aca="false">Tasks[[#This Row],[_Res4WorkPerWD]]*MAX(0,Tasks[[#This Row],[_StartWorkday]]-1)</f>
        <v>0</v>
      </c>
      <c r="EM114" s="43" t="n">
        <f aca="false">Tasks[[#This Row],[_Res4Work]]*Tasks[[#This Row],[_LeafProgress]]</f>
        <v>0</v>
      </c>
      <c r="EN114" s="43" t="n">
        <f aca="false">IF(ISNUMBER(Tasks[[#This Row],[% Complete]]),Tasks[[#This Row],[% Complete]],IF(Tasks[[#This Row],[Stage]]="",0,IFERROR(INDEX(stg_Pct,MATCH(Tasks[[#This Row],[Stage]],stg_Name,0)),0)))</f>
        <v>0</v>
      </c>
      <c r="EO114" s="43" t="n">
        <f aca="false">IF(NOT(Tasks[[#This Row],[_IsLeaf]]=1),0,IF(N(Tasks[[#This Row],[Actual Finish]])&gt;0,1,MIN(1,Tasks[[#This Row],[_Pct]])))</f>
        <v>0</v>
      </c>
      <c r="EP114" s="43" t="n">
        <f aca="false">IF(OR(NOT(Tasks[[#This Row],[_IsLeaf]]=1),Tasks[[#This Row],[_Res1Row]]=0),0,N(Tasks[[#This Row],[_Days]])*HoursPerDay*IF(Tasks[[#This Row],[_Units1]]="",DefaultUnits,Tasks[[#This Row],[_Units1]]))</f>
        <v>0</v>
      </c>
      <c r="EQ114" s="43" t="n">
        <f aca="false">Tasks[[#This Row],[_LeafWork]]+Tasks[[#This Row],[_Res2Work]]+Tasks[[#This Row],[_Res3Work]]+Tasks[[#This Row],[_Res4Work]]</f>
        <v>0</v>
      </c>
      <c r="ER1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3" t="n">
        <f aca="false">IF(NOT(Tasks[[#This Row],[_IsLeaf]]=1),0,MAX(_xlfn.MAXIFS(Tasks[_Row],Tasks[_Pred1UID],Tasks[[#This Row],[UID]]),_xlfn.MAXIFS(Tasks[_Row],Tasks[_Pred2UID],Tasks[[#This Row],[UID]]),_xlfn.MAXIFS(Tasks[_Row],Tasks[_Pred3UID],Tasks[[#This Row],[UID]]),_xlfn.MAXIFS(Tasks[_Row],Tasks[_Pred4UID],Tasks[[#This Row],[UID]])))</f>
        <v>0</v>
      </c>
      <c r="FA1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91" t="str">
        <f aca="false">IF(NOT(Tasks[[#This Row],[_IsLeaf]]=1),"",IF(N(Tasks[[#This Row],[_Days]])&lt;=0,Tasks[[#This Row],[_LeafLateFinish]],WORKDAY.INTL(Tasks[[#This Row],[_LeafLateFinish]],-(Tasks[[#This Row],[_Days]]-1),WorkWeek,Holidays)))</f>
        <v/>
      </c>
      <c r="FD1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4" s="90" t="b">
        <f aca="false">AND(Tasks[[#This Row],[_IsLeaf]]=1,Tasks[[#This Row],[_LeafProgress]]&lt;1,N(Tasks[[#This Row],[_LeafTotalSlack]])&lt;=CriticalSlackDays)</f>
        <v>0</v>
      </c>
      <c r="FF114" s="43" t="n">
        <f aca="false">IF(AND(Tasks[[#This Row],[_IsLeaf]]=1,Tasks[[#This Row],[_ConstraintCode]]=1,Tasks[[#This Row],[Mode]]&lt;&gt;"Manual",N(Tasks[[#This Row],[Actual Start]])=0),MAX(0,N(Tasks[[#This Row],[Free Slack]])),0)</f>
        <v>0</v>
      </c>
      <c r="FG114" s="91" t="str">
        <f aca="false">IF(NOT(Tasks[[#This Row],[_IsLeaf]]=1),"",IF(Tasks[[#This Row],[_AlapShift]]=0,Tasks[[#This Row],[_LeafCalcStart]],WORKDAY.INTL(Tasks[[#This Row],[_LeafCalcStart]],Tasks[[#This Row],[_AlapShift]],WorkWeek,Holidays)))</f>
        <v/>
      </c>
      <c r="FH114" s="91" t="str">
        <f aca="false">IF(NOT(Tasks[[#This Row],[_IsLeaf]]=1),"",IF(Tasks[[#This Row],[_AlapShift]]=0,Tasks[[#This Row],[_LeafCalcFinish]],WORKDAY.INTL(Tasks[[#This Row],[_LeafCalcFinish]],Tasks[[#This Row],[_AlapShift]],WorkWeek,Holidays)))</f>
        <v/>
      </c>
      <c r="FI114" s="91" t="str">
        <f aca="false">IF(NOT(Tasks[[#This Row],[_IsLeaf]]=1),"",IF(Tasks[[#This Row],[_AlapShift]]=0,Tasks[[#This Row],[_LeafFcstStart]],WORKDAY.INTL(Tasks[[#This Row],[_LeafFcstStart]],Tasks[[#This Row],[_AlapShift]],WorkWeek,Holidays)))</f>
        <v/>
      </c>
      <c r="FJ114" s="91" t="str">
        <f aca="false">IF(NOT(Tasks[[#This Row],[_IsLeaf]]=1),"",IF(Tasks[[#This Row],[_AlapShift]]=0,Tasks[[#This Row],[_LeafFcstFinish]],WORKDAY.INTL(Tasks[[#This Row],[_LeafFcstFinish]],Tasks[[#This Row],[_AlapShift]],WorkWeek,Holidays)))</f>
        <v/>
      </c>
      <c r="FK114" s="91" t="str">
        <f aca="false">IF(Tasks[[#This Row],[Task Name]]="","",IF(Tasks[[#This Row],[_IsSummary]],MIN(INDEX(Tasks[_ShownCalcStart],Tasks[[#This Row],[_Row]]+1):INDEX(Tasks[_ShownCalcStart],Tasks[[#This Row],[_Row]]+Tasks[[#This Row],[_Descendants]])),Tasks[[#This Row],[_ShownCalcStart]]))</f>
        <v/>
      </c>
      <c r="FL114" s="91" t="str">
        <f aca="false">IF(Tasks[[#This Row],[Task Name]]="","",IF(Tasks[[#This Row],[_IsSummary]],MAX(INDEX(Tasks[_ShownCalcFinish],Tasks[[#This Row],[_Row]]+1):INDEX(Tasks[_ShownCalcFinish],Tasks[[#This Row],[_Row]]+Tasks[[#This Row],[_Descendants]])),Tasks[[#This Row],[_ShownCalcFinish]]))</f>
        <v/>
      </c>
      <c r="FM1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4" s="43" t="n">
        <f aca="false">IF(AND(Tasks[[#This Row],[_IsLeaf]]=1,Tasks[[#This Row],[_LeafTotalWork]]&gt;0),NETWORKDAYS.INTL(ProjectStart,Tasks[[#This Row],[_ShownFcstStart]],WorkWeek,Holidays),0)</f>
        <v>0</v>
      </c>
      <c r="FZ114" s="43" t="n">
        <f aca="false">IF(AND(Tasks[[#This Row],[_IsLeaf]]=1,Tasks[[#This Row],[_LeafTotalWork]]&gt;0),MAX(Tasks[[#This Row],[_StartWorkday]],NETWORKDAYS.INTL(ProjectStart,Tasks[[#This Row],[_ShownFcstFinish]],WorkWeek,Holidays)),0)</f>
        <v>0</v>
      </c>
      <c r="GA114" s="43" t="n">
        <f aca="false">IF(AND(Tasks[[#This Row],[_IsLeaf]]=1,Tasks[[#This Row],[_LeafTotalWork]]&gt;0),Tasks[[#This Row],[_LeafWork]]/(Tasks[[#This Row],[_FinishWorkday]]-Tasks[[#This Row],[_StartWorkday]]+1),0)</f>
        <v>0</v>
      </c>
      <c r="GB114" s="43" t="n">
        <f aca="false">Tasks[[#This Row],[_WorkPerWorkday]]*(Tasks[[#This Row],[_StartWorkday]]-1)</f>
        <v>-0</v>
      </c>
      <c r="GC114" s="43" t="n">
        <f aca="false">IF(Tasks[[#This Row],[_IsLeaf]]=1,MAX(N(Tasks[[#This Row],[_Days]]),0.1),0)</f>
        <v>0</v>
      </c>
      <c r="GD114" s="43" t="n">
        <f aca="false">Tasks[[#This Row],[_WeightDur]]*Tasks[[#This Row],[_LeafProgress]]</f>
        <v>0</v>
      </c>
      <c r="GE114" s="43" t="n">
        <f aca="false">Tasks[[#This Row],[_WeightDur]]*Tasks[[#This Row],[_PlannedPct]]</f>
        <v>0</v>
      </c>
      <c r="GF1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3" t="str">
        <f aca="false">IF(AND(Tasks[[#This Row],[_IsLeaf]]=1,N(Tasks[[#This Row],[_Days]])=0,Tasks[[#This Row],[_LeafProgress]]&lt;1),Tasks[[#This Row],[_ShownFcstFinish]]+Tasks[[#This Row],[_Row]]/100000,"")</f>
        <v/>
      </c>
      <c r="GH1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4" s="43" t="str">
        <f aca="false">IF(Tasks[[#This Row],[Task Name]]="","",LEFT(Tasks[[#This Row],[WBS]],FIND(".",Tasks[[#This Row],[WBS]]&amp;".")-1))</f>
        <v/>
      </c>
      <c r="GJ114" s="43" t="str">
        <f aca="false">IF(AND(Tasks[[#This Row],[Task Name]]&lt;&gt;"",Tasks[[#This Row],[_Level]]=1),Tasks[[#This Row],[_Row]],"")</f>
        <v/>
      </c>
      <c r="GK114" s="43" t="str">
        <f aca="false">IF(AND(Tasks[[#This Row],[_IsLeaf]]=1,N(Tasks[[#This Row],[_Days]])=0),Tasks[[#This Row],[Planned Finish]]+Tasks[[#This Row],[_Row]]/100000,"")</f>
        <v/>
      </c>
      <c r="GL114" s="43" t="str">
        <f aca="false">IF(AND(Tasks[[#This Row],[_IsLeaf]]=1,Tasks[[#This Row],[_LeafProgress]]&lt;1,OR(N(Tasks[[#This Row],[Finish Var]])&gt;0,Tasks[[#This Row],[Status]]="Late Start")),MAX(0,Tasks[[#This Row],[Finish Var]])+1-Tasks[[#This Row],[_Row]]/1000000,"")</f>
        <v/>
      </c>
      <c r="GM114" s="43" t="str">
        <f aca="false">IF(AND(Tasks[[#This Row],[_IsLeaf]]=1,N(Tasks[[#This Row],[Actual Start]])=0,Tasks[[#This Row],[_ShownFcstStart]]&gt;=StatusDate,Tasks[[#This Row],[_ShownFcstStart]]&lt;=LookaheadEnd),Tasks[[#This Row],[_ShownFcstStart]]+Tasks[[#This Row],[_Row]]/100000,"")</f>
        <v/>
      </c>
      <c r="GN114" s="43" t="str">
        <f aca="false">IF(AND(Tasks[[#This Row],[_IsLeaf]]=1,Tasks[[#This Row],[_LeafProgress]]&lt;1,Tasks[[#This Row],[_ShownFcstFinish]]&gt;=StatusDate,Tasks[[#This Row],[_ShownFcstFinish]]&lt;=LookaheadEnd),Tasks[[#This Row],[_ShownFcstFinish]]+Tasks[[#This Row],[_Row]]/100000,"")</f>
        <v/>
      </c>
      <c r="GO114" s="43" t="str">
        <f aca="false">IF(Tasks[[#This Row],[_LeafCritical]],Tasks[[#This Row],[_ShownFcstStart]]+Tasks[[#This Row],[_Row]]/100000,"")</f>
        <v/>
      </c>
      <c r="GP114" s="43" t="n">
        <f aca="false">Tasks[[#This Row],[_LeafWork]]*Tasks[[#This Row],[_LeafProgress]]</f>
        <v>0</v>
      </c>
      <c r="GQ114" s="91" t="str">
        <f aca="false">IF(AND(Tasks[[#This Row],[_IsLeaf]]=1,Tasks[[#This Row],[_LeafProgress]]&gt;=1),IF(N(Tasks[[#This Row],[Actual Finish]])&gt;0,Tasks[[#This Row],[Actual Finish]],Tasks[[#This Row],[_ShownFcstFinish]]),"")</f>
        <v/>
      </c>
      <c r="GR114" s="43" t="n">
        <f aca="false">IF(Tasks[[#This Row],[_IsLeaf]]=1,N(Tasks[[#This Row],[Story Points]]),0)</f>
        <v>0</v>
      </c>
      <c r="GS114" s="43" t="str">
        <f aca="false">""</f>
        <v/>
      </c>
      <c r="GT114" s="90" t="b">
        <f aca="false">IF(Tasks[[#This Row],[Task Name]]="",FALSE(),AND(Tasks[[#This Row],[_IsLeaf]]=1,N(Tasks[[#This Row],[_Days]])=0))</f>
        <v>0</v>
      </c>
      <c r="GU114" s="91" t="n">
        <f aca="false">IF(Tasks[[#This Row],[Task Name]]="",0,IF(AND(Tasks[[#This Row],[_IsLeaf]]=1,NOT(Tasks[[#This Row],[_IsMilestone]]),N(Tasks[[#This Row],[Progress]])&gt;0),Tasks[[#This Row],[Start]],0))</f>
        <v>0</v>
      </c>
      <c r="GV114" s="91" t="n">
        <f aca="false">IF(Tasks[[#This Row],[_DoneFrom]]=0,0,IF(Tasks[[#This Row],[Progress]]&gt;=1,Tasks[[#This Row],[Finish]],MAX(Tasks[[#This Row],[_DoneFrom]],Tasks[[#This Row],[Start]]+ROUND((Tasks[[#This Row],[Finish]]-Tasks[[#This Row],[Start]]+1)*Tasks[[#This Row],[Progress]],0)-1)))</f>
        <v>0</v>
      </c>
      <c r="GW114" s="91" t="n">
        <f aca="false">IF(Tasks[[#This Row],[Task Name]]="",0,IF(OR(NOT(Tasks[[#This Row],[_IsLeaf]]=1),Tasks[[#This Row],[_IsMilestone]],N(Tasks[[#This Row],[Progress]])&gt;=1),0,IF(Tasks[[#This Row],[_DoneTo]]&gt;0,Tasks[[#This Row],[_DoneTo]]+1,Tasks[[#This Row],[Start]])))</f>
        <v>0</v>
      </c>
      <c r="GX114" s="91" t="n">
        <f aca="false">IF(Tasks[[#This Row],[_RemFrom]]=0,0,Tasks[[#This Row],[Finish]])</f>
        <v>0</v>
      </c>
      <c r="GY114" s="90" t="b">
        <f aca="false">IF(Tasks[[#This Row],[Task Name]]="",FALSE(),OR(NOT(BaselineSet),N(Tasks[[#This Row],[Baseline Start]])&gt;0))</f>
        <v>0</v>
      </c>
      <c r="GZ11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92" t="str">
        <f aca="false">IF(Tasks[[#This Row],[_IsLeaf]]=1,Tasks[[#This Row],[_Row]],"")</f>
        <v/>
      </c>
      <c r="HD114" s="92" t="str">
        <f aca="false">IFERROR(INDEX(Tasks[UID],SMALL(Tasks[_PickKey],Tasks[[#This Row],[_Row]]))&amp;" "&amp;INDEX(Tasks[Task Name],SMALL(Tasks[_PickKey],Tasks[[#This Row],[_Row]])),"")</f>
        <v/>
      </c>
      <c r="HE114" s="43" t="str">
        <f aca="false">IF(Tasks[[#This Row],[Task Name]]="","",IF(Tasks[[#This Row],[_IsSummary]],NETWORKDAYS.INTL(Tasks[[#This Row],[Start]],Tasks[[#This Row],[Finish]],WorkWeek,Holidays),N(Tasks[[#This Row],[_Days]])))</f>
        <v/>
      </c>
      <c r="HF114" s="43" t="n">
        <f aca="false">IF(Tasks[[#This Row],[Expected]]="",0,((Tasks[[#This Row],[Pessimistic]]-Tasks[[#This Row],[Optimistic]])/6)^2)</f>
        <v>0</v>
      </c>
      <c r="HG114" s="43" t="n">
        <f aca="false">IF(Tasks[[#This Row],[Expected]]="",0,Tasks[[#This Row],[Expected]]-N(Tasks[[#This Row],[_Days]]))</f>
        <v>0</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4"/>
      <c r="U115" s="23"/>
      <c r="V115" s="84"/>
      <c r="W115" s="23"/>
      <c r="X115" s="84"/>
      <c r="Y115" s="23"/>
      <c r="Z115" s="84"/>
      <c r="AA115" s="23"/>
      <c r="AB115" s="23"/>
      <c r="AC115" s="7"/>
      <c r="AD115" s="7"/>
      <c r="AE115" s="63" t="str">
        <f aca="false">IF(Tasks[[#This Row],[Task Name]]="","",IF(Tasks[[#This Row],[_IsSummary]],MIN(INDEX(Tasks[_ShownFcstStart],Tasks[[#This Row],[_Row]]+1):INDEX(Tasks[_ShownFcstStart],Tasks[[#This Row],[_Row]]+Tasks[[#This Row],[_Descendants]])),Tasks[[#This Row],[_ShownFcstStart]]))</f>
        <v/>
      </c>
      <c r="AF115" s="63"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5" s="7"/>
      <c r="AK115" s="22"/>
      <c r="AL115" s="23"/>
      <c r="AM115" s="7"/>
      <c r="AN115" s="47"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3" t="str">
        <f aca="false">IF(Tasks[[#This Row],[Task Name]]="","",IF(N(Tasks[[#This Row],[Baseline Start]])&gt;0,Tasks[[#This Row],[Baseline Start]],Tasks[[#This Row],[_CalcStart]]))</f>
        <v/>
      </c>
      <c r="AR115" s="63" t="str">
        <f aca="false">IF(Tasks[[#This Row],[Task Name]]="","",IF(N(Tasks[[#This Row],[Baseline Finish]])&gt;0,Tasks[[#This Row],[Baseline Finish]],Tasks[[#This Row],[_CalcFinish]]))</f>
        <v/>
      </c>
      <c r="AS115" s="47" t="str">
        <f aca="false">IF(Tasks[[#This Row],[Task Name]]="","",IF(Tasks[[#This Row],[Start]]&gt;=Tasks[[#This Row],[Planned Start]],NETWORKDAYS.INTL(Tasks[[#This Row],[Planned Start]],Tasks[[#This Row],[Start]],WorkWeek,Holidays)-1,1-NETWORKDAYS.INTL(Tasks[[#This Row],[Start]],Tasks[[#This Row],[Planned Start]],WorkWeek,Holidays)))</f>
        <v/>
      </c>
      <c r="AT115" s="63" t="str">
        <f aca="false">IF(Tasks[[#This Row],[Task Name]]="","",IF(Tasks[[#This Row],[_IsSummary]],MIN(INDEX(Tasks[_LeafLateStart],Tasks[[#This Row],[_Row]]+1):INDEX(Tasks[_LeafLateStart],Tasks[[#This Row],[_Row]]+Tasks[[#This Row],[_Descendants]])),Tasks[[#This Row],[_LeafLateStart]]))</f>
        <v/>
      </c>
      <c r="AU115" s="63" t="str">
        <f aca="false">IF(Tasks[[#This Row],[Task Name]]="","",IF(Tasks[[#This Row],[_IsSummary]],MAX(INDEX(Tasks[_LeafLateFinish],Tasks[[#This Row],[_Row]]+1):INDEX(Tasks[_LeafLateFinish],Tasks[[#This Row],[_Row]]+Tasks[[#This Row],[_Descendants]])),Tasks[[#This Row],[_LeafLateFinish]]))</f>
        <v/>
      </c>
      <c r="AV115" s="47"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5"/>
      <c r="BA11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6"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7"/>
      <c r="BJ115" s="22"/>
      <c r="BK115" s="47" t="str">
        <f aca="false">IF(OR(Tasks[[#This Row],[Task Name]]="",Tasks[[#This Row],[Baseline Duration]]=""),"",Tasks[[#This Row],[_SpanDays]]-N(Tasks[[#This Row],[Baseline Duration]]))</f>
        <v/>
      </c>
      <c r="BL115" s="86" t="str">
        <f aca="false">IF(OR(Tasks[[#This Row],[Task Name]]="",Tasks[[#This Row],[Baseline Work]]=""),"",Tasks[[#This Row],[Work]]-N(Tasks[[#This Row],[Baseline Work]]))</f>
        <v/>
      </c>
      <c r="BM115" s="63" t="str">
        <f aca="false">IF(Tasks[[#This Row],[Task Name]]="","",IF(OR(TakeBaseline="Yes",N(Tasks[[#This Row],[Baseline Start]])=0),Tasks[[#This Row],[Start]],Tasks[[#This Row],[Baseline Start]]))</f>
        <v/>
      </c>
      <c r="BN115" s="63" t="str">
        <f aca="false">IF(Tasks[[#This Row],[Task Name]]="","",IF(OR(TakeBaseline="Yes",N(Tasks[[#This Row],[Baseline Finish]])=0),Tasks[[#This Row],[Finish]],Tasks[[#This Row],[Baseline Finish]]))</f>
        <v/>
      </c>
      <c r="BO115" s="21" t="str">
        <f aca="false">IF(Tasks[[#This Row],[Task Name]]="","",IF(OR(TakeBaseline="Yes",N(Tasks[[#This Row],[Baseline Duration]])=0),Tasks[[#This Row],[_SpanDays]],Tasks[[#This Row],[Baseline Duration]]))</f>
        <v/>
      </c>
      <c r="BP115" s="86" t="str">
        <f aca="false">IF(Tasks[[#This Row],[Task Name]]="","",IF(OR(TakeBaseline="Yes",N(Tasks[[#This Row],[Baseline Work]])=0),Tasks[[#This Row],[Work]],Tasks[[#This Row],[Baseline Work]]))</f>
        <v/>
      </c>
      <c r="BQ115" s="7"/>
      <c r="BR115" s="7"/>
      <c r="BS115" s="22"/>
      <c r="BT115" s="88"/>
      <c r="BU115" s="23"/>
      <c r="BV115" s="23"/>
      <c r="BW115" s="23"/>
      <c r="BX115" s="89" t="str">
        <f aca="false">IF(AND(Tasks[[#This Row],[_IsLeaf]]=1,ISNUMBER(Tasks[[#This Row],[Optimistic]]),ISNUMBER(Tasks[[#This Row],[Pessimistic]])),ROUND((Tasks[[#This Row],[Optimistic]]+4*N(Tasks[[#This Row],[_Days]])+Tasks[[#This Row],[Pessimistic]])/6,1),"")</f>
        <v/>
      </c>
      <c r="BY115" s="87"/>
      <c r="BZ115" s="87"/>
      <c r="CA115" s="22"/>
      <c r="CB115" s="43" t="str">
        <f aca="false">IF(Tasks[[#This Row],[Task Name]]="","",MAX(1,N(Tasks[[#This Row],[Level]])))</f>
        <v/>
      </c>
      <c r="CC115" s="43" t="n">
        <f aca="false">ROW()-ROW(Tasks[[#Headers],[ID]])</f>
        <v>110</v>
      </c>
      <c r="CD115" s="43" t="n">
        <f aca="false">IF(OR(Tasks[[#This Row],[Task Name]]="",Tasks[[#This Row],[_Level]]&lt;=1),0,IFERROR(LOOKUP(2,1/(Tasks[[#Headers],[_Level]]:Tasks[[#This Row],[_Level]]=Tasks[[#This Row],[_Level]]-1),ROW(Tasks[[#Headers],[_Level]]:Tasks[[#This Row],[_Level]])),0))</f>
        <v>0</v>
      </c>
      <c r="CE115" s="43" t="n">
        <f aca="false">IFERROR(N(INDEX(Tasks[_Level],Tasks[[#This Row],[_Row]]+1)),0)</f>
        <v>0</v>
      </c>
      <c r="CF115" s="90" t="b">
        <f aca="false">AND(Tasks[[#This Row],[Task Name]]&lt;&gt;"",Tasks[[#This Row],[_NextLevel]]&gt;Tasks[[#This Row],[_Level]])</f>
        <v>0</v>
      </c>
      <c r="CG115" s="43" t="n">
        <f aca="false">IF(Tasks[[#This Row],[_IsSummary]],COUNTIF(Tasks[WBS],Tasks[[#This Row],[WBS]]&amp;".*"),0)</f>
        <v>0</v>
      </c>
      <c r="CH115" s="43" t="n">
        <f aca="false">IF(AND(Tasks[[#This Row],[Task Name]]&lt;&gt;"",NOT(Tasks[[#This Row],[_IsSummary]])),1,0)</f>
        <v>0</v>
      </c>
      <c r="CI115" s="43" t="n">
        <f aca="false">IF(N(Tasks[[#This Row],[_Pred1UID]])=0,0,IFERROR(MATCH(Tasks[[#This Row],[_Pred1UID]],Tasks[UID],0),-1))</f>
        <v>0</v>
      </c>
      <c r="CJ115" s="43" t="n">
        <f aca="false">IF(N(Tasks[[#This Row],[_Pred2UID]])=0,0,IFERROR(MATCH(Tasks[[#This Row],[_Pred2UID]],Tasks[UID],0),-1))</f>
        <v>0</v>
      </c>
      <c r="CK115" s="43" t="n">
        <f aca="false">IF(N(Tasks[[#This Row],[_Pred3UID]])=0,0,IFERROR(MATCH(Tasks[[#This Row],[_Pred3UID]],Tasks[UID],0),-1))</f>
        <v>0</v>
      </c>
      <c r="CL115" s="43" t="n">
        <f aca="false">IF(N(Tasks[[#This Row],[_Pred4UID]])=0,0,IFERROR(MATCH(Tasks[[#This Row],[_Pred4UID]],Tasks[UID],0),-1))</f>
        <v>0</v>
      </c>
      <c r="CM11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5" s="91" t="n">
        <f aca="false">IF(OR(Tasks[[#This Row],[_ConstraintCode]]=2,Tasks[[#This Row],[_ConstraintCode]]=3,Tasks[[#This Row],[_ConstraintCode]]=4,Tasks[[#This Row],[_ConstraintCode]]=6),Tasks[[#This Row],[_ConstraintStart]],0)</f>
        <v>0</v>
      </c>
      <c r="CP115" s="91" t="n">
        <f aca="false">IF(OR(Tasks[[#This Row],[_ConstraintCode]]=2,Tasks[[#This Row],[_ConstraintCode]]=3,Tasks[[#This Row],[_ConstraintCode]]=5,Tasks[[#This Row],[_ConstraintCode]]=7),Tasks[[#This Row],[_ConstraintStart]],2958465)</f>
        <v>2958465</v>
      </c>
      <c r="CQ11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91" t="str">
        <f aca="false">IF(NOT(Tasks[[#This Row],[_IsLeaf]]=1),"",IF(N(Tasks[[#This Row],[_Days]])&lt;=0,Tasks[[#This Row],[_LeafCalcStart]],WORKDAY.INTL(Tasks[[#This Row],[_LeafCalcStart]],Tasks[[#This Row],[_Days]]-1,WorkWeek,Holidays)))</f>
        <v/>
      </c>
      <c r="CS11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3" t="str">
        <f aca="false">IF(Tasks[[#This Row],[_Predecessors]]="","",TRIM(MID(SUBSTITUTE(SUBSTITUTE(SUBSTITUTE(UPPER(Tasks[[#This Row],[_Predecessors]]),";",",")," ",""),",",REPT(" ",99)),1,99)))</f>
        <v/>
      </c>
      <c r="CV115" s="43" t="str">
        <f aca="false">IF(Tasks[[#This Row],[_Pred1Text]]="","",IFERROR(VALUE(LEFT(Tasks[[#This Row],[_Pred1Text]],MIN(FIND("F",Tasks[[#This Row],[_Pred1Text]]&amp;"F"),FIND("S",Tasks[[#This Row],[_Pred1Text]]&amp;"S"),FIND("+",Tasks[[#This Row],[_Pred1Text]]&amp;"+"),FIND("-",Tasks[[#This Row],[_Pred1Text]]&amp;"-"))-1)),""))</f>
        <v/>
      </c>
      <c r="CW1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3" t="str">
        <f aca="false">IF(Tasks[[#This Row],[_Pred1Text]]="","",TRIM(MID(SUBSTITUTE(SUBSTITUTE(SUBSTITUTE(UPPER(Tasks[[#This Row],[_Predecessors]]),";",",")," ",""),",",REPT(" ",99)),100,99)))</f>
        <v/>
      </c>
      <c r="CZ115" s="43" t="str">
        <f aca="false">IF(Tasks[[#This Row],[_Pred2Text]]="","",IFERROR(VALUE(LEFT(Tasks[[#This Row],[_Pred2Text]],MIN(FIND("F",Tasks[[#This Row],[_Pred2Text]]&amp;"F"),FIND("S",Tasks[[#This Row],[_Pred2Text]]&amp;"S"),FIND("+",Tasks[[#This Row],[_Pred2Text]]&amp;"+"),FIND("-",Tasks[[#This Row],[_Pred2Text]]&amp;"-"))-1)),""))</f>
        <v/>
      </c>
      <c r="DA1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3" t="str">
        <f aca="false">IF(Tasks[[#This Row],[_Pred2Text]]="","",TRIM(MID(SUBSTITUTE(SUBSTITUTE(SUBSTITUTE(UPPER(Tasks[[#This Row],[_Predecessors]]),";",",")," ",""),",",REPT(" ",99)),199,99)))</f>
        <v/>
      </c>
      <c r="DD115" s="43" t="str">
        <f aca="false">IF(Tasks[[#This Row],[_Pred3Text]]="","",IFERROR(VALUE(LEFT(Tasks[[#This Row],[_Pred3Text]],MIN(FIND("F",Tasks[[#This Row],[_Pred3Text]]&amp;"F"),FIND("S",Tasks[[#This Row],[_Pred3Text]]&amp;"S"),FIND("+",Tasks[[#This Row],[_Pred3Text]]&amp;"+"),FIND("-",Tasks[[#This Row],[_Pred3Text]]&amp;"-"))-1)),""))</f>
        <v/>
      </c>
      <c r="DE1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3" t="str">
        <f aca="false">IF(Tasks[[#This Row],[_Pred3Text]]="","",TRIM(MID(SUBSTITUTE(SUBSTITUTE(SUBSTITUTE(UPPER(Tasks[[#This Row],[_Predecessors]]),";",",")," ",""),",",REPT(" ",99)),298,99)))</f>
        <v/>
      </c>
      <c r="DH115" s="43" t="str">
        <f aca="false">IF(Tasks[[#This Row],[_Pred4Text]]="","",IFERROR(VALUE(LEFT(Tasks[[#This Row],[_Pred4Text]],MIN(FIND("F",Tasks[[#This Row],[_Pred4Text]]&amp;"F"),FIND("S",Tasks[[#This Row],[_Pred4Text]]&amp;"S"),FIND("+",Tasks[[#This Row],[_Pred4Text]]&amp;"+"),FIND("-",Tasks[[#This Row],[_Pred4Text]]&amp;"-"))-1)),""))</f>
        <v/>
      </c>
      <c r="DI1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3" t="str">
        <f aca="false">IF(OR(Tasks[[#This Row],[Task Name]]="",Tasks[[#This Row],[_Resources]]=""),"",TRIM(MID(SUBSTITUTE(Tasks[[#This Row],[_Resources]],",",REPT(" ",99)),1,99)))</f>
        <v/>
      </c>
      <c r="DL115" s="43" t="str">
        <f aca="false">IF(Tasks[[#This Row],[_Res1Text]]="","",TRIM(MID(SUBSTITUTE(Tasks[[#This Row],[_Resources]],",",REPT(" ",99)),100,99)))</f>
        <v/>
      </c>
      <c r="DM115" s="43" t="str">
        <f aca="false">IF(Tasks[[#This Row],[_Res2Text]]="","",TRIM(MID(SUBSTITUTE(Tasks[[#This Row],[_Resources]],",",REPT(" ",99)),199,99)))</f>
        <v/>
      </c>
      <c r="DN115" s="43" t="str">
        <f aca="false">IF(Tasks[[#This Row],[_Res3Text]]="","",TRIM(MID(SUBSTITUTE(Tasks[[#This Row],[_Resources]],",",REPT(" ",99)),298,99)))</f>
        <v/>
      </c>
      <c r="DO115" s="43" t="n">
        <f aca="false">IF(Tasks[[#This Row],[_Res1Text]]="",0,IFERROR(MATCH(TRIM(LEFT(Tasks[[#This Row],[_Res1Text]],FIND("[",Tasks[[#This Row],[_Res1Text]]&amp;"[")-1)),res_Name,0),IFERROR(MATCH(TRIM(LEFT(Tasks[[#This Row],[_Res1Text]],FIND("[",Tasks[[#This Row],[_Res1Text]]&amp;"[")-1)),res_Initials,0),0)))</f>
        <v>0</v>
      </c>
      <c r="DP115" s="43" t="n">
        <f aca="false">IF(Tasks[[#This Row],[_Res2Text]]="",0,IFERROR(MATCH(TRIM(LEFT(Tasks[[#This Row],[_Res2Text]],FIND("[",Tasks[[#This Row],[_Res2Text]]&amp;"[")-1)),res_Name,0),IFERROR(MATCH(TRIM(LEFT(Tasks[[#This Row],[_Res2Text]],FIND("[",Tasks[[#This Row],[_Res2Text]]&amp;"[")-1)),res_Initials,0),0)))</f>
        <v>0</v>
      </c>
      <c r="DQ115" s="43" t="n">
        <f aca="false">IF(Tasks[[#This Row],[_Res3Text]]="",0,IFERROR(MATCH(TRIM(LEFT(Tasks[[#This Row],[_Res3Text]],FIND("[",Tasks[[#This Row],[_Res3Text]]&amp;"[")-1)),res_Name,0),IFERROR(MATCH(TRIM(LEFT(Tasks[[#This Row],[_Res3Text]],FIND("[",Tasks[[#This Row],[_Res3Text]]&amp;"[")-1)),res_Initials,0),0)))</f>
        <v>0</v>
      </c>
      <c r="DR115" s="43" t="n">
        <f aca="false">IF(Tasks[[#This Row],[_Res4Text]]="",0,IFERROR(MATCH(TRIM(LEFT(Tasks[[#This Row],[_Res4Text]],FIND("[",Tasks[[#This Row],[_Res4Text]]&amp;"[")-1)),res_Name,0),IFERROR(MATCH(TRIM(LEFT(Tasks[[#This Row],[_Res4Text]],FIND("[",Tasks[[#This Row],[_Res4Text]]&amp;"[")-1)),res_Initials,0),0)))</f>
        <v>0</v>
      </c>
      <c r="DS115" s="43" t="str">
        <f aca="false">IF(Tasks[[#This Row],[_Res1Text]]="","",IF(Tasks[[#This Row],[_Res1Row]]&gt;0,INDEX(res_Name,Tasks[[#This Row],[_Res1Row]]),TRIM(LEFT(Tasks[[#This Row],[_Res1Text]],FIND("[",Tasks[[#This Row],[_Res1Text]]&amp;"[")-1))))</f>
        <v/>
      </c>
      <c r="DT1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3" t="n">
        <f aca="false">IF(NOT(Tasks[[#This Row],[_IsLeaf]]=1),0,(Tasks[[#This Row],[_Resource1]]&lt;&gt;"")+(Tasks[[#This Row],[_Res2]]&lt;&gt;"")+(Tasks[[#This Row],[_Res3]]&lt;&gt;"")+(Tasks[[#This Row],[_Res4]]&lt;&gt;""))</f>
        <v>0</v>
      </c>
      <c r="DV115" s="43" t="str">
        <f aca="false">IF(Tasks[[#This Row],[_Res2Text]]="","",IF(Tasks[[#This Row],[_Res2Row]]&gt;0,INDEX(res_Name,Tasks[[#This Row],[_Res2Row]]),TRIM(LEFT(Tasks[[#This Row],[_Res2Text]],FIND("[",Tasks[[#This Row],[_Res2Text]]&amp;"[")-1))))</f>
        <v/>
      </c>
      <c r="DW11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3" t="n">
        <f aca="false">IF(OR(NOT(Tasks[[#This Row],[_IsLeaf]]=1),Tasks[[#This Row],[_Res2Row]]=0),0,N(Tasks[[#This Row],[_Days]])*HoursPerDay*IF(Tasks[[#This Row],[_Res2Units]]="",DefaultUnits,Tasks[[#This Row],[_Res2Units]]))</f>
        <v>0</v>
      </c>
      <c r="DY115" s="43" t="n">
        <f aca="false">IF(AND(AND(Tasks[[#This Row],[_IsLeaf]]=1,Tasks[[#This Row],[_LeafTotalWork]]&gt;0),Tasks[[#This Row],[_Res2Work]]&gt;0),Tasks[[#This Row],[_Res2Work]]/(Tasks[[#This Row],[_FinishWorkday]]-Tasks[[#This Row],[_StartWorkday]]+1),0)</f>
        <v>0</v>
      </c>
      <c r="DZ115" s="43" t="n">
        <f aca="false">Tasks[[#This Row],[_Res2WorkPerWD]]*MAX(0,Tasks[[#This Row],[_StartWorkday]]-1)</f>
        <v>0</v>
      </c>
      <c r="EA115" s="43" t="n">
        <f aca="false">Tasks[[#This Row],[_Res2Work]]*Tasks[[#This Row],[_LeafProgress]]</f>
        <v>0</v>
      </c>
      <c r="EB115" s="43" t="str">
        <f aca="false">IF(Tasks[[#This Row],[_Res3Text]]="","",IF(Tasks[[#This Row],[_Res3Row]]&gt;0,INDEX(res_Name,Tasks[[#This Row],[_Res3Row]]),TRIM(LEFT(Tasks[[#This Row],[_Res3Text]],FIND("[",Tasks[[#This Row],[_Res3Text]]&amp;"[")-1))))</f>
        <v/>
      </c>
      <c r="EC1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3" t="n">
        <f aca="false">IF(OR(NOT(Tasks[[#This Row],[_IsLeaf]]=1),Tasks[[#This Row],[_Res3Row]]=0),0,N(Tasks[[#This Row],[_Days]])*HoursPerDay*IF(Tasks[[#This Row],[_Res3Units]]="",DefaultUnits,Tasks[[#This Row],[_Res3Units]]))</f>
        <v>0</v>
      </c>
      <c r="EE115" s="43" t="n">
        <f aca="false">IF(AND(AND(Tasks[[#This Row],[_IsLeaf]]=1,Tasks[[#This Row],[_LeafTotalWork]]&gt;0),Tasks[[#This Row],[_Res3Work]]&gt;0),Tasks[[#This Row],[_Res3Work]]/(Tasks[[#This Row],[_FinishWorkday]]-Tasks[[#This Row],[_StartWorkday]]+1),0)</f>
        <v>0</v>
      </c>
      <c r="EF115" s="43" t="n">
        <f aca="false">Tasks[[#This Row],[_Res3WorkPerWD]]*MAX(0,Tasks[[#This Row],[_StartWorkday]]-1)</f>
        <v>0</v>
      </c>
      <c r="EG115" s="43" t="n">
        <f aca="false">Tasks[[#This Row],[_Res3Work]]*Tasks[[#This Row],[_LeafProgress]]</f>
        <v>0</v>
      </c>
      <c r="EH115" s="43" t="str">
        <f aca="false">IF(Tasks[[#This Row],[_Res4Text]]="","",IF(Tasks[[#This Row],[_Res4Row]]&gt;0,INDEX(res_Name,Tasks[[#This Row],[_Res4Row]]),TRIM(LEFT(Tasks[[#This Row],[_Res4Text]],FIND("[",Tasks[[#This Row],[_Res4Text]]&amp;"[")-1))))</f>
        <v/>
      </c>
      <c r="EI1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3" t="n">
        <f aca="false">IF(OR(NOT(Tasks[[#This Row],[_IsLeaf]]=1),Tasks[[#This Row],[_Res4Row]]=0),0,N(Tasks[[#This Row],[_Days]])*HoursPerDay*IF(Tasks[[#This Row],[_Res4Units]]="",DefaultUnits,Tasks[[#This Row],[_Res4Units]]))</f>
        <v>0</v>
      </c>
      <c r="EK115" s="43" t="n">
        <f aca="false">IF(AND(AND(Tasks[[#This Row],[_IsLeaf]]=1,Tasks[[#This Row],[_LeafTotalWork]]&gt;0),Tasks[[#This Row],[_Res4Work]]&gt;0),Tasks[[#This Row],[_Res4Work]]/(Tasks[[#This Row],[_FinishWorkday]]-Tasks[[#This Row],[_StartWorkday]]+1),0)</f>
        <v>0</v>
      </c>
      <c r="EL115" s="43" t="n">
        <f aca="false">Tasks[[#This Row],[_Res4WorkPerWD]]*MAX(0,Tasks[[#This Row],[_StartWorkday]]-1)</f>
        <v>0</v>
      </c>
      <c r="EM115" s="43" t="n">
        <f aca="false">Tasks[[#This Row],[_Res4Work]]*Tasks[[#This Row],[_LeafProgress]]</f>
        <v>0</v>
      </c>
      <c r="EN115" s="43" t="n">
        <f aca="false">IF(ISNUMBER(Tasks[[#This Row],[% Complete]]),Tasks[[#This Row],[% Complete]],IF(Tasks[[#This Row],[Stage]]="",0,IFERROR(INDEX(stg_Pct,MATCH(Tasks[[#This Row],[Stage]],stg_Name,0)),0)))</f>
        <v>0</v>
      </c>
      <c r="EO115" s="43" t="n">
        <f aca="false">IF(NOT(Tasks[[#This Row],[_IsLeaf]]=1),0,IF(N(Tasks[[#This Row],[Actual Finish]])&gt;0,1,MIN(1,Tasks[[#This Row],[_Pct]])))</f>
        <v>0</v>
      </c>
      <c r="EP115" s="43" t="n">
        <f aca="false">IF(OR(NOT(Tasks[[#This Row],[_IsLeaf]]=1),Tasks[[#This Row],[_Res1Row]]=0),0,N(Tasks[[#This Row],[_Days]])*HoursPerDay*IF(Tasks[[#This Row],[_Units1]]="",DefaultUnits,Tasks[[#This Row],[_Units1]]))</f>
        <v>0</v>
      </c>
      <c r="EQ115" s="43" t="n">
        <f aca="false">Tasks[[#This Row],[_LeafWork]]+Tasks[[#This Row],[_Res2Work]]+Tasks[[#This Row],[_Res3Work]]+Tasks[[#This Row],[_Res4Work]]</f>
        <v>0</v>
      </c>
      <c r="ER11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3" t="n">
        <f aca="false">IF(NOT(Tasks[[#This Row],[_IsLeaf]]=1),0,MAX(_xlfn.MAXIFS(Tasks[_Row],Tasks[_Pred1UID],Tasks[[#This Row],[UID]]),_xlfn.MAXIFS(Tasks[_Row],Tasks[_Pred2UID],Tasks[[#This Row],[UID]]),_xlfn.MAXIFS(Tasks[_Row],Tasks[_Pred3UID],Tasks[[#This Row],[UID]]),_xlfn.MAXIFS(Tasks[_Row],Tasks[_Pred4UID],Tasks[[#This Row],[UID]])))</f>
        <v>0</v>
      </c>
      <c r="FA11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91" t="str">
        <f aca="false">IF(NOT(Tasks[[#This Row],[_IsLeaf]]=1),"",IF(N(Tasks[[#This Row],[_Days]])&lt;=0,Tasks[[#This Row],[_LeafLateFinish]],WORKDAY.INTL(Tasks[[#This Row],[_LeafLateFinish]],-(Tasks[[#This Row],[_Days]]-1),WorkWeek,Holidays)))</f>
        <v/>
      </c>
      <c r="FD11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5" s="90" t="b">
        <f aca="false">AND(Tasks[[#This Row],[_IsLeaf]]=1,Tasks[[#This Row],[_LeafProgress]]&lt;1,N(Tasks[[#This Row],[_LeafTotalSlack]])&lt;=CriticalSlackDays)</f>
        <v>0</v>
      </c>
      <c r="FF115" s="43" t="n">
        <f aca="false">IF(AND(Tasks[[#This Row],[_IsLeaf]]=1,Tasks[[#This Row],[_ConstraintCode]]=1,Tasks[[#This Row],[Mode]]&lt;&gt;"Manual",N(Tasks[[#This Row],[Actual Start]])=0),MAX(0,N(Tasks[[#This Row],[Free Slack]])),0)</f>
        <v>0</v>
      </c>
      <c r="FG115" s="91" t="str">
        <f aca="false">IF(NOT(Tasks[[#This Row],[_IsLeaf]]=1),"",IF(Tasks[[#This Row],[_AlapShift]]=0,Tasks[[#This Row],[_LeafCalcStart]],WORKDAY.INTL(Tasks[[#This Row],[_LeafCalcStart]],Tasks[[#This Row],[_AlapShift]],WorkWeek,Holidays)))</f>
        <v/>
      </c>
      <c r="FH115" s="91" t="str">
        <f aca="false">IF(NOT(Tasks[[#This Row],[_IsLeaf]]=1),"",IF(Tasks[[#This Row],[_AlapShift]]=0,Tasks[[#This Row],[_LeafCalcFinish]],WORKDAY.INTL(Tasks[[#This Row],[_LeafCalcFinish]],Tasks[[#This Row],[_AlapShift]],WorkWeek,Holidays)))</f>
        <v/>
      </c>
      <c r="FI115" s="91" t="str">
        <f aca="false">IF(NOT(Tasks[[#This Row],[_IsLeaf]]=1),"",IF(Tasks[[#This Row],[_AlapShift]]=0,Tasks[[#This Row],[_LeafFcstStart]],WORKDAY.INTL(Tasks[[#This Row],[_LeafFcstStart]],Tasks[[#This Row],[_AlapShift]],WorkWeek,Holidays)))</f>
        <v/>
      </c>
      <c r="FJ115" s="91" t="str">
        <f aca="false">IF(NOT(Tasks[[#This Row],[_IsLeaf]]=1),"",IF(Tasks[[#This Row],[_AlapShift]]=0,Tasks[[#This Row],[_LeafFcstFinish]],WORKDAY.INTL(Tasks[[#This Row],[_LeafFcstFinish]],Tasks[[#This Row],[_AlapShift]],WorkWeek,Holidays)))</f>
        <v/>
      </c>
      <c r="FK115" s="91" t="str">
        <f aca="false">IF(Tasks[[#This Row],[Task Name]]="","",IF(Tasks[[#This Row],[_IsSummary]],MIN(INDEX(Tasks[_ShownCalcStart],Tasks[[#This Row],[_Row]]+1):INDEX(Tasks[_ShownCalcStart],Tasks[[#This Row],[_Row]]+Tasks[[#This Row],[_Descendants]])),Tasks[[#This Row],[_ShownCalcStart]]))</f>
        <v/>
      </c>
      <c r="FL115" s="91" t="str">
        <f aca="false">IF(Tasks[[#This Row],[Task Name]]="","",IF(Tasks[[#This Row],[_IsSummary]],MAX(INDEX(Tasks[_ShownCalcFinish],Tasks[[#This Row],[_Row]]+1):INDEX(Tasks[_ShownCalcFinish],Tasks[[#This Row],[_Row]]+Tasks[[#This Row],[_Descendants]])),Tasks[[#This Row],[_ShownCalcFinish]]))</f>
        <v/>
      </c>
      <c r="FM1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5" s="43" t="n">
        <f aca="false">IF(AND(Tasks[[#This Row],[_IsLeaf]]=1,Tasks[[#This Row],[_LeafTotalWork]]&gt;0),NETWORKDAYS.INTL(ProjectStart,Tasks[[#This Row],[_ShownFcstStart]],WorkWeek,Holidays),0)</f>
        <v>0</v>
      </c>
      <c r="FZ115" s="43" t="n">
        <f aca="false">IF(AND(Tasks[[#This Row],[_IsLeaf]]=1,Tasks[[#This Row],[_LeafTotalWork]]&gt;0),MAX(Tasks[[#This Row],[_StartWorkday]],NETWORKDAYS.INTL(ProjectStart,Tasks[[#This Row],[_ShownFcstFinish]],WorkWeek,Holidays)),0)</f>
        <v>0</v>
      </c>
      <c r="GA115" s="43" t="n">
        <f aca="false">IF(AND(Tasks[[#This Row],[_IsLeaf]]=1,Tasks[[#This Row],[_LeafTotalWork]]&gt;0),Tasks[[#This Row],[_LeafWork]]/(Tasks[[#This Row],[_FinishWorkday]]-Tasks[[#This Row],[_StartWorkday]]+1),0)</f>
        <v>0</v>
      </c>
      <c r="GB115" s="43" t="n">
        <f aca="false">Tasks[[#This Row],[_WorkPerWorkday]]*(Tasks[[#This Row],[_StartWorkday]]-1)</f>
        <v>-0</v>
      </c>
      <c r="GC115" s="43" t="n">
        <f aca="false">IF(Tasks[[#This Row],[_IsLeaf]]=1,MAX(N(Tasks[[#This Row],[_Days]]),0.1),0)</f>
        <v>0</v>
      </c>
      <c r="GD115" s="43" t="n">
        <f aca="false">Tasks[[#This Row],[_WeightDur]]*Tasks[[#This Row],[_LeafProgress]]</f>
        <v>0</v>
      </c>
      <c r="GE115" s="43" t="n">
        <f aca="false">Tasks[[#This Row],[_WeightDur]]*Tasks[[#This Row],[_PlannedPct]]</f>
        <v>0</v>
      </c>
      <c r="GF1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3" t="str">
        <f aca="false">IF(AND(Tasks[[#This Row],[_IsLeaf]]=1,N(Tasks[[#This Row],[_Days]])=0,Tasks[[#This Row],[_LeafProgress]]&lt;1),Tasks[[#This Row],[_ShownFcstFinish]]+Tasks[[#This Row],[_Row]]/100000,"")</f>
        <v/>
      </c>
      <c r="GH1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5" s="43" t="str">
        <f aca="false">IF(Tasks[[#This Row],[Task Name]]="","",LEFT(Tasks[[#This Row],[WBS]],FIND(".",Tasks[[#This Row],[WBS]]&amp;".")-1))</f>
        <v/>
      </c>
      <c r="GJ115" s="43" t="str">
        <f aca="false">IF(AND(Tasks[[#This Row],[Task Name]]&lt;&gt;"",Tasks[[#This Row],[_Level]]=1),Tasks[[#This Row],[_Row]],"")</f>
        <v/>
      </c>
      <c r="GK115" s="43" t="str">
        <f aca="false">IF(AND(Tasks[[#This Row],[_IsLeaf]]=1,N(Tasks[[#This Row],[_Days]])=0),Tasks[[#This Row],[Planned Finish]]+Tasks[[#This Row],[_Row]]/100000,"")</f>
        <v/>
      </c>
      <c r="GL115" s="43" t="str">
        <f aca="false">IF(AND(Tasks[[#This Row],[_IsLeaf]]=1,Tasks[[#This Row],[_LeafProgress]]&lt;1,OR(N(Tasks[[#This Row],[Finish Var]])&gt;0,Tasks[[#This Row],[Status]]="Late Start")),MAX(0,Tasks[[#This Row],[Finish Var]])+1-Tasks[[#This Row],[_Row]]/1000000,"")</f>
        <v/>
      </c>
      <c r="GM115" s="43" t="str">
        <f aca="false">IF(AND(Tasks[[#This Row],[_IsLeaf]]=1,N(Tasks[[#This Row],[Actual Start]])=0,Tasks[[#This Row],[_ShownFcstStart]]&gt;=StatusDate,Tasks[[#This Row],[_ShownFcstStart]]&lt;=LookaheadEnd),Tasks[[#This Row],[_ShownFcstStart]]+Tasks[[#This Row],[_Row]]/100000,"")</f>
        <v/>
      </c>
      <c r="GN115" s="43" t="str">
        <f aca="false">IF(AND(Tasks[[#This Row],[_IsLeaf]]=1,Tasks[[#This Row],[_LeafProgress]]&lt;1,Tasks[[#This Row],[_ShownFcstFinish]]&gt;=StatusDate,Tasks[[#This Row],[_ShownFcstFinish]]&lt;=LookaheadEnd),Tasks[[#This Row],[_ShownFcstFinish]]+Tasks[[#This Row],[_Row]]/100000,"")</f>
        <v/>
      </c>
      <c r="GO115" s="43" t="str">
        <f aca="false">IF(Tasks[[#This Row],[_LeafCritical]],Tasks[[#This Row],[_ShownFcstStart]]+Tasks[[#This Row],[_Row]]/100000,"")</f>
        <v/>
      </c>
      <c r="GP115" s="43" t="n">
        <f aca="false">Tasks[[#This Row],[_LeafWork]]*Tasks[[#This Row],[_LeafProgress]]</f>
        <v>0</v>
      </c>
      <c r="GQ115" s="91" t="str">
        <f aca="false">IF(AND(Tasks[[#This Row],[_IsLeaf]]=1,Tasks[[#This Row],[_LeafProgress]]&gt;=1),IF(N(Tasks[[#This Row],[Actual Finish]])&gt;0,Tasks[[#This Row],[Actual Finish]],Tasks[[#This Row],[_ShownFcstFinish]]),"")</f>
        <v/>
      </c>
      <c r="GR115" s="43" t="n">
        <f aca="false">IF(Tasks[[#This Row],[_IsLeaf]]=1,N(Tasks[[#This Row],[Story Points]]),0)</f>
        <v>0</v>
      </c>
      <c r="GS115" s="43" t="str">
        <f aca="false">""</f>
        <v/>
      </c>
      <c r="GT115" s="90" t="b">
        <f aca="false">IF(Tasks[[#This Row],[Task Name]]="",FALSE(),AND(Tasks[[#This Row],[_IsLeaf]]=1,N(Tasks[[#This Row],[_Days]])=0))</f>
        <v>0</v>
      </c>
      <c r="GU115" s="91" t="n">
        <f aca="false">IF(Tasks[[#This Row],[Task Name]]="",0,IF(AND(Tasks[[#This Row],[_IsLeaf]]=1,NOT(Tasks[[#This Row],[_IsMilestone]]),N(Tasks[[#This Row],[Progress]])&gt;0),Tasks[[#This Row],[Start]],0))</f>
        <v>0</v>
      </c>
      <c r="GV115" s="91" t="n">
        <f aca="false">IF(Tasks[[#This Row],[_DoneFrom]]=0,0,IF(Tasks[[#This Row],[Progress]]&gt;=1,Tasks[[#This Row],[Finish]],MAX(Tasks[[#This Row],[_DoneFrom]],Tasks[[#This Row],[Start]]+ROUND((Tasks[[#This Row],[Finish]]-Tasks[[#This Row],[Start]]+1)*Tasks[[#This Row],[Progress]],0)-1)))</f>
        <v>0</v>
      </c>
      <c r="GW115" s="91" t="n">
        <f aca="false">IF(Tasks[[#This Row],[Task Name]]="",0,IF(OR(NOT(Tasks[[#This Row],[_IsLeaf]]=1),Tasks[[#This Row],[_IsMilestone]],N(Tasks[[#This Row],[Progress]])&gt;=1),0,IF(Tasks[[#This Row],[_DoneTo]]&gt;0,Tasks[[#This Row],[_DoneTo]]+1,Tasks[[#This Row],[Start]])))</f>
        <v>0</v>
      </c>
      <c r="GX115" s="91" t="n">
        <f aca="false">IF(Tasks[[#This Row],[_RemFrom]]=0,0,Tasks[[#This Row],[Finish]])</f>
        <v>0</v>
      </c>
      <c r="GY115" s="90" t="b">
        <f aca="false">IF(Tasks[[#This Row],[Task Name]]="",FALSE(),OR(NOT(BaselineSet),N(Tasks[[#This Row],[Baseline Start]])&gt;0))</f>
        <v>0</v>
      </c>
      <c r="GZ11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92" t="str">
        <f aca="false">IF(Tasks[[#This Row],[_IsLeaf]]=1,Tasks[[#This Row],[_Row]],"")</f>
        <v/>
      </c>
      <c r="HD115" s="92" t="str">
        <f aca="false">IFERROR(INDEX(Tasks[UID],SMALL(Tasks[_PickKey],Tasks[[#This Row],[_Row]]))&amp;" "&amp;INDEX(Tasks[Task Name],SMALL(Tasks[_PickKey],Tasks[[#This Row],[_Row]])),"")</f>
        <v/>
      </c>
      <c r="HE115" s="43" t="str">
        <f aca="false">IF(Tasks[[#This Row],[Task Name]]="","",IF(Tasks[[#This Row],[_IsSummary]],NETWORKDAYS.INTL(Tasks[[#This Row],[Start]],Tasks[[#This Row],[Finish]],WorkWeek,Holidays),N(Tasks[[#This Row],[_Days]])))</f>
        <v/>
      </c>
      <c r="HF115" s="43" t="n">
        <f aca="false">IF(Tasks[[#This Row],[Expected]]="",0,((Tasks[[#This Row],[Pessimistic]]-Tasks[[#This Row],[Optimistic]])/6)^2)</f>
        <v>0</v>
      </c>
      <c r="HG115" s="43" t="n">
        <f aca="false">IF(Tasks[[#This Row],[Expected]]="",0,Tasks[[#This Row],[Expected]]-N(Tasks[[#This Row],[_Days]]))</f>
        <v>0</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4"/>
      <c r="U116" s="23"/>
      <c r="V116" s="84"/>
      <c r="W116" s="23"/>
      <c r="X116" s="84"/>
      <c r="Y116" s="23"/>
      <c r="Z116" s="84"/>
      <c r="AA116" s="23"/>
      <c r="AB116" s="23"/>
      <c r="AC116" s="7"/>
      <c r="AD116" s="7"/>
      <c r="AE116" s="63" t="str">
        <f aca="false">IF(Tasks[[#This Row],[Task Name]]="","",IF(Tasks[[#This Row],[_IsSummary]],MIN(INDEX(Tasks[_ShownFcstStart],Tasks[[#This Row],[_Row]]+1):INDEX(Tasks[_ShownFcstStart],Tasks[[#This Row],[_Row]]+Tasks[[#This Row],[_Descendants]])),Tasks[[#This Row],[_ShownFcstStart]]))</f>
        <v/>
      </c>
      <c r="AF116" s="63"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6" s="7"/>
      <c r="AK116" s="22"/>
      <c r="AL116" s="23"/>
      <c r="AM116" s="7"/>
      <c r="AN116" s="47"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3" t="str">
        <f aca="false">IF(Tasks[[#This Row],[Task Name]]="","",IF(N(Tasks[[#This Row],[Baseline Start]])&gt;0,Tasks[[#This Row],[Baseline Start]],Tasks[[#This Row],[_CalcStart]]))</f>
        <v/>
      </c>
      <c r="AR116" s="63" t="str">
        <f aca="false">IF(Tasks[[#This Row],[Task Name]]="","",IF(N(Tasks[[#This Row],[Baseline Finish]])&gt;0,Tasks[[#This Row],[Baseline Finish]],Tasks[[#This Row],[_CalcFinish]]))</f>
        <v/>
      </c>
      <c r="AS116" s="47" t="str">
        <f aca="false">IF(Tasks[[#This Row],[Task Name]]="","",IF(Tasks[[#This Row],[Start]]&gt;=Tasks[[#This Row],[Planned Start]],NETWORKDAYS.INTL(Tasks[[#This Row],[Planned Start]],Tasks[[#This Row],[Start]],WorkWeek,Holidays)-1,1-NETWORKDAYS.INTL(Tasks[[#This Row],[Start]],Tasks[[#This Row],[Planned Start]],WorkWeek,Holidays)))</f>
        <v/>
      </c>
      <c r="AT116" s="63" t="str">
        <f aca="false">IF(Tasks[[#This Row],[Task Name]]="","",IF(Tasks[[#This Row],[_IsSummary]],MIN(INDEX(Tasks[_LeafLateStart],Tasks[[#This Row],[_Row]]+1):INDEX(Tasks[_LeafLateStart],Tasks[[#This Row],[_Row]]+Tasks[[#This Row],[_Descendants]])),Tasks[[#This Row],[_LeafLateStart]]))</f>
        <v/>
      </c>
      <c r="AU116" s="63" t="str">
        <f aca="false">IF(Tasks[[#This Row],[Task Name]]="","",IF(Tasks[[#This Row],[_IsSummary]],MAX(INDEX(Tasks[_LeafLateFinish],Tasks[[#This Row],[_Row]]+1):INDEX(Tasks[_LeafLateFinish],Tasks[[#This Row],[_Row]]+Tasks[[#This Row],[_Descendants]])),Tasks[[#This Row],[_LeafLateFinish]]))</f>
        <v/>
      </c>
      <c r="AV116" s="47"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5"/>
      <c r="BA11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6"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7"/>
      <c r="BJ116" s="22"/>
      <c r="BK116" s="47" t="str">
        <f aca="false">IF(OR(Tasks[[#This Row],[Task Name]]="",Tasks[[#This Row],[Baseline Duration]]=""),"",Tasks[[#This Row],[_SpanDays]]-N(Tasks[[#This Row],[Baseline Duration]]))</f>
        <v/>
      </c>
      <c r="BL116" s="86" t="str">
        <f aca="false">IF(OR(Tasks[[#This Row],[Task Name]]="",Tasks[[#This Row],[Baseline Work]]=""),"",Tasks[[#This Row],[Work]]-N(Tasks[[#This Row],[Baseline Work]]))</f>
        <v/>
      </c>
      <c r="BM116" s="63" t="str">
        <f aca="false">IF(Tasks[[#This Row],[Task Name]]="","",IF(OR(TakeBaseline="Yes",N(Tasks[[#This Row],[Baseline Start]])=0),Tasks[[#This Row],[Start]],Tasks[[#This Row],[Baseline Start]]))</f>
        <v/>
      </c>
      <c r="BN116" s="63" t="str">
        <f aca="false">IF(Tasks[[#This Row],[Task Name]]="","",IF(OR(TakeBaseline="Yes",N(Tasks[[#This Row],[Baseline Finish]])=0),Tasks[[#This Row],[Finish]],Tasks[[#This Row],[Baseline Finish]]))</f>
        <v/>
      </c>
      <c r="BO116" s="21" t="str">
        <f aca="false">IF(Tasks[[#This Row],[Task Name]]="","",IF(OR(TakeBaseline="Yes",N(Tasks[[#This Row],[Baseline Duration]])=0),Tasks[[#This Row],[_SpanDays]],Tasks[[#This Row],[Baseline Duration]]))</f>
        <v/>
      </c>
      <c r="BP116" s="86" t="str">
        <f aca="false">IF(Tasks[[#This Row],[Task Name]]="","",IF(OR(TakeBaseline="Yes",N(Tasks[[#This Row],[Baseline Work]])=0),Tasks[[#This Row],[Work]],Tasks[[#This Row],[Baseline Work]]))</f>
        <v/>
      </c>
      <c r="BQ116" s="7"/>
      <c r="BR116" s="7"/>
      <c r="BS116" s="22"/>
      <c r="BT116" s="88"/>
      <c r="BU116" s="23"/>
      <c r="BV116" s="23"/>
      <c r="BW116" s="23"/>
      <c r="BX116" s="89" t="str">
        <f aca="false">IF(AND(Tasks[[#This Row],[_IsLeaf]]=1,ISNUMBER(Tasks[[#This Row],[Optimistic]]),ISNUMBER(Tasks[[#This Row],[Pessimistic]])),ROUND((Tasks[[#This Row],[Optimistic]]+4*N(Tasks[[#This Row],[_Days]])+Tasks[[#This Row],[Pessimistic]])/6,1),"")</f>
        <v/>
      </c>
      <c r="BY116" s="87"/>
      <c r="BZ116" s="87"/>
      <c r="CA116" s="22"/>
      <c r="CB116" s="43" t="str">
        <f aca="false">IF(Tasks[[#This Row],[Task Name]]="","",MAX(1,N(Tasks[[#This Row],[Level]])))</f>
        <v/>
      </c>
      <c r="CC116" s="43" t="n">
        <f aca="false">ROW()-ROW(Tasks[[#Headers],[ID]])</f>
        <v>111</v>
      </c>
      <c r="CD116" s="43" t="n">
        <f aca="false">IF(OR(Tasks[[#This Row],[Task Name]]="",Tasks[[#This Row],[_Level]]&lt;=1),0,IFERROR(LOOKUP(2,1/(Tasks[[#Headers],[_Level]]:Tasks[[#This Row],[_Level]]=Tasks[[#This Row],[_Level]]-1),ROW(Tasks[[#Headers],[_Level]]:Tasks[[#This Row],[_Level]])),0))</f>
        <v>0</v>
      </c>
      <c r="CE116" s="43" t="n">
        <f aca="false">IFERROR(N(INDEX(Tasks[_Level],Tasks[[#This Row],[_Row]]+1)),0)</f>
        <v>0</v>
      </c>
      <c r="CF116" s="90" t="b">
        <f aca="false">AND(Tasks[[#This Row],[Task Name]]&lt;&gt;"",Tasks[[#This Row],[_NextLevel]]&gt;Tasks[[#This Row],[_Level]])</f>
        <v>0</v>
      </c>
      <c r="CG116" s="43" t="n">
        <f aca="false">IF(Tasks[[#This Row],[_IsSummary]],COUNTIF(Tasks[WBS],Tasks[[#This Row],[WBS]]&amp;".*"),0)</f>
        <v>0</v>
      </c>
      <c r="CH116" s="43" t="n">
        <f aca="false">IF(AND(Tasks[[#This Row],[Task Name]]&lt;&gt;"",NOT(Tasks[[#This Row],[_IsSummary]])),1,0)</f>
        <v>0</v>
      </c>
      <c r="CI116" s="43" t="n">
        <f aca="false">IF(N(Tasks[[#This Row],[_Pred1UID]])=0,0,IFERROR(MATCH(Tasks[[#This Row],[_Pred1UID]],Tasks[UID],0),-1))</f>
        <v>0</v>
      </c>
      <c r="CJ116" s="43" t="n">
        <f aca="false">IF(N(Tasks[[#This Row],[_Pred2UID]])=0,0,IFERROR(MATCH(Tasks[[#This Row],[_Pred2UID]],Tasks[UID],0),-1))</f>
        <v>0</v>
      </c>
      <c r="CK116" s="43" t="n">
        <f aca="false">IF(N(Tasks[[#This Row],[_Pred3UID]])=0,0,IFERROR(MATCH(Tasks[[#This Row],[_Pred3UID]],Tasks[UID],0),-1))</f>
        <v>0</v>
      </c>
      <c r="CL116" s="43" t="n">
        <f aca="false">IF(N(Tasks[[#This Row],[_Pred4UID]])=0,0,IFERROR(MATCH(Tasks[[#This Row],[_Pred4UID]],Tasks[UID],0),-1))</f>
        <v>0</v>
      </c>
      <c r="CM11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6" s="91" t="n">
        <f aca="false">IF(OR(Tasks[[#This Row],[_ConstraintCode]]=2,Tasks[[#This Row],[_ConstraintCode]]=3,Tasks[[#This Row],[_ConstraintCode]]=4,Tasks[[#This Row],[_ConstraintCode]]=6),Tasks[[#This Row],[_ConstraintStart]],0)</f>
        <v>0</v>
      </c>
      <c r="CP116" s="91" t="n">
        <f aca="false">IF(OR(Tasks[[#This Row],[_ConstraintCode]]=2,Tasks[[#This Row],[_ConstraintCode]]=3,Tasks[[#This Row],[_ConstraintCode]]=5,Tasks[[#This Row],[_ConstraintCode]]=7),Tasks[[#This Row],[_ConstraintStart]],2958465)</f>
        <v>2958465</v>
      </c>
      <c r="CQ11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91" t="str">
        <f aca="false">IF(NOT(Tasks[[#This Row],[_IsLeaf]]=1),"",IF(N(Tasks[[#This Row],[_Days]])&lt;=0,Tasks[[#This Row],[_LeafCalcStart]],WORKDAY.INTL(Tasks[[#This Row],[_LeafCalcStart]],Tasks[[#This Row],[_Days]]-1,WorkWeek,Holidays)))</f>
        <v/>
      </c>
      <c r="CS11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3" t="str">
        <f aca="false">IF(Tasks[[#This Row],[_Predecessors]]="","",TRIM(MID(SUBSTITUTE(SUBSTITUTE(SUBSTITUTE(UPPER(Tasks[[#This Row],[_Predecessors]]),";",",")," ",""),",",REPT(" ",99)),1,99)))</f>
        <v/>
      </c>
      <c r="CV116" s="43" t="str">
        <f aca="false">IF(Tasks[[#This Row],[_Pred1Text]]="","",IFERROR(VALUE(LEFT(Tasks[[#This Row],[_Pred1Text]],MIN(FIND("F",Tasks[[#This Row],[_Pred1Text]]&amp;"F"),FIND("S",Tasks[[#This Row],[_Pred1Text]]&amp;"S"),FIND("+",Tasks[[#This Row],[_Pred1Text]]&amp;"+"),FIND("-",Tasks[[#This Row],[_Pred1Text]]&amp;"-"))-1)),""))</f>
        <v/>
      </c>
      <c r="CW1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3" t="str">
        <f aca="false">IF(Tasks[[#This Row],[_Pred1Text]]="","",TRIM(MID(SUBSTITUTE(SUBSTITUTE(SUBSTITUTE(UPPER(Tasks[[#This Row],[_Predecessors]]),";",",")," ",""),",",REPT(" ",99)),100,99)))</f>
        <v/>
      </c>
      <c r="CZ116" s="43" t="str">
        <f aca="false">IF(Tasks[[#This Row],[_Pred2Text]]="","",IFERROR(VALUE(LEFT(Tasks[[#This Row],[_Pred2Text]],MIN(FIND("F",Tasks[[#This Row],[_Pred2Text]]&amp;"F"),FIND("S",Tasks[[#This Row],[_Pred2Text]]&amp;"S"),FIND("+",Tasks[[#This Row],[_Pred2Text]]&amp;"+"),FIND("-",Tasks[[#This Row],[_Pred2Text]]&amp;"-"))-1)),""))</f>
        <v/>
      </c>
      <c r="DA1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3" t="str">
        <f aca="false">IF(Tasks[[#This Row],[_Pred2Text]]="","",TRIM(MID(SUBSTITUTE(SUBSTITUTE(SUBSTITUTE(UPPER(Tasks[[#This Row],[_Predecessors]]),";",",")," ",""),",",REPT(" ",99)),199,99)))</f>
        <v/>
      </c>
      <c r="DD116" s="43" t="str">
        <f aca="false">IF(Tasks[[#This Row],[_Pred3Text]]="","",IFERROR(VALUE(LEFT(Tasks[[#This Row],[_Pred3Text]],MIN(FIND("F",Tasks[[#This Row],[_Pred3Text]]&amp;"F"),FIND("S",Tasks[[#This Row],[_Pred3Text]]&amp;"S"),FIND("+",Tasks[[#This Row],[_Pred3Text]]&amp;"+"),FIND("-",Tasks[[#This Row],[_Pred3Text]]&amp;"-"))-1)),""))</f>
        <v/>
      </c>
      <c r="DE1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3" t="str">
        <f aca="false">IF(Tasks[[#This Row],[_Pred3Text]]="","",TRIM(MID(SUBSTITUTE(SUBSTITUTE(SUBSTITUTE(UPPER(Tasks[[#This Row],[_Predecessors]]),";",",")," ",""),",",REPT(" ",99)),298,99)))</f>
        <v/>
      </c>
      <c r="DH116" s="43" t="str">
        <f aca="false">IF(Tasks[[#This Row],[_Pred4Text]]="","",IFERROR(VALUE(LEFT(Tasks[[#This Row],[_Pred4Text]],MIN(FIND("F",Tasks[[#This Row],[_Pred4Text]]&amp;"F"),FIND("S",Tasks[[#This Row],[_Pred4Text]]&amp;"S"),FIND("+",Tasks[[#This Row],[_Pred4Text]]&amp;"+"),FIND("-",Tasks[[#This Row],[_Pred4Text]]&amp;"-"))-1)),""))</f>
        <v/>
      </c>
      <c r="DI1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3" t="str">
        <f aca="false">IF(OR(Tasks[[#This Row],[Task Name]]="",Tasks[[#This Row],[_Resources]]=""),"",TRIM(MID(SUBSTITUTE(Tasks[[#This Row],[_Resources]],",",REPT(" ",99)),1,99)))</f>
        <v/>
      </c>
      <c r="DL116" s="43" t="str">
        <f aca="false">IF(Tasks[[#This Row],[_Res1Text]]="","",TRIM(MID(SUBSTITUTE(Tasks[[#This Row],[_Resources]],",",REPT(" ",99)),100,99)))</f>
        <v/>
      </c>
      <c r="DM116" s="43" t="str">
        <f aca="false">IF(Tasks[[#This Row],[_Res2Text]]="","",TRIM(MID(SUBSTITUTE(Tasks[[#This Row],[_Resources]],",",REPT(" ",99)),199,99)))</f>
        <v/>
      </c>
      <c r="DN116" s="43" t="str">
        <f aca="false">IF(Tasks[[#This Row],[_Res3Text]]="","",TRIM(MID(SUBSTITUTE(Tasks[[#This Row],[_Resources]],",",REPT(" ",99)),298,99)))</f>
        <v/>
      </c>
      <c r="DO116" s="43" t="n">
        <f aca="false">IF(Tasks[[#This Row],[_Res1Text]]="",0,IFERROR(MATCH(TRIM(LEFT(Tasks[[#This Row],[_Res1Text]],FIND("[",Tasks[[#This Row],[_Res1Text]]&amp;"[")-1)),res_Name,0),IFERROR(MATCH(TRIM(LEFT(Tasks[[#This Row],[_Res1Text]],FIND("[",Tasks[[#This Row],[_Res1Text]]&amp;"[")-1)),res_Initials,0),0)))</f>
        <v>0</v>
      </c>
      <c r="DP116" s="43" t="n">
        <f aca="false">IF(Tasks[[#This Row],[_Res2Text]]="",0,IFERROR(MATCH(TRIM(LEFT(Tasks[[#This Row],[_Res2Text]],FIND("[",Tasks[[#This Row],[_Res2Text]]&amp;"[")-1)),res_Name,0),IFERROR(MATCH(TRIM(LEFT(Tasks[[#This Row],[_Res2Text]],FIND("[",Tasks[[#This Row],[_Res2Text]]&amp;"[")-1)),res_Initials,0),0)))</f>
        <v>0</v>
      </c>
      <c r="DQ116" s="43" t="n">
        <f aca="false">IF(Tasks[[#This Row],[_Res3Text]]="",0,IFERROR(MATCH(TRIM(LEFT(Tasks[[#This Row],[_Res3Text]],FIND("[",Tasks[[#This Row],[_Res3Text]]&amp;"[")-1)),res_Name,0),IFERROR(MATCH(TRIM(LEFT(Tasks[[#This Row],[_Res3Text]],FIND("[",Tasks[[#This Row],[_Res3Text]]&amp;"[")-1)),res_Initials,0),0)))</f>
        <v>0</v>
      </c>
      <c r="DR116" s="43" t="n">
        <f aca="false">IF(Tasks[[#This Row],[_Res4Text]]="",0,IFERROR(MATCH(TRIM(LEFT(Tasks[[#This Row],[_Res4Text]],FIND("[",Tasks[[#This Row],[_Res4Text]]&amp;"[")-1)),res_Name,0),IFERROR(MATCH(TRIM(LEFT(Tasks[[#This Row],[_Res4Text]],FIND("[",Tasks[[#This Row],[_Res4Text]]&amp;"[")-1)),res_Initials,0),0)))</f>
        <v>0</v>
      </c>
      <c r="DS116" s="43" t="str">
        <f aca="false">IF(Tasks[[#This Row],[_Res1Text]]="","",IF(Tasks[[#This Row],[_Res1Row]]&gt;0,INDEX(res_Name,Tasks[[#This Row],[_Res1Row]]),TRIM(LEFT(Tasks[[#This Row],[_Res1Text]],FIND("[",Tasks[[#This Row],[_Res1Text]]&amp;"[")-1))))</f>
        <v/>
      </c>
      <c r="DT1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3" t="n">
        <f aca="false">IF(NOT(Tasks[[#This Row],[_IsLeaf]]=1),0,(Tasks[[#This Row],[_Resource1]]&lt;&gt;"")+(Tasks[[#This Row],[_Res2]]&lt;&gt;"")+(Tasks[[#This Row],[_Res3]]&lt;&gt;"")+(Tasks[[#This Row],[_Res4]]&lt;&gt;""))</f>
        <v>0</v>
      </c>
      <c r="DV116" s="43" t="str">
        <f aca="false">IF(Tasks[[#This Row],[_Res2Text]]="","",IF(Tasks[[#This Row],[_Res2Row]]&gt;0,INDEX(res_Name,Tasks[[#This Row],[_Res2Row]]),TRIM(LEFT(Tasks[[#This Row],[_Res2Text]],FIND("[",Tasks[[#This Row],[_Res2Text]]&amp;"[")-1))))</f>
        <v/>
      </c>
      <c r="DW1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3" t="n">
        <f aca="false">IF(OR(NOT(Tasks[[#This Row],[_IsLeaf]]=1),Tasks[[#This Row],[_Res2Row]]=0),0,N(Tasks[[#This Row],[_Days]])*HoursPerDay*IF(Tasks[[#This Row],[_Res2Units]]="",DefaultUnits,Tasks[[#This Row],[_Res2Units]]))</f>
        <v>0</v>
      </c>
      <c r="DY116" s="43" t="n">
        <f aca="false">IF(AND(AND(Tasks[[#This Row],[_IsLeaf]]=1,Tasks[[#This Row],[_LeafTotalWork]]&gt;0),Tasks[[#This Row],[_Res2Work]]&gt;0),Tasks[[#This Row],[_Res2Work]]/(Tasks[[#This Row],[_FinishWorkday]]-Tasks[[#This Row],[_StartWorkday]]+1),0)</f>
        <v>0</v>
      </c>
      <c r="DZ116" s="43" t="n">
        <f aca="false">Tasks[[#This Row],[_Res2WorkPerWD]]*MAX(0,Tasks[[#This Row],[_StartWorkday]]-1)</f>
        <v>0</v>
      </c>
      <c r="EA116" s="43" t="n">
        <f aca="false">Tasks[[#This Row],[_Res2Work]]*Tasks[[#This Row],[_LeafProgress]]</f>
        <v>0</v>
      </c>
      <c r="EB116" s="43" t="str">
        <f aca="false">IF(Tasks[[#This Row],[_Res3Text]]="","",IF(Tasks[[#This Row],[_Res3Row]]&gt;0,INDEX(res_Name,Tasks[[#This Row],[_Res3Row]]),TRIM(LEFT(Tasks[[#This Row],[_Res3Text]],FIND("[",Tasks[[#This Row],[_Res3Text]]&amp;"[")-1))))</f>
        <v/>
      </c>
      <c r="EC1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3" t="n">
        <f aca="false">IF(OR(NOT(Tasks[[#This Row],[_IsLeaf]]=1),Tasks[[#This Row],[_Res3Row]]=0),0,N(Tasks[[#This Row],[_Days]])*HoursPerDay*IF(Tasks[[#This Row],[_Res3Units]]="",DefaultUnits,Tasks[[#This Row],[_Res3Units]]))</f>
        <v>0</v>
      </c>
      <c r="EE116" s="43" t="n">
        <f aca="false">IF(AND(AND(Tasks[[#This Row],[_IsLeaf]]=1,Tasks[[#This Row],[_LeafTotalWork]]&gt;0),Tasks[[#This Row],[_Res3Work]]&gt;0),Tasks[[#This Row],[_Res3Work]]/(Tasks[[#This Row],[_FinishWorkday]]-Tasks[[#This Row],[_StartWorkday]]+1),0)</f>
        <v>0</v>
      </c>
      <c r="EF116" s="43" t="n">
        <f aca="false">Tasks[[#This Row],[_Res3WorkPerWD]]*MAX(0,Tasks[[#This Row],[_StartWorkday]]-1)</f>
        <v>0</v>
      </c>
      <c r="EG116" s="43" t="n">
        <f aca="false">Tasks[[#This Row],[_Res3Work]]*Tasks[[#This Row],[_LeafProgress]]</f>
        <v>0</v>
      </c>
      <c r="EH116" s="43" t="str">
        <f aca="false">IF(Tasks[[#This Row],[_Res4Text]]="","",IF(Tasks[[#This Row],[_Res4Row]]&gt;0,INDEX(res_Name,Tasks[[#This Row],[_Res4Row]]),TRIM(LEFT(Tasks[[#This Row],[_Res4Text]],FIND("[",Tasks[[#This Row],[_Res4Text]]&amp;"[")-1))))</f>
        <v/>
      </c>
      <c r="EI1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3" t="n">
        <f aca="false">IF(OR(NOT(Tasks[[#This Row],[_IsLeaf]]=1),Tasks[[#This Row],[_Res4Row]]=0),0,N(Tasks[[#This Row],[_Days]])*HoursPerDay*IF(Tasks[[#This Row],[_Res4Units]]="",DefaultUnits,Tasks[[#This Row],[_Res4Units]]))</f>
        <v>0</v>
      </c>
      <c r="EK116" s="43" t="n">
        <f aca="false">IF(AND(AND(Tasks[[#This Row],[_IsLeaf]]=1,Tasks[[#This Row],[_LeafTotalWork]]&gt;0),Tasks[[#This Row],[_Res4Work]]&gt;0),Tasks[[#This Row],[_Res4Work]]/(Tasks[[#This Row],[_FinishWorkday]]-Tasks[[#This Row],[_StartWorkday]]+1),0)</f>
        <v>0</v>
      </c>
      <c r="EL116" s="43" t="n">
        <f aca="false">Tasks[[#This Row],[_Res4WorkPerWD]]*MAX(0,Tasks[[#This Row],[_StartWorkday]]-1)</f>
        <v>0</v>
      </c>
      <c r="EM116" s="43" t="n">
        <f aca="false">Tasks[[#This Row],[_Res4Work]]*Tasks[[#This Row],[_LeafProgress]]</f>
        <v>0</v>
      </c>
      <c r="EN116" s="43" t="n">
        <f aca="false">IF(ISNUMBER(Tasks[[#This Row],[% Complete]]),Tasks[[#This Row],[% Complete]],IF(Tasks[[#This Row],[Stage]]="",0,IFERROR(INDEX(stg_Pct,MATCH(Tasks[[#This Row],[Stage]],stg_Name,0)),0)))</f>
        <v>0</v>
      </c>
      <c r="EO116" s="43" t="n">
        <f aca="false">IF(NOT(Tasks[[#This Row],[_IsLeaf]]=1),0,IF(N(Tasks[[#This Row],[Actual Finish]])&gt;0,1,MIN(1,Tasks[[#This Row],[_Pct]])))</f>
        <v>0</v>
      </c>
      <c r="EP116" s="43" t="n">
        <f aca="false">IF(OR(NOT(Tasks[[#This Row],[_IsLeaf]]=1),Tasks[[#This Row],[_Res1Row]]=0),0,N(Tasks[[#This Row],[_Days]])*HoursPerDay*IF(Tasks[[#This Row],[_Units1]]="",DefaultUnits,Tasks[[#This Row],[_Units1]]))</f>
        <v>0</v>
      </c>
      <c r="EQ116" s="43" t="n">
        <f aca="false">Tasks[[#This Row],[_LeafWork]]+Tasks[[#This Row],[_Res2Work]]+Tasks[[#This Row],[_Res3Work]]+Tasks[[#This Row],[_Res4Work]]</f>
        <v>0</v>
      </c>
      <c r="ER11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3" t="n">
        <f aca="false">IF(NOT(Tasks[[#This Row],[_IsLeaf]]=1),0,MAX(_xlfn.MAXIFS(Tasks[_Row],Tasks[_Pred1UID],Tasks[[#This Row],[UID]]),_xlfn.MAXIFS(Tasks[_Row],Tasks[_Pred2UID],Tasks[[#This Row],[UID]]),_xlfn.MAXIFS(Tasks[_Row],Tasks[_Pred3UID],Tasks[[#This Row],[UID]]),_xlfn.MAXIFS(Tasks[_Row],Tasks[_Pred4UID],Tasks[[#This Row],[UID]])))</f>
        <v>0</v>
      </c>
      <c r="FA11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91" t="str">
        <f aca="false">IF(NOT(Tasks[[#This Row],[_IsLeaf]]=1),"",IF(N(Tasks[[#This Row],[_Days]])&lt;=0,Tasks[[#This Row],[_LeafLateFinish]],WORKDAY.INTL(Tasks[[#This Row],[_LeafLateFinish]],-(Tasks[[#This Row],[_Days]]-1),WorkWeek,Holidays)))</f>
        <v/>
      </c>
      <c r="FD11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6" s="90" t="b">
        <f aca="false">AND(Tasks[[#This Row],[_IsLeaf]]=1,Tasks[[#This Row],[_LeafProgress]]&lt;1,N(Tasks[[#This Row],[_LeafTotalSlack]])&lt;=CriticalSlackDays)</f>
        <v>0</v>
      </c>
      <c r="FF116" s="43" t="n">
        <f aca="false">IF(AND(Tasks[[#This Row],[_IsLeaf]]=1,Tasks[[#This Row],[_ConstraintCode]]=1,Tasks[[#This Row],[Mode]]&lt;&gt;"Manual",N(Tasks[[#This Row],[Actual Start]])=0),MAX(0,N(Tasks[[#This Row],[Free Slack]])),0)</f>
        <v>0</v>
      </c>
      <c r="FG116" s="91" t="str">
        <f aca="false">IF(NOT(Tasks[[#This Row],[_IsLeaf]]=1),"",IF(Tasks[[#This Row],[_AlapShift]]=0,Tasks[[#This Row],[_LeafCalcStart]],WORKDAY.INTL(Tasks[[#This Row],[_LeafCalcStart]],Tasks[[#This Row],[_AlapShift]],WorkWeek,Holidays)))</f>
        <v/>
      </c>
      <c r="FH116" s="91" t="str">
        <f aca="false">IF(NOT(Tasks[[#This Row],[_IsLeaf]]=1),"",IF(Tasks[[#This Row],[_AlapShift]]=0,Tasks[[#This Row],[_LeafCalcFinish]],WORKDAY.INTL(Tasks[[#This Row],[_LeafCalcFinish]],Tasks[[#This Row],[_AlapShift]],WorkWeek,Holidays)))</f>
        <v/>
      </c>
      <c r="FI116" s="91" t="str">
        <f aca="false">IF(NOT(Tasks[[#This Row],[_IsLeaf]]=1),"",IF(Tasks[[#This Row],[_AlapShift]]=0,Tasks[[#This Row],[_LeafFcstStart]],WORKDAY.INTL(Tasks[[#This Row],[_LeafFcstStart]],Tasks[[#This Row],[_AlapShift]],WorkWeek,Holidays)))</f>
        <v/>
      </c>
      <c r="FJ116" s="91" t="str">
        <f aca="false">IF(NOT(Tasks[[#This Row],[_IsLeaf]]=1),"",IF(Tasks[[#This Row],[_AlapShift]]=0,Tasks[[#This Row],[_LeafFcstFinish]],WORKDAY.INTL(Tasks[[#This Row],[_LeafFcstFinish]],Tasks[[#This Row],[_AlapShift]],WorkWeek,Holidays)))</f>
        <v/>
      </c>
      <c r="FK116" s="91" t="str">
        <f aca="false">IF(Tasks[[#This Row],[Task Name]]="","",IF(Tasks[[#This Row],[_IsSummary]],MIN(INDEX(Tasks[_ShownCalcStart],Tasks[[#This Row],[_Row]]+1):INDEX(Tasks[_ShownCalcStart],Tasks[[#This Row],[_Row]]+Tasks[[#This Row],[_Descendants]])),Tasks[[#This Row],[_ShownCalcStart]]))</f>
        <v/>
      </c>
      <c r="FL116" s="91" t="str">
        <f aca="false">IF(Tasks[[#This Row],[Task Name]]="","",IF(Tasks[[#This Row],[_IsSummary]],MAX(INDEX(Tasks[_ShownCalcFinish],Tasks[[#This Row],[_Row]]+1):INDEX(Tasks[_ShownCalcFinish],Tasks[[#This Row],[_Row]]+Tasks[[#This Row],[_Descendants]])),Tasks[[#This Row],[_ShownCalcFinish]]))</f>
        <v/>
      </c>
      <c r="FM1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6" s="43" t="n">
        <f aca="false">IF(AND(Tasks[[#This Row],[_IsLeaf]]=1,Tasks[[#This Row],[_LeafTotalWork]]&gt;0),NETWORKDAYS.INTL(ProjectStart,Tasks[[#This Row],[_ShownFcstStart]],WorkWeek,Holidays),0)</f>
        <v>0</v>
      </c>
      <c r="FZ116" s="43" t="n">
        <f aca="false">IF(AND(Tasks[[#This Row],[_IsLeaf]]=1,Tasks[[#This Row],[_LeafTotalWork]]&gt;0),MAX(Tasks[[#This Row],[_StartWorkday]],NETWORKDAYS.INTL(ProjectStart,Tasks[[#This Row],[_ShownFcstFinish]],WorkWeek,Holidays)),0)</f>
        <v>0</v>
      </c>
      <c r="GA116" s="43" t="n">
        <f aca="false">IF(AND(Tasks[[#This Row],[_IsLeaf]]=1,Tasks[[#This Row],[_LeafTotalWork]]&gt;0),Tasks[[#This Row],[_LeafWork]]/(Tasks[[#This Row],[_FinishWorkday]]-Tasks[[#This Row],[_StartWorkday]]+1),0)</f>
        <v>0</v>
      </c>
      <c r="GB116" s="43" t="n">
        <f aca="false">Tasks[[#This Row],[_WorkPerWorkday]]*(Tasks[[#This Row],[_StartWorkday]]-1)</f>
        <v>-0</v>
      </c>
      <c r="GC116" s="43" t="n">
        <f aca="false">IF(Tasks[[#This Row],[_IsLeaf]]=1,MAX(N(Tasks[[#This Row],[_Days]]),0.1),0)</f>
        <v>0</v>
      </c>
      <c r="GD116" s="43" t="n">
        <f aca="false">Tasks[[#This Row],[_WeightDur]]*Tasks[[#This Row],[_LeafProgress]]</f>
        <v>0</v>
      </c>
      <c r="GE116" s="43" t="n">
        <f aca="false">Tasks[[#This Row],[_WeightDur]]*Tasks[[#This Row],[_PlannedPct]]</f>
        <v>0</v>
      </c>
      <c r="GF1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3" t="str">
        <f aca="false">IF(AND(Tasks[[#This Row],[_IsLeaf]]=1,N(Tasks[[#This Row],[_Days]])=0,Tasks[[#This Row],[_LeafProgress]]&lt;1),Tasks[[#This Row],[_ShownFcstFinish]]+Tasks[[#This Row],[_Row]]/100000,"")</f>
        <v/>
      </c>
      <c r="GH1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6" s="43" t="str">
        <f aca="false">IF(Tasks[[#This Row],[Task Name]]="","",LEFT(Tasks[[#This Row],[WBS]],FIND(".",Tasks[[#This Row],[WBS]]&amp;".")-1))</f>
        <v/>
      </c>
      <c r="GJ116" s="43" t="str">
        <f aca="false">IF(AND(Tasks[[#This Row],[Task Name]]&lt;&gt;"",Tasks[[#This Row],[_Level]]=1),Tasks[[#This Row],[_Row]],"")</f>
        <v/>
      </c>
      <c r="GK116" s="43" t="str">
        <f aca="false">IF(AND(Tasks[[#This Row],[_IsLeaf]]=1,N(Tasks[[#This Row],[_Days]])=0),Tasks[[#This Row],[Planned Finish]]+Tasks[[#This Row],[_Row]]/100000,"")</f>
        <v/>
      </c>
      <c r="GL116" s="43" t="str">
        <f aca="false">IF(AND(Tasks[[#This Row],[_IsLeaf]]=1,Tasks[[#This Row],[_LeafProgress]]&lt;1,OR(N(Tasks[[#This Row],[Finish Var]])&gt;0,Tasks[[#This Row],[Status]]="Late Start")),MAX(0,Tasks[[#This Row],[Finish Var]])+1-Tasks[[#This Row],[_Row]]/1000000,"")</f>
        <v/>
      </c>
      <c r="GM116" s="43" t="str">
        <f aca="false">IF(AND(Tasks[[#This Row],[_IsLeaf]]=1,N(Tasks[[#This Row],[Actual Start]])=0,Tasks[[#This Row],[_ShownFcstStart]]&gt;=StatusDate,Tasks[[#This Row],[_ShownFcstStart]]&lt;=LookaheadEnd),Tasks[[#This Row],[_ShownFcstStart]]+Tasks[[#This Row],[_Row]]/100000,"")</f>
        <v/>
      </c>
      <c r="GN116" s="43" t="str">
        <f aca="false">IF(AND(Tasks[[#This Row],[_IsLeaf]]=1,Tasks[[#This Row],[_LeafProgress]]&lt;1,Tasks[[#This Row],[_ShownFcstFinish]]&gt;=StatusDate,Tasks[[#This Row],[_ShownFcstFinish]]&lt;=LookaheadEnd),Tasks[[#This Row],[_ShownFcstFinish]]+Tasks[[#This Row],[_Row]]/100000,"")</f>
        <v/>
      </c>
      <c r="GO116" s="43" t="str">
        <f aca="false">IF(Tasks[[#This Row],[_LeafCritical]],Tasks[[#This Row],[_ShownFcstStart]]+Tasks[[#This Row],[_Row]]/100000,"")</f>
        <v/>
      </c>
      <c r="GP116" s="43" t="n">
        <f aca="false">Tasks[[#This Row],[_LeafWork]]*Tasks[[#This Row],[_LeafProgress]]</f>
        <v>0</v>
      </c>
      <c r="GQ116" s="91" t="str">
        <f aca="false">IF(AND(Tasks[[#This Row],[_IsLeaf]]=1,Tasks[[#This Row],[_LeafProgress]]&gt;=1),IF(N(Tasks[[#This Row],[Actual Finish]])&gt;0,Tasks[[#This Row],[Actual Finish]],Tasks[[#This Row],[_ShownFcstFinish]]),"")</f>
        <v/>
      </c>
      <c r="GR116" s="43" t="n">
        <f aca="false">IF(Tasks[[#This Row],[_IsLeaf]]=1,N(Tasks[[#This Row],[Story Points]]),0)</f>
        <v>0</v>
      </c>
      <c r="GS116" s="43" t="str">
        <f aca="false">""</f>
        <v/>
      </c>
      <c r="GT116" s="90" t="b">
        <f aca="false">IF(Tasks[[#This Row],[Task Name]]="",FALSE(),AND(Tasks[[#This Row],[_IsLeaf]]=1,N(Tasks[[#This Row],[_Days]])=0))</f>
        <v>0</v>
      </c>
      <c r="GU116" s="91" t="n">
        <f aca="false">IF(Tasks[[#This Row],[Task Name]]="",0,IF(AND(Tasks[[#This Row],[_IsLeaf]]=1,NOT(Tasks[[#This Row],[_IsMilestone]]),N(Tasks[[#This Row],[Progress]])&gt;0),Tasks[[#This Row],[Start]],0))</f>
        <v>0</v>
      </c>
      <c r="GV116" s="91" t="n">
        <f aca="false">IF(Tasks[[#This Row],[_DoneFrom]]=0,0,IF(Tasks[[#This Row],[Progress]]&gt;=1,Tasks[[#This Row],[Finish]],MAX(Tasks[[#This Row],[_DoneFrom]],Tasks[[#This Row],[Start]]+ROUND((Tasks[[#This Row],[Finish]]-Tasks[[#This Row],[Start]]+1)*Tasks[[#This Row],[Progress]],0)-1)))</f>
        <v>0</v>
      </c>
      <c r="GW116" s="91" t="n">
        <f aca="false">IF(Tasks[[#This Row],[Task Name]]="",0,IF(OR(NOT(Tasks[[#This Row],[_IsLeaf]]=1),Tasks[[#This Row],[_IsMilestone]],N(Tasks[[#This Row],[Progress]])&gt;=1),0,IF(Tasks[[#This Row],[_DoneTo]]&gt;0,Tasks[[#This Row],[_DoneTo]]+1,Tasks[[#This Row],[Start]])))</f>
        <v>0</v>
      </c>
      <c r="GX116" s="91" t="n">
        <f aca="false">IF(Tasks[[#This Row],[_RemFrom]]=0,0,Tasks[[#This Row],[Finish]])</f>
        <v>0</v>
      </c>
      <c r="GY116" s="90" t="b">
        <f aca="false">IF(Tasks[[#This Row],[Task Name]]="",FALSE(),OR(NOT(BaselineSet),N(Tasks[[#This Row],[Baseline Start]])&gt;0))</f>
        <v>0</v>
      </c>
      <c r="GZ11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92" t="str">
        <f aca="false">IF(Tasks[[#This Row],[_IsLeaf]]=1,Tasks[[#This Row],[_Row]],"")</f>
        <v/>
      </c>
      <c r="HD116" s="92" t="str">
        <f aca="false">IFERROR(INDEX(Tasks[UID],SMALL(Tasks[_PickKey],Tasks[[#This Row],[_Row]]))&amp;" "&amp;INDEX(Tasks[Task Name],SMALL(Tasks[_PickKey],Tasks[[#This Row],[_Row]])),"")</f>
        <v/>
      </c>
      <c r="HE116" s="43" t="str">
        <f aca="false">IF(Tasks[[#This Row],[Task Name]]="","",IF(Tasks[[#This Row],[_IsSummary]],NETWORKDAYS.INTL(Tasks[[#This Row],[Start]],Tasks[[#This Row],[Finish]],WorkWeek,Holidays),N(Tasks[[#This Row],[_Days]])))</f>
        <v/>
      </c>
      <c r="HF116" s="43" t="n">
        <f aca="false">IF(Tasks[[#This Row],[Expected]]="",0,((Tasks[[#This Row],[Pessimistic]]-Tasks[[#This Row],[Optimistic]])/6)^2)</f>
        <v>0</v>
      </c>
      <c r="HG116" s="43" t="n">
        <f aca="false">IF(Tasks[[#This Row],[Expected]]="",0,Tasks[[#This Row],[Expected]]-N(Tasks[[#This Row],[_Days]]))</f>
        <v>0</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4"/>
      <c r="U117" s="23"/>
      <c r="V117" s="84"/>
      <c r="W117" s="23"/>
      <c r="X117" s="84"/>
      <c r="Y117" s="23"/>
      <c r="Z117" s="84"/>
      <c r="AA117" s="23"/>
      <c r="AB117" s="23"/>
      <c r="AC117" s="7"/>
      <c r="AD117" s="7"/>
      <c r="AE117" s="63" t="str">
        <f aca="false">IF(Tasks[[#This Row],[Task Name]]="","",IF(Tasks[[#This Row],[_IsSummary]],MIN(INDEX(Tasks[_ShownFcstStart],Tasks[[#This Row],[_Row]]+1):INDEX(Tasks[_ShownFcstStart],Tasks[[#This Row],[_Row]]+Tasks[[#This Row],[_Descendants]])),Tasks[[#This Row],[_ShownFcstStart]]))</f>
        <v/>
      </c>
      <c r="AF117" s="63"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7" s="7"/>
      <c r="AK117" s="22"/>
      <c r="AL117" s="23"/>
      <c r="AM117" s="7"/>
      <c r="AN117" s="47"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3" t="str">
        <f aca="false">IF(Tasks[[#This Row],[Task Name]]="","",IF(N(Tasks[[#This Row],[Baseline Start]])&gt;0,Tasks[[#This Row],[Baseline Start]],Tasks[[#This Row],[_CalcStart]]))</f>
        <v/>
      </c>
      <c r="AR117" s="63" t="str">
        <f aca="false">IF(Tasks[[#This Row],[Task Name]]="","",IF(N(Tasks[[#This Row],[Baseline Finish]])&gt;0,Tasks[[#This Row],[Baseline Finish]],Tasks[[#This Row],[_CalcFinish]]))</f>
        <v/>
      </c>
      <c r="AS117" s="47" t="str">
        <f aca="false">IF(Tasks[[#This Row],[Task Name]]="","",IF(Tasks[[#This Row],[Start]]&gt;=Tasks[[#This Row],[Planned Start]],NETWORKDAYS.INTL(Tasks[[#This Row],[Planned Start]],Tasks[[#This Row],[Start]],WorkWeek,Holidays)-1,1-NETWORKDAYS.INTL(Tasks[[#This Row],[Start]],Tasks[[#This Row],[Planned Start]],WorkWeek,Holidays)))</f>
        <v/>
      </c>
      <c r="AT117" s="63" t="str">
        <f aca="false">IF(Tasks[[#This Row],[Task Name]]="","",IF(Tasks[[#This Row],[_IsSummary]],MIN(INDEX(Tasks[_LeafLateStart],Tasks[[#This Row],[_Row]]+1):INDEX(Tasks[_LeafLateStart],Tasks[[#This Row],[_Row]]+Tasks[[#This Row],[_Descendants]])),Tasks[[#This Row],[_LeafLateStart]]))</f>
        <v/>
      </c>
      <c r="AU117" s="63" t="str">
        <f aca="false">IF(Tasks[[#This Row],[Task Name]]="","",IF(Tasks[[#This Row],[_IsSummary]],MAX(INDEX(Tasks[_LeafLateFinish],Tasks[[#This Row],[_Row]]+1):INDEX(Tasks[_LeafLateFinish],Tasks[[#This Row],[_Row]]+Tasks[[#This Row],[_Descendants]])),Tasks[[#This Row],[_LeafLateFinish]]))</f>
        <v/>
      </c>
      <c r="AV117" s="47"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5"/>
      <c r="BA11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6"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7"/>
      <c r="BJ117" s="22"/>
      <c r="BK117" s="47" t="str">
        <f aca="false">IF(OR(Tasks[[#This Row],[Task Name]]="",Tasks[[#This Row],[Baseline Duration]]=""),"",Tasks[[#This Row],[_SpanDays]]-N(Tasks[[#This Row],[Baseline Duration]]))</f>
        <v/>
      </c>
      <c r="BL117" s="86" t="str">
        <f aca="false">IF(OR(Tasks[[#This Row],[Task Name]]="",Tasks[[#This Row],[Baseline Work]]=""),"",Tasks[[#This Row],[Work]]-N(Tasks[[#This Row],[Baseline Work]]))</f>
        <v/>
      </c>
      <c r="BM117" s="63" t="str">
        <f aca="false">IF(Tasks[[#This Row],[Task Name]]="","",IF(OR(TakeBaseline="Yes",N(Tasks[[#This Row],[Baseline Start]])=0),Tasks[[#This Row],[Start]],Tasks[[#This Row],[Baseline Start]]))</f>
        <v/>
      </c>
      <c r="BN117" s="63" t="str">
        <f aca="false">IF(Tasks[[#This Row],[Task Name]]="","",IF(OR(TakeBaseline="Yes",N(Tasks[[#This Row],[Baseline Finish]])=0),Tasks[[#This Row],[Finish]],Tasks[[#This Row],[Baseline Finish]]))</f>
        <v/>
      </c>
      <c r="BO117" s="21" t="str">
        <f aca="false">IF(Tasks[[#This Row],[Task Name]]="","",IF(OR(TakeBaseline="Yes",N(Tasks[[#This Row],[Baseline Duration]])=0),Tasks[[#This Row],[_SpanDays]],Tasks[[#This Row],[Baseline Duration]]))</f>
        <v/>
      </c>
      <c r="BP117" s="86" t="str">
        <f aca="false">IF(Tasks[[#This Row],[Task Name]]="","",IF(OR(TakeBaseline="Yes",N(Tasks[[#This Row],[Baseline Work]])=0),Tasks[[#This Row],[Work]],Tasks[[#This Row],[Baseline Work]]))</f>
        <v/>
      </c>
      <c r="BQ117" s="7"/>
      <c r="BR117" s="7"/>
      <c r="BS117" s="22"/>
      <c r="BT117" s="88"/>
      <c r="BU117" s="23"/>
      <c r="BV117" s="23"/>
      <c r="BW117" s="23"/>
      <c r="BX117" s="89" t="str">
        <f aca="false">IF(AND(Tasks[[#This Row],[_IsLeaf]]=1,ISNUMBER(Tasks[[#This Row],[Optimistic]]),ISNUMBER(Tasks[[#This Row],[Pessimistic]])),ROUND((Tasks[[#This Row],[Optimistic]]+4*N(Tasks[[#This Row],[_Days]])+Tasks[[#This Row],[Pessimistic]])/6,1),"")</f>
        <v/>
      </c>
      <c r="BY117" s="87"/>
      <c r="BZ117" s="87"/>
      <c r="CA117" s="22"/>
      <c r="CB117" s="43" t="str">
        <f aca="false">IF(Tasks[[#This Row],[Task Name]]="","",MAX(1,N(Tasks[[#This Row],[Level]])))</f>
        <v/>
      </c>
      <c r="CC117" s="43" t="n">
        <f aca="false">ROW()-ROW(Tasks[[#Headers],[ID]])</f>
        <v>112</v>
      </c>
      <c r="CD117" s="43" t="n">
        <f aca="false">IF(OR(Tasks[[#This Row],[Task Name]]="",Tasks[[#This Row],[_Level]]&lt;=1),0,IFERROR(LOOKUP(2,1/(Tasks[[#Headers],[_Level]]:Tasks[[#This Row],[_Level]]=Tasks[[#This Row],[_Level]]-1),ROW(Tasks[[#Headers],[_Level]]:Tasks[[#This Row],[_Level]])),0))</f>
        <v>0</v>
      </c>
      <c r="CE117" s="43" t="n">
        <f aca="false">IFERROR(N(INDEX(Tasks[_Level],Tasks[[#This Row],[_Row]]+1)),0)</f>
        <v>0</v>
      </c>
      <c r="CF117" s="90" t="b">
        <f aca="false">AND(Tasks[[#This Row],[Task Name]]&lt;&gt;"",Tasks[[#This Row],[_NextLevel]]&gt;Tasks[[#This Row],[_Level]])</f>
        <v>0</v>
      </c>
      <c r="CG117" s="43" t="n">
        <f aca="false">IF(Tasks[[#This Row],[_IsSummary]],COUNTIF(Tasks[WBS],Tasks[[#This Row],[WBS]]&amp;".*"),0)</f>
        <v>0</v>
      </c>
      <c r="CH117" s="43" t="n">
        <f aca="false">IF(AND(Tasks[[#This Row],[Task Name]]&lt;&gt;"",NOT(Tasks[[#This Row],[_IsSummary]])),1,0)</f>
        <v>0</v>
      </c>
      <c r="CI117" s="43" t="n">
        <f aca="false">IF(N(Tasks[[#This Row],[_Pred1UID]])=0,0,IFERROR(MATCH(Tasks[[#This Row],[_Pred1UID]],Tasks[UID],0),-1))</f>
        <v>0</v>
      </c>
      <c r="CJ117" s="43" t="n">
        <f aca="false">IF(N(Tasks[[#This Row],[_Pred2UID]])=0,0,IFERROR(MATCH(Tasks[[#This Row],[_Pred2UID]],Tasks[UID],0),-1))</f>
        <v>0</v>
      </c>
      <c r="CK117" s="43" t="n">
        <f aca="false">IF(N(Tasks[[#This Row],[_Pred3UID]])=0,0,IFERROR(MATCH(Tasks[[#This Row],[_Pred3UID]],Tasks[UID],0),-1))</f>
        <v>0</v>
      </c>
      <c r="CL117" s="43" t="n">
        <f aca="false">IF(N(Tasks[[#This Row],[_Pred4UID]])=0,0,IFERROR(MATCH(Tasks[[#This Row],[_Pred4UID]],Tasks[UID],0),-1))</f>
        <v>0</v>
      </c>
      <c r="CM11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7" s="91" t="n">
        <f aca="false">IF(OR(Tasks[[#This Row],[_ConstraintCode]]=2,Tasks[[#This Row],[_ConstraintCode]]=3,Tasks[[#This Row],[_ConstraintCode]]=4,Tasks[[#This Row],[_ConstraintCode]]=6),Tasks[[#This Row],[_ConstraintStart]],0)</f>
        <v>0</v>
      </c>
      <c r="CP117" s="91" t="n">
        <f aca="false">IF(OR(Tasks[[#This Row],[_ConstraintCode]]=2,Tasks[[#This Row],[_ConstraintCode]]=3,Tasks[[#This Row],[_ConstraintCode]]=5,Tasks[[#This Row],[_ConstraintCode]]=7),Tasks[[#This Row],[_ConstraintStart]],2958465)</f>
        <v>2958465</v>
      </c>
      <c r="CQ11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91" t="str">
        <f aca="false">IF(NOT(Tasks[[#This Row],[_IsLeaf]]=1),"",IF(N(Tasks[[#This Row],[_Days]])&lt;=0,Tasks[[#This Row],[_LeafCalcStart]],WORKDAY.INTL(Tasks[[#This Row],[_LeafCalcStart]],Tasks[[#This Row],[_Days]]-1,WorkWeek,Holidays)))</f>
        <v/>
      </c>
      <c r="CS11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3" t="str">
        <f aca="false">IF(Tasks[[#This Row],[_Predecessors]]="","",TRIM(MID(SUBSTITUTE(SUBSTITUTE(SUBSTITUTE(UPPER(Tasks[[#This Row],[_Predecessors]]),";",",")," ",""),",",REPT(" ",99)),1,99)))</f>
        <v/>
      </c>
      <c r="CV117" s="43" t="str">
        <f aca="false">IF(Tasks[[#This Row],[_Pred1Text]]="","",IFERROR(VALUE(LEFT(Tasks[[#This Row],[_Pred1Text]],MIN(FIND("F",Tasks[[#This Row],[_Pred1Text]]&amp;"F"),FIND("S",Tasks[[#This Row],[_Pred1Text]]&amp;"S"),FIND("+",Tasks[[#This Row],[_Pred1Text]]&amp;"+"),FIND("-",Tasks[[#This Row],[_Pred1Text]]&amp;"-"))-1)),""))</f>
        <v/>
      </c>
      <c r="CW1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3" t="str">
        <f aca="false">IF(Tasks[[#This Row],[_Pred1Text]]="","",TRIM(MID(SUBSTITUTE(SUBSTITUTE(SUBSTITUTE(UPPER(Tasks[[#This Row],[_Predecessors]]),";",",")," ",""),",",REPT(" ",99)),100,99)))</f>
        <v/>
      </c>
      <c r="CZ117" s="43" t="str">
        <f aca="false">IF(Tasks[[#This Row],[_Pred2Text]]="","",IFERROR(VALUE(LEFT(Tasks[[#This Row],[_Pred2Text]],MIN(FIND("F",Tasks[[#This Row],[_Pred2Text]]&amp;"F"),FIND("S",Tasks[[#This Row],[_Pred2Text]]&amp;"S"),FIND("+",Tasks[[#This Row],[_Pred2Text]]&amp;"+"),FIND("-",Tasks[[#This Row],[_Pred2Text]]&amp;"-"))-1)),""))</f>
        <v/>
      </c>
      <c r="DA1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3" t="str">
        <f aca="false">IF(Tasks[[#This Row],[_Pred2Text]]="","",TRIM(MID(SUBSTITUTE(SUBSTITUTE(SUBSTITUTE(UPPER(Tasks[[#This Row],[_Predecessors]]),";",",")," ",""),",",REPT(" ",99)),199,99)))</f>
        <v/>
      </c>
      <c r="DD117" s="43" t="str">
        <f aca="false">IF(Tasks[[#This Row],[_Pred3Text]]="","",IFERROR(VALUE(LEFT(Tasks[[#This Row],[_Pred3Text]],MIN(FIND("F",Tasks[[#This Row],[_Pred3Text]]&amp;"F"),FIND("S",Tasks[[#This Row],[_Pred3Text]]&amp;"S"),FIND("+",Tasks[[#This Row],[_Pred3Text]]&amp;"+"),FIND("-",Tasks[[#This Row],[_Pred3Text]]&amp;"-"))-1)),""))</f>
        <v/>
      </c>
      <c r="DE1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3" t="str">
        <f aca="false">IF(Tasks[[#This Row],[_Pred3Text]]="","",TRIM(MID(SUBSTITUTE(SUBSTITUTE(SUBSTITUTE(UPPER(Tasks[[#This Row],[_Predecessors]]),";",",")," ",""),",",REPT(" ",99)),298,99)))</f>
        <v/>
      </c>
      <c r="DH117" s="43" t="str">
        <f aca="false">IF(Tasks[[#This Row],[_Pred4Text]]="","",IFERROR(VALUE(LEFT(Tasks[[#This Row],[_Pred4Text]],MIN(FIND("F",Tasks[[#This Row],[_Pred4Text]]&amp;"F"),FIND("S",Tasks[[#This Row],[_Pred4Text]]&amp;"S"),FIND("+",Tasks[[#This Row],[_Pred4Text]]&amp;"+"),FIND("-",Tasks[[#This Row],[_Pred4Text]]&amp;"-"))-1)),""))</f>
        <v/>
      </c>
      <c r="DI1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3" t="str">
        <f aca="false">IF(OR(Tasks[[#This Row],[Task Name]]="",Tasks[[#This Row],[_Resources]]=""),"",TRIM(MID(SUBSTITUTE(Tasks[[#This Row],[_Resources]],",",REPT(" ",99)),1,99)))</f>
        <v/>
      </c>
      <c r="DL117" s="43" t="str">
        <f aca="false">IF(Tasks[[#This Row],[_Res1Text]]="","",TRIM(MID(SUBSTITUTE(Tasks[[#This Row],[_Resources]],",",REPT(" ",99)),100,99)))</f>
        <v/>
      </c>
      <c r="DM117" s="43" t="str">
        <f aca="false">IF(Tasks[[#This Row],[_Res2Text]]="","",TRIM(MID(SUBSTITUTE(Tasks[[#This Row],[_Resources]],",",REPT(" ",99)),199,99)))</f>
        <v/>
      </c>
      <c r="DN117" s="43" t="str">
        <f aca="false">IF(Tasks[[#This Row],[_Res3Text]]="","",TRIM(MID(SUBSTITUTE(Tasks[[#This Row],[_Resources]],",",REPT(" ",99)),298,99)))</f>
        <v/>
      </c>
      <c r="DO117" s="43" t="n">
        <f aca="false">IF(Tasks[[#This Row],[_Res1Text]]="",0,IFERROR(MATCH(TRIM(LEFT(Tasks[[#This Row],[_Res1Text]],FIND("[",Tasks[[#This Row],[_Res1Text]]&amp;"[")-1)),res_Name,0),IFERROR(MATCH(TRIM(LEFT(Tasks[[#This Row],[_Res1Text]],FIND("[",Tasks[[#This Row],[_Res1Text]]&amp;"[")-1)),res_Initials,0),0)))</f>
        <v>0</v>
      </c>
      <c r="DP117" s="43" t="n">
        <f aca="false">IF(Tasks[[#This Row],[_Res2Text]]="",0,IFERROR(MATCH(TRIM(LEFT(Tasks[[#This Row],[_Res2Text]],FIND("[",Tasks[[#This Row],[_Res2Text]]&amp;"[")-1)),res_Name,0),IFERROR(MATCH(TRIM(LEFT(Tasks[[#This Row],[_Res2Text]],FIND("[",Tasks[[#This Row],[_Res2Text]]&amp;"[")-1)),res_Initials,0),0)))</f>
        <v>0</v>
      </c>
      <c r="DQ117" s="43" t="n">
        <f aca="false">IF(Tasks[[#This Row],[_Res3Text]]="",0,IFERROR(MATCH(TRIM(LEFT(Tasks[[#This Row],[_Res3Text]],FIND("[",Tasks[[#This Row],[_Res3Text]]&amp;"[")-1)),res_Name,0),IFERROR(MATCH(TRIM(LEFT(Tasks[[#This Row],[_Res3Text]],FIND("[",Tasks[[#This Row],[_Res3Text]]&amp;"[")-1)),res_Initials,0),0)))</f>
        <v>0</v>
      </c>
      <c r="DR117" s="43" t="n">
        <f aca="false">IF(Tasks[[#This Row],[_Res4Text]]="",0,IFERROR(MATCH(TRIM(LEFT(Tasks[[#This Row],[_Res4Text]],FIND("[",Tasks[[#This Row],[_Res4Text]]&amp;"[")-1)),res_Name,0),IFERROR(MATCH(TRIM(LEFT(Tasks[[#This Row],[_Res4Text]],FIND("[",Tasks[[#This Row],[_Res4Text]]&amp;"[")-1)),res_Initials,0),0)))</f>
        <v>0</v>
      </c>
      <c r="DS117" s="43" t="str">
        <f aca="false">IF(Tasks[[#This Row],[_Res1Text]]="","",IF(Tasks[[#This Row],[_Res1Row]]&gt;0,INDEX(res_Name,Tasks[[#This Row],[_Res1Row]]),TRIM(LEFT(Tasks[[#This Row],[_Res1Text]],FIND("[",Tasks[[#This Row],[_Res1Text]]&amp;"[")-1))))</f>
        <v/>
      </c>
      <c r="DT1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3" t="n">
        <f aca="false">IF(NOT(Tasks[[#This Row],[_IsLeaf]]=1),0,(Tasks[[#This Row],[_Resource1]]&lt;&gt;"")+(Tasks[[#This Row],[_Res2]]&lt;&gt;"")+(Tasks[[#This Row],[_Res3]]&lt;&gt;"")+(Tasks[[#This Row],[_Res4]]&lt;&gt;""))</f>
        <v>0</v>
      </c>
      <c r="DV117" s="43" t="str">
        <f aca="false">IF(Tasks[[#This Row],[_Res2Text]]="","",IF(Tasks[[#This Row],[_Res2Row]]&gt;0,INDEX(res_Name,Tasks[[#This Row],[_Res2Row]]),TRIM(LEFT(Tasks[[#This Row],[_Res2Text]],FIND("[",Tasks[[#This Row],[_Res2Text]]&amp;"[")-1))))</f>
        <v/>
      </c>
      <c r="DW1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3" t="n">
        <f aca="false">IF(OR(NOT(Tasks[[#This Row],[_IsLeaf]]=1),Tasks[[#This Row],[_Res2Row]]=0),0,N(Tasks[[#This Row],[_Days]])*HoursPerDay*IF(Tasks[[#This Row],[_Res2Units]]="",DefaultUnits,Tasks[[#This Row],[_Res2Units]]))</f>
        <v>0</v>
      </c>
      <c r="DY117" s="43" t="n">
        <f aca="false">IF(AND(AND(Tasks[[#This Row],[_IsLeaf]]=1,Tasks[[#This Row],[_LeafTotalWork]]&gt;0),Tasks[[#This Row],[_Res2Work]]&gt;0),Tasks[[#This Row],[_Res2Work]]/(Tasks[[#This Row],[_FinishWorkday]]-Tasks[[#This Row],[_StartWorkday]]+1),0)</f>
        <v>0</v>
      </c>
      <c r="DZ117" s="43" t="n">
        <f aca="false">Tasks[[#This Row],[_Res2WorkPerWD]]*MAX(0,Tasks[[#This Row],[_StartWorkday]]-1)</f>
        <v>0</v>
      </c>
      <c r="EA117" s="43" t="n">
        <f aca="false">Tasks[[#This Row],[_Res2Work]]*Tasks[[#This Row],[_LeafProgress]]</f>
        <v>0</v>
      </c>
      <c r="EB117" s="43" t="str">
        <f aca="false">IF(Tasks[[#This Row],[_Res3Text]]="","",IF(Tasks[[#This Row],[_Res3Row]]&gt;0,INDEX(res_Name,Tasks[[#This Row],[_Res3Row]]),TRIM(LEFT(Tasks[[#This Row],[_Res3Text]],FIND("[",Tasks[[#This Row],[_Res3Text]]&amp;"[")-1))))</f>
        <v/>
      </c>
      <c r="EC1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3" t="n">
        <f aca="false">IF(OR(NOT(Tasks[[#This Row],[_IsLeaf]]=1),Tasks[[#This Row],[_Res3Row]]=0),0,N(Tasks[[#This Row],[_Days]])*HoursPerDay*IF(Tasks[[#This Row],[_Res3Units]]="",DefaultUnits,Tasks[[#This Row],[_Res3Units]]))</f>
        <v>0</v>
      </c>
      <c r="EE117" s="43" t="n">
        <f aca="false">IF(AND(AND(Tasks[[#This Row],[_IsLeaf]]=1,Tasks[[#This Row],[_LeafTotalWork]]&gt;0),Tasks[[#This Row],[_Res3Work]]&gt;0),Tasks[[#This Row],[_Res3Work]]/(Tasks[[#This Row],[_FinishWorkday]]-Tasks[[#This Row],[_StartWorkday]]+1),0)</f>
        <v>0</v>
      </c>
      <c r="EF117" s="43" t="n">
        <f aca="false">Tasks[[#This Row],[_Res3WorkPerWD]]*MAX(0,Tasks[[#This Row],[_StartWorkday]]-1)</f>
        <v>0</v>
      </c>
      <c r="EG117" s="43" t="n">
        <f aca="false">Tasks[[#This Row],[_Res3Work]]*Tasks[[#This Row],[_LeafProgress]]</f>
        <v>0</v>
      </c>
      <c r="EH117" s="43" t="str">
        <f aca="false">IF(Tasks[[#This Row],[_Res4Text]]="","",IF(Tasks[[#This Row],[_Res4Row]]&gt;0,INDEX(res_Name,Tasks[[#This Row],[_Res4Row]]),TRIM(LEFT(Tasks[[#This Row],[_Res4Text]],FIND("[",Tasks[[#This Row],[_Res4Text]]&amp;"[")-1))))</f>
        <v/>
      </c>
      <c r="EI1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3" t="n">
        <f aca="false">IF(OR(NOT(Tasks[[#This Row],[_IsLeaf]]=1),Tasks[[#This Row],[_Res4Row]]=0),0,N(Tasks[[#This Row],[_Days]])*HoursPerDay*IF(Tasks[[#This Row],[_Res4Units]]="",DefaultUnits,Tasks[[#This Row],[_Res4Units]]))</f>
        <v>0</v>
      </c>
      <c r="EK117" s="43" t="n">
        <f aca="false">IF(AND(AND(Tasks[[#This Row],[_IsLeaf]]=1,Tasks[[#This Row],[_LeafTotalWork]]&gt;0),Tasks[[#This Row],[_Res4Work]]&gt;0),Tasks[[#This Row],[_Res4Work]]/(Tasks[[#This Row],[_FinishWorkday]]-Tasks[[#This Row],[_StartWorkday]]+1),0)</f>
        <v>0</v>
      </c>
      <c r="EL117" s="43" t="n">
        <f aca="false">Tasks[[#This Row],[_Res4WorkPerWD]]*MAX(0,Tasks[[#This Row],[_StartWorkday]]-1)</f>
        <v>0</v>
      </c>
      <c r="EM117" s="43" t="n">
        <f aca="false">Tasks[[#This Row],[_Res4Work]]*Tasks[[#This Row],[_LeafProgress]]</f>
        <v>0</v>
      </c>
      <c r="EN117" s="43" t="n">
        <f aca="false">IF(ISNUMBER(Tasks[[#This Row],[% Complete]]),Tasks[[#This Row],[% Complete]],IF(Tasks[[#This Row],[Stage]]="",0,IFERROR(INDEX(stg_Pct,MATCH(Tasks[[#This Row],[Stage]],stg_Name,0)),0)))</f>
        <v>0</v>
      </c>
      <c r="EO117" s="43" t="n">
        <f aca="false">IF(NOT(Tasks[[#This Row],[_IsLeaf]]=1),0,IF(N(Tasks[[#This Row],[Actual Finish]])&gt;0,1,MIN(1,Tasks[[#This Row],[_Pct]])))</f>
        <v>0</v>
      </c>
      <c r="EP117" s="43" t="n">
        <f aca="false">IF(OR(NOT(Tasks[[#This Row],[_IsLeaf]]=1),Tasks[[#This Row],[_Res1Row]]=0),0,N(Tasks[[#This Row],[_Days]])*HoursPerDay*IF(Tasks[[#This Row],[_Units1]]="",DefaultUnits,Tasks[[#This Row],[_Units1]]))</f>
        <v>0</v>
      </c>
      <c r="EQ117" s="43" t="n">
        <f aca="false">Tasks[[#This Row],[_LeafWork]]+Tasks[[#This Row],[_Res2Work]]+Tasks[[#This Row],[_Res3Work]]+Tasks[[#This Row],[_Res4Work]]</f>
        <v>0</v>
      </c>
      <c r="ER11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3" t="n">
        <f aca="false">IF(NOT(Tasks[[#This Row],[_IsLeaf]]=1),0,MAX(_xlfn.MAXIFS(Tasks[_Row],Tasks[_Pred1UID],Tasks[[#This Row],[UID]]),_xlfn.MAXIFS(Tasks[_Row],Tasks[_Pred2UID],Tasks[[#This Row],[UID]]),_xlfn.MAXIFS(Tasks[_Row],Tasks[_Pred3UID],Tasks[[#This Row],[UID]]),_xlfn.MAXIFS(Tasks[_Row],Tasks[_Pred4UID],Tasks[[#This Row],[UID]])))</f>
        <v>0</v>
      </c>
      <c r="FA11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91" t="str">
        <f aca="false">IF(NOT(Tasks[[#This Row],[_IsLeaf]]=1),"",IF(N(Tasks[[#This Row],[_Days]])&lt;=0,Tasks[[#This Row],[_LeafLateFinish]],WORKDAY.INTL(Tasks[[#This Row],[_LeafLateFinish]],-(Tasks[[#This Row],[_Days]]-1),WorkWeek,Holidays)))</f>
        <v/>
      </c>
      <c r="FD11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7" s="90" t="b">
        <f aca="false">AND(Tasks[[#This Row],[_IsLeaf]]=1,Tasks[[#This Row],[_LeafProgress]]&lt;1,N(Tasks[[#This Row],[_LeafTotalSlack]])&lt;=CriticalSlackDays)</f>
        <v>0</v>
      </c>
      <c r="FF117" s="43" t="n">
        <f aca="false">IF(AND(Tasks[[#This Row],[_IsLeaf]]=1,Tasks[[#This Row],[_ConstraintCode]]=1,Tasks[[#This Row],[Mode]]&lt;&gt;"Manual",N(Tasks[[#This Row],[Actual Start]])=0),MAX(0,N(Tasks[[#This Row],[Free Slack]])),0)</f>
        <v>0</v>
      </c>
      <c r="FG117" s="91" t="str">
        <f aca="false">IF(NOT(Tasks[[#This Row],[_IsLeaf]]=1),"",IF(Tasks[[#This Row],[_AlapShift]]=0,Tasks[[#This Row],[_LeafCalcStart]],WORKDAY.INTL(Tasks[[#This Row],[_LeafCalcStart]],Tasks[[#This Row],[_AlapShift]],WorkWeek,Holidays)))</f>
        <v/>
      </c>
      <c r="FH117" s="91" t="str">
        <f aca="false">IF(NOT(Tasks[[#This Row],[_IsLeaf]]=1),"",IF(Tasks[[#This Row],[_AlapShift]]=0,Tasks[[#This Row],[_LeafCalcFinish]],WORKDAY.INTL(Tasks[[#This Row],[_LeafCalcFinish]],Tasks[[#This Row],[_AlapShift]],WorkWeek,Holidays)))</f>
        <v/>
      </c>
      <c r="FI117" s="91" t="str">
        <f aca="false">IF(NOT(Tasks[[#This Row],[_IsLeaf]]=1),"",IF(Tasks[[#This Row],[_AlapShift]]=0,Tasks[[#This Row],[_LeafFcstStart]],WORKDAY.INTL(Tasks[[#This Row],[_LeafFcstStart]],Tasks[[#This Row],[_AlapShift]],WorkWeek,Holidays)))</f>
        <v/>
      </c>
      <c r="FJ117" s="91" t="str">
        <f aca="false">IF(NOT(Tasks[[#This Row],[_IsLeaf]]=1),"",IF(Tasks[[#This Row],[_AlapShift]]=0,Tasks[[#This Row],[_LeafFcstFinish]],WORKDAY.INTL(Tasks[[#This Row],[_LeafFcstFinish]],Tasks[[#This Row],[_AlapShift]],WorkWeek,Holidays)))</f>
        <v/>
      </c>
      <c r="FK117" s="91" t="str">
        <f aca="false">IF(Tasks[[#This Row],[Task Name]]="","",IF(Tasks[[#This Row],[_IsSummary]],MIN(INDEX(Tasks[_ShownCalcStart],Tasks[[#This Row],[_Row]]+1):INDEX(Tasks[_ShownCalcStart],Tasks[[#This Row],[_Row]]+Tasks[[#This Row],[_Descendants]])),Tasks[[#This Row],[_ShownCalcStart]]))</f>
        <v/>
      </c>
      <c r="FL117" s="91" t="str">
        <f aca="false">IF(Tasks[[#This Row],[Task Name]]="","",IF(Tasks[[#This Row],[_IsSummary]],MAX(INDEX(Tasks[_ShownCalcFinish],Tasks[[#This Row],[_Row]]+1):INDEX(Tasks[_ShownCalcFinish],Tasks[[#This Row],[_Row]]+Tasks[[#This Row],[_Descendants]])),Tasks[[#This Row],[_ShownCalcFinish]]))</f>
        <v/>
      </c>
      <c r="FM1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7" s="43" t="n">
        <f aca="false">IF(AND(Tasks[[#This Row],[_IsLeaf]]=1,Tasks[[#This Row],[_LeafTotalWork]]&gt;0),NETWORKDAYS.INTL(ProjectStart,Tasks[[#This Row],[_ShownFcstStart]],WorkWeek,Holidays),0)</f>
        <v>0</v>
      </c>
      <c r="FZ117" s="43" t="n">
        <f aca="false">IF(AND(Tasks[[#This Row],[_IsLeaf]]=1,Tasks[[#This Row],[_LeafTotalWork]]&gt;0),MAX(Tasks[[#This Row],[_StartWorkday]],NETWORKDAYS.INTL(ProjectStart,Tasks[[#This Row],[_ShownFcstFinish]],WorkWeek,Holidays)),0)</f>
        <v>0</v>
      </c>
      <c r="GA117" s="43" t="n">
        <f aca="false">IF(AND(Tasks[[#This Row],[_IsLeaf]]=1,Tasks[[#This Row],[_LeafTotalWork]]&gt;0),Tasks[[#This Row],[_LeafWork]]/(Tasks[[#This Row],[_FinishWorkday]]-Tasks[[#This Row],[_StartWorkday]]+1),0)</f>
        <v>0</v>
      </c>
      <c r="GB117" s="43" t="n">
        <f aca="false">Tasks[[#This Row],[_WorkPerWorkday]]*(Tasks[[#This Row],[_StartWorkday]]-1)</f>
        <v>-0</v>
      </c>
      <c r="GC117" s="43" t="n">
        <f aca="false">IF(Tasks[[#This Row],[_IsLeaf]]=1,MAX(N(Tasks[[#This Row],[_Days]]),0.1),0)</f>
        <v>0</v>
      </c>
      <c r="GD117" s="43" t="n">
        <f aca="false">Tasks[[#This Row],[_WeightDur]]*Tasks[[#This Row],[_LeafProgress]]</f>
        <v>0</v>
      </c>
      <c r="GE117" s="43" t="n">
        <f aca="false">Tasks[[#This Row],[_WeightDur]]*Tasks[[#This Row],[_PlannedPct]]</f>
        <v>0</v>
      </c>
      <c r="GF1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3" t="str">
        <f aca="false">IF(AND(Tasks[[#This Row],[_IsLeaf]]=1,N(Tasks[[#This Row],[_Days]])=0,Tasks[[#This Row],[_LeafProgress]]&lt;1),Tasks[[#This Row],[_ShownFcstFinish]]+Tasks[[#This Row],[_Row]]/100000,"")</f>
        <v/>
      </c>
      <c r="GH1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7" s="43" t="str">
        <f aca="false">IF(Tasks[[#This Row],[Task Name]]="","",LEFT(Tasks[[#This Row],[WBS]],FIND(".",Tasks[[#This Row],[WBS]]&amp;".")-1))</f>
        <v/>
      </c>
      <c r="GJ117" s="43" t="str">
        <f aca="false">IF(AND(Tasks[[#This Row],[Task Name]]&lt;&gt;"",Tasks[[#This Row],[_Level]]=1),Tasks[[#This Row],[_Row]],"")</f>
        <v/>
      </c>
      <c r="GK117" s="43" t="str">
        <f aca="false">IF(AND(Tasks[[#This Row],[_IsLeaf]]=1,N(Tasks[[#This Row],[_Days]])=0),Tasks[[#This Row],[Planned Finish]]+Tasks[[#This Row],[_Row]]/100000,"")</f>
        <v/>
      </c>
      <c r="GL117" s="43" t="str">
        <f aca="false">IF(AND(Tasks[[#This Row],[_IsLeaf]]=1,Tasks[[#This Row],[_LeafProgress]]&lt;1,OR(N(Tasks[[#This Row],[Finish Var]])&gt;0,Tasks[[#This Row],[Status]]="Late Start")),MAX(0,Tasks[[#This Row],[Finish Var]])+1-Tasks[[#This Row],[_Row]]/1000000,"")</f>
        <v/>
      </c>
      <c r="GM117" s="43" t="str">
        <f aca="false">IF(AND(Tasks[[#This Row],[_IsLeaf]]=1,N(Tasks[[#This Row],[Actual Start]])=0,Tasks[[#This Row],[_ShownFcstStart]]&gt;=StatusDate,Tasks[[#This Row],[_ShownFcstStart]]&lt;=LookaheadEnd),Tasks[[#This Row],[_ShownFcstStart]]+Tasks[[#This Row],[_Row]]/100000,"")</f>
        <v/>
      </c>
      <c r="GN117" s="43" t="str">
        <f aca="false">IF(AND(Tasks[[#This Row],[_IsLeaf]]=1,Tasks[[#This Row],[_LeafProgress]]&lt;1,Tasks[[#This Row],[_ShownFcstFinish]]&gt;=StatusDate,Tasks[[#This Row],[_ShownFcstFinish]]&lt;=LookaheadEnd),Tasks[[#This Row],[_ShownFcstFinish]]+Tasks[[#This Row],[_Row]]/100000,"")</f>
        <v/>
      </c>
      <c r="GO117" s="43" t="str">
        <f aca="false">IF(Tasks[[#This Row],[_LeafCritical]],Tasks[[#This Row],[_ShownFcstStart]]+Tasks[[#This Row],[_Row]]/100000,"")</f>
        <v/>
      </c>
      <c r="GP117" s="43" t="n">
        <f aca="false">Tasks[[#This Row],[_LeafWork]]*Tasks[[#This Row],[_LeafProgress]]</f>
        <v>0</v>
      </c>
      <c r="GQ117" s="91" t="str">
        <f aca="false">IF(AND(Tasks[[#This Row],[_IsLeaf]]=1,Tasks[[#This Row],[_LeafProgress]]&gt;=1),IF(N(Tasks[[#This Row],[Actual Finish]])&gt;0,Tasks[[#This Row],[Actual Finish]],Tasks[[#This Row],[_ShownFcstFinish]]),"")</f>
        <v/>
      </c>
      <c r="GR117" s="43" t="n">
        <f aca="false">IF(Tasks[[#This Row],[_IsLeaf]]=1,N(Tasks[[#This Row],[Story Points]]),0)</f>
        <v>0</v>
      </c>
      <c r="GS117" s="43" t="str">
        <f aca="false">""</f>
        <v/>
      </c>
      <c r="GT117" s="90" t="b">
        <f aca="false">IF(Tasks[[#This Row],[Task Name]]="",FALSE(),AND(Tasks[[#This Row],[_IsLeaf]]=1,N(Tasks[[#This Row],[_Days]])=0))</f>
        <v>0</v>
      </c>
      <c r="GU117" s="91" t="n">
        <f aca="false">IF(Tasks[[#This Row],[Task Name]]="",0,IF(AND(Tasks[[#This Row],[_IsLeaf]]=1,NOT(Tasks[[#This Row],[_IsMilestone]]),N(Tasks[[#This Row],[Progress]])&gt;0),Tasks[[#This Row],[Start]],0))</f>
        <v>0</v>
      </c>
      <c r="GV117" s="91" t="n">
        <f aca="false">IF(Tasks[[#This Row],[_DoneFrom]]=0,0,IF(Tasks[[#This Row],[Progress]]&gt;=1,Tasks[[#This Row],[Finish]],MAX(Tasks[[#This Row],[_DoneFrom]],Tasks[[#This Row],[Start]]+ROUND((Tasks[[#This Row],[Finish]]-Tasks[[#This Row],[Start]]+1)*Tasks[[#This Row],[Progress]],0)-1)))</f>
        <v>0</v>
      </c>
      <c r="GW117" s="91" t="n">
        <f aca="false">IF(Tasks[[#This Row],[Task Name]]="",0,IF(OR(NOT(Tasks[[#This Row],[_IsLeaf]]=1),Tasks[[#This Row],[_IsMilestone]],N(Tasks[[#This Row],[Progress]])&gt;=1),0,IF(Tasks[[#This Row],[_DoneTo]]&gt;0,Tasks[[#This Row],[_DoneTo]]+1,Tasks[[#This Row],[Start]])))</f>
        <v>0</v>
      </c>
      <c r="GX117" s="91" t="n">
        <f aca="false">IF(Tasks[[#This Row],[_RemFrom]]=0,0,Tasks[[#This Row],[Finish]])</f>
        <v>0</v>
      </c>
      <c r="GY117" s="90" t="b">
        <f aca="false">IF(Tasks[[#This Row],[Task Name]]="",FALSE(),OR(NOT(BaselineSet),N(Tasks[[#This Row],[Baseline Start]])&gt;0))</f>
        <v>0</v>
      </c>
      <c r="GZ11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92" t="str">
        <f aca="false">IF(Tasks[[#This Row],[_IsLeaf]]=1,Tasks[[#This Row],[_Row]],"")</f>
        <v/>
      </c>
      <c r="HD117" s="92" t="str">
        <f aca="false">IFERROR(INDEX(Tasks[UID],SMALL(Tasks[_PickKey],Tasks[[#This Row],[_Row]]))&amp;" "&amp;INDEX(Tasks[Task Name],SMALL(Tasks[_PickKey],Tasks[[#This Row],[_Row]])),"")</f>
        <v/>
      </c>
      <c r="HE117" s="43" t="str">
        <f aca="false">IF(Tasks[[#This Row],[Task Name]]="","",IF(Tasks[[#This Row],[_IsSummary]],NETWORKDAYS.INTL(Tasks[[#This Row],[Start]],Tasks[[#This Row],[Finish]],WorkWeek,Holidays),N(Tasks[[#This Row],[_Days]])))</f>
        <v/>
      </c>
      <c r="HF117" s="43" t="n">
        <f aca="false">IF(Tasks[[#This Row],[Expected]]="",0,((Tasks[[#This Row],[Pessimistic]]-Tasks[[#This Row],[Optimistic]])/6)^2)</f>
        <v>0</v>
      </c>
      <c r="HG117" s="43" t="n">
        <f aca="false">IF(Tasks[[#This Row],[Expected]]="",0,Tasks[[#This Row],[Expected]]-N(Tasks[[#This Row],[_Days]]))</f>
        <v>0</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4"/>
      <c r="U118" s="23"/>
      <c r="V118" s="84"/>
      <c r="W118" s="23"/>
      <c r="X118" s="84"/>
      <c r="Y118" s="23"/>
      <c r="Z118" s="84"/>
      <c r="AA118" s="23"/>
      <c r="AB118" s="23"/>
      <c r="AC118" s="7"/>
      <c r="AD118" s="7"/>
      <c r="AE118" s="63" t="str">
        <f aca="false">IF(Tasks[[#This Row],[Task Name]]="","",IF(Tasks[[#This Row],[_IsSummary]],MIN(INDEX(Tasks[_ShownFcstStart],Tasks[[#This Row],[_Row]]+1):INDEX(Tasks[_ShownFcstStart],Tasks[[#This Row],[_Row]]+Tasks[[#This Row],[_Descendants]])),Tasks[[#This Row],[_ShownFcstStart]]))</f>
        <v/>
      </c>
      <c r="AF118" s="63"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8" s="7"/>
      <c r="AK118" s="22"/>
      <c r="AL118" s="23"/>
      <c r="AM118" s="7"/>
      <c r="AN118" s="47"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3" t="str">
        <f aca="false">IF(Tasks[[#This Row],[Task Name]]="","",IF(N(Tasks[[#This Row],[Baseline Start]])&gt;0,Tasks[[#This Row],[Baseline Start]],Tasks[[#This Row],[_CalcStart]]))</f>
        <v/>
      </c>
      <c r="AR118" s="63" t="str">
        <f aca="false">IF(Tasks[[#This Row],[Task Name]]="","",IF(N(Tasks[[#This Row],[Baseline Finish]])&gt;0,Tasks[[#This Row],[Baseline Finish]],Tasks[[#This Row],[_CalcFinish]]))</f>
        <v/>
      </c>
      <c r="AS118" s="47" t="str">
        <f aca="false">IF(Tasks[[#This Row],[Task Name]]="","",IF(Tasks[[#This Row],[Start]]&gt;=Tasks[[#This Row],[Planned Start]],NETWORKDAYS.INTL(Tasks[[#This Row],[Planned Start]],Tasks[[#This Row],[Start]],WorkWeek,Holidays)-1,1-NETWORKDAYS.INTL(Tasks[[#This Row],[Start]],Tasks[[#This Row],[Planned Start]],WorkWeek,Holidays)))</f>
        <v/>
      </c>
      <c r="AT118" s="63" t="str">
        <f aca="false">IF(Tasks[[#This Row],[Task Name]]="","",IF(Tasks[[#This Row],[_IsSummary]],MIN(INDEX(Tasks[_LeafLateStart],Tasks[[#This Row],[_Row]]+1):INDEX(Tasks[_LeafLateStart],Tasks[[#This Row],[_Row]]+Tasks[[#This Row],[_Descendants]])),Tasks[[#This Row],[_LeafLateStart]]))</f>
        <v/>
      </c>
      <c r="AU118" s="63" t="str">
        <f aca="false">IF(Tasks[[#This Row],[Task Name]]="","",IF(Tasks[[#This Row],[_IsSummary]],MAX(INDEX(Tasks[_LeafLateFinish],Tasks[[#This Row],[_Row]]+1):INDEX(Tasks[_LeafLateFinish],Tasks[[#This Row],[_Row]]+Tasks[[#This Row],[_Descendants]])),Tasks[[#This Row],[_LeafLateFinish]]))</f>
        <v/>
      </c>
      <c r="AV118" s="47"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5"/>
      <c r="BA1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6"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7"/>
      <c r="BJ118" s="22"/>
      <c r="BK118" s="47" t="str">
        <f aca="false">IF(OR(Tasks[[#This Row],[Task Name]]="",Tasks[[#This Row],[Baseline Duration]]=""),"",Tasks[[#This Row],[_SpanDays]]-N(Tasks[[#This Row],[Baseline Duration]]))</f>
        <v/>
      </c>
      <c r="BL118" s="86" t="str">
        <f aca="false">IF(OR(Tasks[[#This Row],[Task Name]]="",Tasks[[#This Row],[Baseline Work]]=""),"",Tasks[[#This Row],[Work]]-N(Tasks[[#This Row],[Baseline Work]]))</f>
        <v/>
      </c>
      <c r="BM118" s="63" t="str">
        <f aca="false">IF(Tasks[[#This Row],[Task Name]]="","",IF(OR(TakeBaseline="Yes",N(Tasks[[#This Row],[Baseline Start]])=0),Tasks[[#This Row],[Start]],Tasks[[#This Row],[Baseline Start]]))</f>
        <v/>
      </c>
      <c r="BN118" s="63" t="str">
        <f aca="false">IF(Tasks[[#This Row],[Task Name]]="","",IF(OR(TakeBaseline="Yes",N(Tasks[[#This Row],[Baseline Finish]])=0),Tasks[[#This Row],[Finish]],Tasks[[#This Row],[Baseline Finish]]))</f>
        <v/>
      </c>
      <c r="BO118" s="21" t="str">
        <f aca="false">IF(Tasks[[#This Row],[Task Name]]="","",IF(OR(TakeBaseline="Yes",N(Tasks[[#This Row],[Baseline Duration]])=0),Tasks[[#This Row],[_SpanDays]],Tasks[[#This Row],[Baseline Duration]]))</f>
        <v/>
      </c>
      <c r="BP118" s="86" t="str">
        <f aca="false">IF(Tasks[[#This Row],[Task Name]]="","",IF(OR(TakeBaseline="Yes",N(Tasks[[#This Row],[Baseline Work]])=0),Tasks[[#This Row],[Work]],Tasks[[#This Row],[Baseline Work]]))</f>
        <v/>
      </c>
      <c r="BQ118" s="7"/>
      <c r="BR118" s="7"/>
      <c r="BS118" s="22"/>
      <c r="BT118" s="88"/>
      <c r="BU118" s="23"/>
      <c r="BV118" s="23"/>
      <c r="BW118" s="23"/>
      <c r="BX118" s="89" t="str">
        <f aca="false">IF(AND(Tasks[[#This Row],[_IsLeaf]]=1,ISNUMBER(Tasks[[#This Row],[Optimistic]]),ISNUMBER(Tasks[[#This Row],[Pessimistic]])),ROUND((Tasks[[#This Row],[Optimistic]]+4*N(Tasks[[#This Row],[_Days]])+Tasks[[#This Row],[Pessimistic]])/6,1),"")</f>
        <v/>
      </c>
      <c r="BY118" s="87"/>
      <c r="BZ118" s="87"/>
      <c r="CA118" s="22"/>
      <c r="CB118" s="43" t="str">
        <f aca="false">IF(Tasks[[#This Row],[Task Name]]="","",MAX(1,N(Tasks[[#This Row],[Level]])))</f>
        <v/>
      </c>
      <c r="CC118" s="43" t="n">
        <f aca="false">ROW()-ROW(Tasks[[#Headers],[ID]])</f>
        <v>113</v>
      </c>
      <c r="CD118" s="43" t="n">
        <f aca="false">IF(OR(Tasks[[#This Row],[Task Name]]="",Tasks[[#This Row],[_Level]]&lt;=1),0,IFERROR(LOOKUP(2,1/(Tasks[[#Headers],[_Level]]:Tasks[[#This Row],[_Level]]=Tasks[[#This Row],[_Level]]-1),ROW(Tasks[[#Headers],[_Level]]:Tasks[[#This Row],[_Level]])),0))</f>
        <v>0</v>
      </c>
      <c r="CE118" s="43" t="n">
        <f aca="false">IFERROR(N(INDEX(Tasks[_Level],Tasks[[#This Row],[_Row]]+1)),0)</f>
        <v>0</v>
      </c>
      <c r="CF118" s="90" t="b">
        <f aca="false">AND(Tasks[[#This Row],[Task Name]]&lt;&gt;"",Tasks[[#This Row],[_NextLevel]]&gt;Tasks[[#This Row],[_Level]])</f>
        <v>0</v>
      </c>
      <c r="CG118" s="43" t="n">
        <f aca="false">IF(Tasks[[#This Row],[_IsSummary]],COUNTIF(Tasks[WBS],Tasks[[#This Row],[WBS]]&amp;".*"),0)</f>
        <v>0</v>
      </c>
      <c r="CH118" s="43" t="n">
        <f aca="false">IF(AND(Tasks[[#This Row],[Task Name]]&lt;&gt;"",NOT(Tasks[[#This Row],[_IsSummary]])),1,0)</f>
        <v>0</v>
      </c>
      <c r="CI118" s="43" t="n">
        <f aca="false">IF(N(Tasks[[#This Row],[_Pred1UID]])=0,0,IFERROR(MATCH(Tasks[[#This Row],[_Pred1UID]],Tasks[UID],0),-1))</f>
        <v>0</v>
      </c>
      <c r="CJ118" s="43" t="n">
        <f aca="false">IF(N(Tasks[[#This Row],[_Pred2UID]])=0,0,IFERROR(MATCH(Tasks[[#This Row],[_Pred2UID]],Tasks[UID],0),-1))</f>
        <v>0</v>
      </c>
      <c r="CK118" s="43" t="n">
        <f aca="false">IF(N(Tasks[[#This Row],[_Pred3UID]])=0,0,IFERROR(MATCH(Tasks[[#This Row],[_Pred3UID]],Tasks[UID],0),-1))</f>
        <v>0</v>
      </c>
      <c r="CL118" s="43" t="n">
        <f aca="false">IF(N(Tasks[[#This Row],[_Pred4UID]])=0,0,IFERROR(MATCH(Tasks[[#This Row],[_Pred4UID]],Tasks[UID],0),-1))</f>
        <v>0</v>
      </c>
      <c r="CM1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8" s="91" t="n">
        <f aca="false">IF(OR(Tasks[[#This Row],[_ConstraintCode]]=2,Tasks[[#This Row],[_ConstraintCode]]=3,Tasks[[#This Row],[_ConstraintCode]]=4,Tasks[[#This Row],[_ConstraintCode]]=6),Tasks[[#This Row],[_ConstraintStart]],0)</f>
        <v>0</v>
      </c>
      <c r="CP118" s="91" t="n">
        <f aca="false">IF(OR(Tasks[[#This Row],[_ConstraintCode]]=2,Tasks[[#This Row],[_ConstraintCode]]=3,Tasks[[#This Row],[_ConstraintCode]]=5,Tasks[[#This Row],[_ConstraintCode]]=7),Tasks[[#This Row],[_ConstraintStart]],2958465)</f>
        <v>2958465</v>
      </c>
      <c r="CQ1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91" t="str">
        <f aca="false">IF(NOT(Tasks[[#This Row],[_IsLeaf]]=1),"",IF(N(Tasks[[#This Row],[_Days]])&lt;=0,Tasks[[#This Row],[_LeafCalcStart]],WORKDAY.INTL(Tasks[[#This Row],[_LeafCalcStart]],Tasks[[#This Row],[_Days]]-1,WorkWeek,Holidays)))</f>
        <v/>
      </c>
      <c r="CS1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3" t="str">
        <f aca="false">IF(Tasks[[#This Row],[_Predecessors]]="","",TRIM(MID(SUBSTITUTE(SUBSTITUTE(SUBSTITUTE(UPPER(Tasks[[#This Row],[_Predecessors]]),";",",")," ",""),",",REPT(" ",99)),1,99)))</f>
        <v/>
      </c>
      <c r="CV118" s="43" t="str">
        <f aca="false">IF(Tasks[[#This Row],[_Pred1Text]]="","",IFERROR(VALUE(LEFT(Tasks[[#This Row],[_Pred1Text]],MIN(FIND("F",Tasks[[#This Row],[_Pred1Text]]&amp;"F"),FIND("S",Tasks[[#This Row],[_Pred1Text]]&amp;"S"),FIND("+",Tasks[[#This Row],[_Pred1Text]]&amp;"+"),FIND("-",Tasks[[#This Row],[_Pred1Text]]&amp;"-"))-1)),""))</f>
        <v/>
      </c>
      <c r="CW1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3" t="str">
        <f aca="false">IF(Tasks[[#This Row],[_Pred1Text]]="","",TRIM(MID(SUBSTITUTE(SUBSTITUTE(SUBSTITUTE(UPPER(Tasks[[#This Row],[_Predecessors]]),";",",")," ",""),",",REPT(" ",99)),100,99)))</f>
        <v/>
      </c>
      <c r="CZ118" s="43" t="str">
        <f aca="false">IF(Tasks[[#This Row],[_Pred2Text]]="","",IFERROR(VALUE(LEFT(Tasks[[#This Row],[_Pred2Text]],MIN(FIND("F",Tasks[[#This Row],[_Pred2Text]]&amp;"F"),FIND("S",Tasks[[#This Row],[_Pred2Text]]&amp;"S"),FIND("+",Tasks[[#This Row],[_Pred2Text]]&amp;"+"),FIND("-",Tasks[[#This Row],[_Pred2Text]]&amp;"-"))-1)),""))</f>
        <v/>
      </c>
      <c r="DA1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3" t="str">
        <f aca="false">IF(Tasks[[#This Row],[_Pred2Text]]="","",TRIM(MID(SUBSTITUTE(SUBSTITUTE(SUBSTITUTE(UPPER(Tasks[[#This Row],[_Predecessors]]),";",",")," ",""),",",REPT(" ",99)),199,99)))</f>
        <v/>
      </c>
      <c r="DD118" s="43" t="str">
        <f aca="false">IF(Tasks[[#This Row],[_Pred3Text]]="","",IFERROR(VALUE(LEFT(Tasks[[#This Row],[_Pred3Text]],MIN(FIND("F",Tasks[[#This Row],[_Pred3Text]]&amp;"F"),FIND("S",Tasks[[#This Row],[_Pred3Text]]&amp;"S"),FIND("+",Tasks[[#This Row],[_Pred3Text]]&amp;"+"),FIND("-",Tasks[[#This Row],[_Pred3Text]]&amp;"-"))-1)),""))</f>
        <v/>
      </c>
      <c r="DE1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3" t="str">
        <f aca="false">IF(Tasks[[#This Row],[_Pred3Text]]="","",TRIM(MID(SUBSTITUTE(SUBSTITUTE(SUBSTITUTE(UPPER(Tasks[[#This Row],[_Predecessors]]),";",",")," ",""),",",REPT(" ",99)),298,99)))</f>
        <v/>
      </c>
      <c r="DH118" s="43" t="str">
        <f aca="false">IF(Tasks[[#This Row],[_Pred4Text]]="","",IFERROR(VALUE(LEFT(Tasks[[#This Row],[_Pred4Text]],MIN(FIND("F",Tasks[[#This Row],[_Pred4Text]]&amp;"F"),FIND("S",Tasks[[#This Row],[_Pred4Text]]&amp;"S"),FIND("+",Tasks[[#This Row],[_Pred4Text]]&amp;"+"),FIND("-",Tasks[[#This Row],[_Pred4Text]]&amp;"-"))-1)),""))</f>
        <v/>
      </c>
      <c r="DI1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3" t="str">
        <f aca="false">IF(OR(Tasks[[#This Row],[Task Name]]="",Tasks[[#This Row],[_Resources]]=""),"",TRIM(MID(SUBSTITUTE(Tasks[[#This Row],[_Resources]],",",REPT(" ",99)),1,99)))</f>
        <v/>
      </c>
      <c r="DL118" s="43" t="str">
        <f aca="false">IF(Tasks[[#This Row],[_Res1Text]]="","",TRIM(MID(SUBSTITUTE(Tasks[[#This Row],[_Resources]],",",REPT(" ",99)),100,99)))</f>
        <v/>
      </c>
      <c r="DM118" s="43" t="str">
        <f aca="false">IF(Tasks[[#This Row],[_Res2Text]]="","",TRIM(MID(SUBSTITUTE(Tasks[[#This Row],[_Resources]],",",REPT(" ",99)),199,99)))</f>
        <v/>
      </c>
      <c r="DN118" s="43" t="str">
        <f aca="false">IF(Tasks[[#This Row],[_Res3Text]]="","",TRIM(MID(SUBSTITUTE(Tasks[[#This Row],[_Resources]],",",REPT(" ",99)),298,99)))</f>
        <v/>
      </c>
      <c r="DO118" s="43" t="n">
        <f aca="false">IF(Tasks[[#This Row],[_Res1Text]]="",0,IFERROR(MATCH(TRIM(LEFT(Tasks[[#This Row],[_Res1Text]],FIND("[",Tasks[[#This Row],[_Res1Text]]&amp;"[")-1)),res_Name,0),IFERROR(MATCH(TRIM(LEFT(Tasks[[#This Row],[_Res1Text]],FIND("[",Tasks[[#This Row],[_Res1Text]]&amp;"[")-1)),res_Initials,0),0)))</f>
        <v>0</v>
      </c>
      <c r="DP118" s="43" t="n">
        <f aca="false">IF(Tasks[[#This Row],[_Res2Text]]="",0,IFERROR(MATCH(TRIM(LEFT(Tasks[[#This Row],[_Res2Text]],FIND("[",Tasks[[#This Row],[_Res2Text]]&amp;"[")-1)),res_Name,0),IFERROR(MATCH(TRIM(LEFT(Tasks[[#This Row],[_Res2Text]],FIND("[",Tasks[[#This Row],[_Res2Text]]&amp;"[")-1)),res_Initials,0),0)))</f>
        <v>0</v>
      </c>
      <c r="DQ118" s="43" t="n">
        <f aca="false">IF(Tasks[[#This Row],[_Res3Text]]="",0,IFERROR(MATCH(TRIM(LEFT(Tasks[[#This Row],[_Res3Text]],FIND("[",Tasks[[#This Row],[_Res3Text]]&amp;"[")-1)),res_Name,0),IFERROR(MATCH(TRIM(LEFT(Tasks[[#This Row],[_Res3Text]],FIND("[",Tasks[[#This Row],[_Res3Text]]&amp;"[")-1)),res_Initials,0),0)))</f>
        <v>0</v>
      </c>
      <c r="DR118" s="43" t="n">
        <f aca="false">IF(Tasks[[#This Row],[_Res4Text]]="",0,IFERROR(MATCH(TRIM(LEFT(Tasks[[#This Row],[_Res4Text]],FIND("[",Tasks[[#This Row],[_Res4Text]]&amp;"[")-1)),res_Name,0),IFERROR(MATCH(TRIM(LEFT(Tasks[[#This Row],[_Res4Text]],FIND("[",Tasks[[#This Row],[_Res4Text]]&amp;"[")-1)),res_Initials,0),0)))</f>
        <v>0</v>
      </c>
      <c r="DS118" s="43" t="str">
        <f aca="false">IF(Tasks[[#This Row],[_Res1Text]]="","",IF(Tasks[[#This Row],[_Res1Row]]&gt;0,INDEX(res_Name,Tasks[[#This Row],[_Res1Row]]),TRIM(LEFT(Tasks[[#This Row],[_Res1Text]],FIND("[",Tasks[[#This Row],[_Res1Text]]&amp;"[")-1))))</f>
        <v/>
      </c>
      <c r="DT1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3" t="n">
        <f aca="false">IF(NOT(Tasks[[#This Row],[_IsLeaf]]=1),0,(Tasks[[#This Row],[_Resource1]]&lt;&gt;"")+(Tasks[[#This Row],[_Res2]]&lt;&gt;"")+(Tasks[[#This Row],[_Res3]]&lt;&gt;"")+(Tasks[[#This Row],[_Res4]]&lt;&gt;""))</f>
        <v>0</v>
      </c>
      <c r="DV118" s="43" t="str">
        <f aca="false">IF(Tasks[[#This Row],[_Res2Text]]="","",IF(Tasks[[#This Row],[_Res2Row]]&gt;0,INDEX(res_Name,Tasks[[#This Row],[_Res2Row]]),TRIM(LEFT(Tasks[[#This Row],[_Res2Text]],FIND("[",Tasks[[#This Row],[_Res2Text]]&amp;"[")-1))))</f>
        <v/>
      </c>
      <c r="DW1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3" t="n">
        <f aca="false">IF(OR(NOT(Tasks[[#This Row],[_IsLeaf]]=1),Tasks[[#This Row],[_Res2Row]]=0),0,N(Tasks[[#This Row],[_Days]])*HoursPerDay*IF(Tasks[[#This Row],[_Res2Units]]="",DefaultUnits,Tasks[[#This Row],[_Res2Units]]))</f>
        <v>0</v>
      </c>
      <c r="DY118" s="43" t="n">
        <f aca="false">IF(AND(AND(Tasks[[#This Row],[_IsLeaf]]=1,Tasks[[#This Row],[_LeafTotalWork]]&gt;0),Tasks[[#This Row],[_Res2Work]]&gt;0),Tasks[[#This Row],[_Res2Work]]/(Tasks[[#This Row],[_FinishWorkday]]-Tasks[[#This Row],[_StartWorkday]]+1),0)</f>
        <v>0</v>
      </c>
      <c r="DZ118" s="43" t="n">
        <f aca="false">Tasks[[#This Row],[_Res2WorkPerWD]]*MAX(0,Tasks[[#This Row],[_StartWorkday]]-1)</f>
        <v>0</v>
      </c>
      <c r="EA118" s="43" t="n">
        <f aca="false">Tasks[[#This Row],[_Res2Work]]*Tasks[[#This Row],[_LeafProgress]]</f>
        <v>0</v>
      </c>
      <c r="EB118" s="43" t="str">
        <f aca="false">IF(Tasks[[#This Row],[_Res3Text]]="","",IF(Tasks[[#This Row],[_Res3Row]]&gt;0,INDEX(res_Name,Tasks[[#This Row],[_Res3Row]]),TRIM(LEFT(Tasks[[#This Row],[_Res3Text]],FIND("[",Tasks[[#This Row],[_Res3Text]]&amp;"[")-1))))</f>
        <v/>
      </c>
      <c r="EC1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3" t="n">
        <f aca="false">IF(OR(NOT(Tasks[[#This Row],[_IsLeaf]]=1),Tasks[[#This Row],[_Res3Row]]=0),0,N(Tasks[[#This Row],[_Days]])*HoursPerDay*IF(Tasks[[#This Row],[_Res3Units]]="",DefaultUnits,Tasks[[#This Row],[_Res3Units]]))</f>
        <v>0</v>
      </c>
      <c r="EE118" s="43" t="n">
        <f aca="false">IF(AND(AND(Tasks[[#This Row],[_IsLeaf]]=1,Tasks[[#This Row],[_LeafTotalWork]]&gt;0),Tasks[[#This Row],[_Res3Work]]&gt;0),Tasks[[#This Row],[_Res3Work]]/(Tasks[[#This Row],[_FinishWorkday]]-Tasks[[#This Row],[_StartWorkday]]+1),0)</f>
        <v>0</v>
      </c>
      <c r="EF118" s="43" t="n">
        <f aca="false">Tasks[[#This Row],[_Res3WorkPerWD]]*MAX(0,Tasks[[#This Row],[_StartWorkday]]-1)</f>
        <v>0</v>
      </c>
      <c r="EG118" s="43" t="n">
        <f aca="false">Tasks[[#This Row],[_Res3Work]]*Tasks[[#This Row],[_LeafProgress]]</f>
        <v>0</v>
      </c>
      <c r="EH118" s="43" t="str">
        <f aca="false">IF(Tasks[[#This Row],[_Res4Text]]="","",IF(Tasks[[#This Row],[_Res4Row]]&gt;0,INDEX(res_Name,Tasks[[#This Row],[_Res4Row]]),TRIM(LEFT(Tasks[[#This Row],[_Res4Text]],FIND("[",Tasks[[#This Row],[_Res4Text]]&amp;"[")-1))))</f>
        <v/>
      </c>
      <c r="EI1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3" t="n">
        <f aca="false">IF(OR(NOT(Tasks[[#This Row],[_IsLeaf]]=1),Tasks[[#This Row],[_Res4Row]]=0),0,N(Tasks[[#This Row],[_Days]])*HoursPerDay*IF(Tasks[[#This Row],[_Res4Units]]="",DefaultUnits,Tasks[[#This Row],[_Res4Units]]))</f>
        <v>0</v>
      </c>
      <c r="EK118" s="43" t="n">
        <f aca="false">IF(AND(AND(Tasks[[#This Row],[_IsLeaf]]=1,Tasks[[#This Row],[_LeafTotalWork]]&gt;0),Tasks[[#This Row],[_Res4Work]]&gt;0),Tasks[[#This Row],[_Res4Work]]/(Tasks[[#This Row],[_FinishWorkday]]-Tasks[[#This Row],[_StartWorkday]]+1),0)</f>
        <v>0</v>
      </c>
      <c r="EL118" s="43" t="n">
        <f aca="false">Tasks[[#This Row],[_Res4WorkPerWD]]*MAX(0,Tasks[[#This Row],[_StartWorkday]]-1)</f>
        <v>0</v>
      </c>
      <c r="EM118" s="43" t="n">
        <f aca="false">Tasks[[#This Row],[_Res4Work]]*Tasks[[#This Row],[_LeafProgress]]</f>
        <v>0</v>
      </c>
      <c r="EN118" s="43" t="n">
        <f aca="false">IF(ISNUMBER(Tasks[[#This Row],[% Complete]]),Tasks[[#This Row],[% Complete]],IF(Tasks[[#This Row],[Stage]]="",0,IFERROR(INDEX(stg_Pct,MATCH(Tasks[[#This Row],[Stage]],stg_Name,0)),0)))</f>
        <v>0</v>
      </c>
      <c r="EO118" s="43" t="n">
        <f aca="false">IF(NOT(Tasks[[#This Row],[_IsLeaf]]=1),0,IF(N(Tasks[[#This Row],[Actual Finish]])&gt;0,1,MIN(1,Tasks[[#This Row],[_Pct]])))</f>
        <v>0</v>
      </c>
      <c r="EP118" s="43" t="n">
        <f aca="false">IF(OR(NOT(Tasks[[#This Row],[_IsLeaf]]=1),Tasks[[#This Row],[_Res1Row]]=0),0,N(Tasks[[#This Row],[_Days]])*HoursPerDay*IF(Tasks[[#This Row],[_Units1]]="",DefaultUnits,Tasks[[#This Row],[_Units1]]))</f>
        <v>0</v>
      </c>
      <c r="EQ118" s="43" t="n">
        <f aca="false">Tasks[[#This Row],[_LeafWork]]+Tasks[[#This Row],[_Res2Work]]+Tasks[[#This Row],[_Res3Work]]+Tasks[[#This Row],[_Res4Work]]</f>
        <v>0</v>
      </c>
      <c r="ER1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3" t="n">
        <f aca="false">IF(NOT(Tasks[[#This Row],[_IsLeaf]]=1),0,MAX(_xlfn.MAXIFS(Tasks[_Row],Tasks[_Pred1UID],Tasks[[#This Row],[UID]]),_xlfn.MAXIFS(Tasks[_Row],Tasks[_Pred2UID],Tasks[[#This Row],[UID]]),_xlfn.MAXIFS(Tasks[_Row],Tasks[_Pred3UID],Tasks[[#This Row],[UID]]),_xlfn.MAXIFS(Tasks[_Row],Tasks[_Pred4UID],Tasks[[#This Row],[UID]])))</f>
        <v>0</v>
      </c>
      <c r="FA1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91" t="str">
        <f aca="false">IF(NOT(Tasks[[#This Row],[_IsLeaf]]=1),"",IF(N(Tasks[[#This Row],[_Days]])&lt;=0,Tasks[[#This Row],[_LeafLateFinish]],WORKDAY.INTL(Tasks[[#This Row],[_LeafLateFinish]],-(Tasks[[#This Row],[_Days]]-1),WorkWeek,Holidays)))</f>
        <v/>
      </c>
      <c r="FD1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8" s="90" t="b">
        <f aca="false">AND(Tasks[[#This Row],[_IsLeaf]]=1,Tasks[[#This Row],[_LeafProgress]]&lt;1,N(Tasks[[#This Row],[_LeafTotalSlack]])&lt;=CriticalSlackDays)</f>
        <v>0</v>
      </c>
      <c r="FF118" s="43" t="n">
        <f aca="false">IF(AND(Tasks[[#This Row],[_IsLeaf]]=1,Tasks[[#This Row],[_ConstraintCode]]=1,Tasks[[#This Row],[Mode]]&lt;&gt;"Manual",N(Tasks[[#This Row],[Actual Start]])=0),MAX(0,N(Tasks[[#This Row],[Free Slack]])),0)</f>
        <v>0</v>
      </c>
      <c r="FG118" s="91" t="str">
        <f aca="false">IF(NOT(Tasks[[#This Row],[_IsLeaf]]=1),"",IF(Tasks[[#This Row],[_AlapShift]]=0,Tasks[[#This Row],[_LeafCalcStart]],WORKDAY.INTL(Tasks[[#This Row],[_LeafCalcStart]],Tasks[[#This Row],[_AlapShift]],WorkWeek,Holidays)))</f>
        <v/>
      </c>
      <c r="FH118" s="91" t="str">
        <f aca="false">IF(NOT(Tasks[[#This Row],[_IsLeaf]]=1),"",IF(Tasks[[#This Row],[_AlapShift]]=0,Tasks[[#This Row],[_LeafCalcFinish]],WORKDAY.INTL(Tasks[[#This Row],[_LeafCalcFinish]],Tasks[[#This Row],[_AlapShift]],WorkWeek,Holidays)))</f>
        <v/>
      </c>
      <c r="FI118" s="91" t="str">
        <f aca="false">IF(NOT(Tasks[[#This Row],[_IsLeaf]]=1),"",IF(Tasks[[#This Row],[_AlapShift]]=0,Tasks[[#This Row],[_LeafFcstStart]],WORKDAY.INTL(Tasks[[#This Row],[_LeafFcstStart]],Tasks[[#This Row],[_AlapShift]],WorkWeek,Holidays)))</f>
        <v/>
      </c>
      <c r="FJ118" s="91" t="str">
        <f aca="false">IF(NOT(Tasks[[#This Row],[_IsLeaf]]=1),"",IF(Tasks[[#This Row],[_AlapShift]]=0,Tasks[[#This Row],[_LeafFcstFinish]],WORKDAY.INTL(Tasks[[#This Row],[_LeafFcstFinish]],Tasks[[#This Row],[_AlapShift]],WorkWeek,Holidays)))</f>
        <v/>
      </c>
      <c r="FK118" s="91" t="str">
        <f aca="false">IF(Tasks[[#This Row],[Task Name]]="","",IF(Tasks[[#This Row],[_IsSummary]],MIN(INDEX(Tasks[_ShownCalcStart],Tasks[[#This Row],[_Row]]+1):INDEX(Tasks[_ShownCalcStart],Tasks[[#This Row],[_Row]]+Tasks[[#This Row],[_Descendants]])),Tasks[[#This Row],[_ShownCalcStart]]))</f>
        <v/>
      </c>
      <c r="FL118" s="91" t="str">
        <f aca="false">IF(Tasks[[#This Row],[Task Name]]="","",IF(Tasks[[#This Row],[_IsSummary]],MAX(INDEX(Tasks[_ShownCalcFinish],Tasks[[#This Row],[_Row]]+1):INDEX(Tasks[_ShownCalcFinish],Tasks[[#This Row],[_Row]]+Tasks[[#This Row],[_Descendants]])),Tasks[[#This Row],[_ShownCalcFinish]]))</f>
        <v/>
      </c>
      <c r="FM1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8" s="43" t="n">
        <f aca="false">IF(AND(Tasks[[#This Row],[_IsLeaf]]=1,Tasks[[#This Row],[_LeafTotalWork]]&gt;0),NETWORKDAYS.INTL(ProjectStart,Tasks[[#This Row],[_ShownFcstStart]],WorkWeek,Holidays),0)</f>
        <v>0</v>
      </c>
      <c r="FZ118" s="43" t="n">
        <f aca="false">IF(AND(Tasks[[#This Row],[_IsLeaf]]=1,Tasks[[#This Row],[_LeafTotalWork]]&gt;0),MAX(Tasks[[#This Row],[_StartWorkday]],NETWORKDAYS.INTL(ProjectStart,Tasks[[#This Row],[_ShownFcstFinish]],WorkWeek,Holidays)),0)</f>
        <v>0</v>
      </c>
      <c r="GA118" s="43" t="n">
        <f aca="false">IF(AND(Tasks[[#This Row],[_IsLeaf]]=1,Tasks[[#This Row],[_LeafTotalWork]]&gt;0),Tasks[[#This Row],[_LeafWork]]/(Tasks[[#This Row],[_FinishWorkday]]-Tasks[[#This Row],[_StartWorkday]]+1),0)</f>
        <v>0</v>
      </c>
      <c r="GB118" s="43" t="n">
        <f aca="false">Tasks[[#This Row],[_WorkPerWorkday]]*(Tasks[[#This Row],[_StartWorkday]]-1)</f>
        <v>-0</v>
      </c>
      <c r="GC118" s="43" t="n">
        <f aca="false">IF(Tasks[[#This Row],[_IsLeaf]]=1,MAX(N(Tasks[[#This Row],[_Days]]),0.1),0)</f>
        <v>0</v>
      </c>
      <c r="GD118" s="43" t="n">
        <f aca="false">Tasks[[#This Row],[_WeightDur]]*Tasks[[#This Row],[_LeafProgress]]</f>
        <v>0</v>
      </c>
      <c r="GE118" s="43" t="n">
        <f aca="false">Tasks[[#This Row],[_WeightDur]]*Tasks[[#This Row],[_PlannedPct]]</f>
        <v>0</v>
      </c>
      <c r="GF1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3" t="str">
        <f aca="false">IF(AND(Tasks[[#This Row],[_IsLeaf]]=1,N(Tasks[[#This Row],[_Days]])=0,Tasks[[#This Row],[_LeafProgress]]&lt;1),Tasks[[#This Row],[_ShownFcstFinish]]+Tasks[[#This Row],[_Row]]/100000,"")</f>
        <v/>
      </c>
      <c r="GH1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8" s="43" t="str">
        <f aca="false">IF(Tasks[[#This Row],[Task Name]]="","",LEFT(Tasks[[#This Row],[WBS]],FIND(".",Tasks[[#This Row],[WBS]]&amp;".")-1))</f>
        <v/>
      </c>
      <c r="GJ118" s="43" t="str">
        <f aca="false">IF(AND(Tasks[[#This Row],[Task Name]]&lt;&gt;"",Tasks[[#This Row],[_Level]]=1),Tasks[[#This Row],[_Row]],"")</f>
        <v/>
      </c>
      <c r="GK118" s="43" t="str">
        <f aca="false">IF(AND(Tasks[[#This Row],[_IsLeaf]]=1,N(Tasks[[#This Row],[_Days]])=0),Tasks[[#This Row],[Planned Finish]]+Tasks[[#This Row],[_Row]]/100000,"")</f>
        <v/>
      </c>
      <c r="GL118" s="43" t="str">
        <f aca="false">IF(AND(Tasks[[#This Row],[_IsLeaf]]=1,Tasks[[#This Row],[_LeafProgress]]&lt;1,OR(N(Tasks[[#This Row],[Finish Var]])&gt;0,Tasks[[#This Row],[Status]]="Late Start")),MAX(0,Tasks[[#This Row],[Finish Var]])+1-Tasks[[#This Row],[_Row]]/1000000,"")</f>
        <v/>
      </c>
      <c r="GM118" s="43" t="str">
        <f aca="false">IF(AND(Tasks[[#This Row],[_IsLeaf]]=1,N(Tasks[[#This Row],[Actual Start]])=0,Tasks[[#This Row],[_ShownFcstStart]]&gt;=StatusDate,Tasks[[#This Row],[_ShownFcstStart]]&lt;=LookaheadEnd),Tasks[[#This Row],[_ShownFcstStart]]+Tasks[[#This Row],[_Row]]/100000,"")</f>
        <v/>
      </c>
      <c r="GN118" s="43" t="str">
        <f aca="false">IF(AND(Tasks[[#This Row],[_IsLeaf]]=1,Tasks[[#This Row],[_LeafProgress]]&lt;1,Tasks[[#This Row],[_ShownFcstFinish]]&gt;=StatusDate,Tasks[[#This Row],[_ShownFcstFinish]]&lt;=LookaheadEnd),Tasks[[#This Row],[_ShownFcstFinish]]+Tasks[[#This Row],[_Row]]/100000,"")</f>
        <v/>
      </c>
      <c r="GO118" s="43" t="str">
        <f aca="false">IF(Tasks[[#This Row],[_LeafCritical]],Tasks[[#This Row],[_ShownFcstStart]]+Tasks[[#This Row],[_Row]]/100000,"")</f>
        <v/>
      </c>
      <c r="GP118" s="43" t="n">
        <f aca="false">Tasks[[#This Row],[_LeafWork]]*Tasks[[#This Row],[_LeafProgress]]</f>
        <v>0</v>
      </c>
      <c r="GQ118" s="91" t="str">
        <f aca="false">IF(AND(Tasks[[#This Row],[_IsLeaf]]=1,Tasks[[#This Row],[_LeafProgress]]&gt;=1),IF(N(Tasks[[#This Row],[Actual Finish]])&gt;0,Tasks[[#This Row],[Actual Finish]],Tasks[[#This Row],[_ShownFcstFinish]]),"")</f>
        <v/>
      </c>
      <c r="GR118" s="43" t="n">
        <f aca="false">IF(Tasks[[#This Row],[_IsLeaf]]=1,N(Tasks[[#This Row],[Story Points]]),0)</f>
        <v>0</v>
      </c>
      <c r="GS118" s="43" t="str">
        <f aca="false">""</f>
        <v/>
      </c>
      <c r="GT118" s="90" t="b">
        <f aca="false">IF(Tasks[[#This Row],[Task Name]]="",FALSE(),AND(Tasks[[#This Row],[_IsLeaf]]=1,N(Tasks[[#This Row],[_Days]])=0))</f>
        <v>0</v>
      </c>
      <c r="GU118" s="91" t="n">
        <f aca="false">IF(Tasks[[#This Row],[Task Name]]="",0,IF(AND(Tasks[[#This Row],[_IsLeaf]]=1,NOT(Tasks[[#This Row],[_IsMilestone]]),N(Tasks[[#This Row],[Progress]])&gt;0),Tasks[[#This Row],[Start]],0))</f>
        <v>0</v>
      </c>
      <c r="GV118" s="91" t="n">
        <f aca="false">IF(Tasks[[#This Row],[_DoneFrom]]=0,0,IF(Tasks[[#This Row],[Progress]]&gt;=1,Tasks[[#This Row],[Finish]],MAX(Tasks[[#This Row],[_DoneFrom]],Tasks[[#This Row],[Start]]+ROUND((Tasks[[#This Row],[Finish]]-Tasks[[#This Row],[Start]]+1)*Tasks[[#This Row],[Progress]],0)-1)))</f>
        <v>0</v>
      </c>
      <c r="GW118" s="91" t="n">
        <f aca="false">IF(Tasks[[#This Row],[Task Name]]="",0,IF(OR(NOT(Tasks[[#This Row],[_IsLeaf]]=1),Tasks[[#This Row],[_IsMilestone]],N(Tasks[[#This Row],[Progress]])&gt;=1),0,IF(Tasks[[#This Row],[_DoneTo]]&gt;0,Tasks[[#This Row],[_DoneTo]]+1,Tasks[[#This Row],[Start]])))</f>
        <v>0</v>
      </c>
      <c r="GX118" s="91" t="n">
        <f aca="false">IF(Tasks[[#This Row],[_RemFrom]]=0,0,Tasks[[#This Row],[Finish]])</f>
        <v>0</v>
      </c>
      <c r="GY118" s="90" t="b">
        <f aca="false">IF(Tasks[[#This Row],[Task Name]]="",FALSE(),OR(NOT(BaselineSet),N(Tasks[[#This Row],[Baseline Start]])&gt;0))</f>
        <v>0</v>
      </c>
      <c r="GZ11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92" t="str">
        <f aca="false">IF(Tasks[[#This Row],[_IsLeaf]]=1,Tasks[[#This Row],[_Row]],"")</f>
        <v/>
      </c>
      <c r="HD118" s="92" t="str">
        <f aca="false">IFERROR(INDEX(Tasks[UID],SMALL(Tasks[_PickKey],Tasks[[#This Row],[_Row]]))&amp;" "&amp;INDEX(Tasks[Task Name],SMALL(Tasks[_PickKey],Tasks[[#This Row],[_Row]])),"")</f>
        <v/>
      </c>
      <c r="HE118" s="43" t="str">
        <f aca="false">IF(Tasks[[#This Row],[Task Name]]="","",IF(Tasks[[#This Row],[_IsSummary]],NETWORKDAYS.INTL(Tasks[[#This Row],[Start]],Tasks[[#This Row],[Finish]],WorkWeek,Holidays),N(Tasks[[#This Row],[_Days]])))</f>
        <v/>
      </c>
      <c r="HF118" s="43" t="n">
        <f aca="false">IF(Tasks[[#This Row],[Expected]]="",0,((Tasks[[#This Row],[Pessimistic]]-Tasks[[#This Row],[Optimistic]])/6)^2)</f>
        <v>0</v>
      </c>
      <c r="HG118" s="43" t="n">
        <f aca="false">IF(Tasks[[#This Row],[Expected]]="",0,Tasks[[#This Row],[Expected]]-N(Tasks[[#This Row],[_Days]]))</f>
        <v>0</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4"/>
      <c r="U119" s="23"/>
      <c r="V119" s="84"/>
      <c r="W119" s="23"/>
      <c r="X119" s="84"/>
      <c r="Y119" s="23"/>
      <c r="Z119" s="84"/>
      <c r="AA119" s="23"/>
      <c r="AB119" s="23"/>
      <c r="AC119" s="7"/>
      <c r="AD119" s="7"/>
      <c r="AE119" s="63" t="str">
        <f aca="false">IF(Tasks[[#This Row],[Task Name]]="","",IF(Tasks[[#This Row],[_IsSummary]],MIN(INDEX(Tasks[_ShownFcstStart],Tasks[[#This Row],[_Row]]+1):INDEX(Tasks[_ShownFcstStart],Tasks[[#This Row],[_Row]]+Tasks[[#This Row],[_Descendants]])),Tasks[[#This Row],[_ShownFcstStart]]))</f>
        <v/>
      </c>
      <c r="AF119" s="63"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9" s="7"/>
      <c r="AK119" s="22"/>
      <c r="AL119" s="23"/>
      <c r="AM119" s="7"/>
      <c r="AN119" s="47"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3" t="str">
        <f aca="false">IF(Tasks[[#This Row],[Task Name]]="","",IF(N(Tasks[[#This Row],[Baseline Start]])&gt;0,Tasks[[#This Row],[Baseline Start]],Tasks[[#This Row],[_CalcStart]]))</f>
        <v/>
      </c>
      <c r="AR119" s="63" t="str">
        <f aca="false">IF(Tasks[[#This Row],[Task Name]]="","",IF(N(Tasks[[#This Row],[Baseline Finish]])&gt;0,Tasks[[#This Row],[Baseline Finish]],Tasks[[#This Row],[_CalcFinish]]))</f>
        <v/>
      </c>
      <c r="AS119" s="47" t="str">
        <f aca="false">IF(Tasks[[#This Row],[Task Name]]="","",IF(Tasks[[#This Row],[Start]]&gt;=Tasks[[#This Row],[Planned Start]],NETWORKDAYS.INTL(Tasks[[#This Row],[Planned Start]],Tasks[[#This Row],[Start]],WorkWeek,Holidays)-1,1-NETWORKDAYS.INTL(Tasks[[#This Row],[Start]],Tasks[[#This Row],[Planned Start]],WorkWeek,Holidays)))</f>
        <v/>
      </c>
      <c r="AT119" s="63" t="str">
        <f aca="false">IF(Tasks[[#This Row],[Task Name]]="","",IF(Tasks[[#This Row],[_IsSummary]],MIN(INDEX(Tasks[_LeafLateStart],Tasks[[#This Row],[_Row]]+1):INDEX(Tasks[_LeafLateStart],Tasks[[#This Row],[_Row]]+Tasks[[#This Row],[_Descendants]])),Tasks[[#This Row],[_LeafLateStart]]))</f>
        <v/>
      </c>
      <c r="AU119" s="63" t="str">
        <f aca="false">IF(Tasks[[#This Row],[Task Name]]="","",IF(Tasks[[#This Row],[_IsSummary]],MAX(INDEX(Tasks[_LeafLateFinish],Tasks[[#This Row],[_Row]]+1):INDEX(Tasks[_LeafLateFinish],Tasks[[#This Row],[_Row]]+Tasks[[#This Row],[_Descendants]])),Tasks[[#This Row],[_LeafLateFinish]]))</f>
        <v/>
      </c>
      <c r="AV119" s="47"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5"/>
      <c r="BA1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6"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7"/>
      <c r="BJ119" s="22"/>
      <c r="BK119" s="47" t="str">
        <f aca="false">IF(OR(Tasks[[#This Row],[Task Name]]="",Tasks[[#This Row],[Baseline Duration]]=""),"",Tasks[[#This Row],[_SpanDays]]-N(Tasks[[#This Row],[Baseline Duration]]))</f>
        <v/>
      </c>
      <c r="BL119" s="86" t="str">
        <f aca="false">IF(OR(Tasks[[#This Row],[Task Name]]="",Tasks[[#This Row],[Baseline Work]]=""),"",Tasks[[#This Row],[Work]]-N(Tasks[[#This Row],[Baseline Work]]))</f>
        <v/>
      </c>
      <c r="BM119" s="63" t="str">
        <f aca="false">IF(Tasks[[#This Row],[Task Name]]="","",IF(OR(TakeBaseline="Yes",N(Tasks[[#This Row],[Baseline Start]])=0),Tasks[[#This Row],[Start]],Tasks[[#This Row],[Baseline Start]]))</f>
        <v/>
      </c>
      <c r="BN119" s="63" t="str">
        <f aca="false">IF(Tasks[[#This Row],[Task Name]]="","",IF(OR(TakeBaseline="Yes",N(Tasks[[#This Row],[Baseline Finish]])=0),Tasks[[#This Row],[Finish]],Tasks[[#This Row],[Baseline Finish]]))</f>
        <v/>
      </c>
      <c r="BO119" s="21" t="str">
        <f aca="false">IF(Tasks[[#This Row],[Task Name]]="","",IF(OR(TakeBaseline="Yes",N(Tasks[[#This Row],[Baseline Duration]])=0),Tasks[[#This Row],[_SpanDays]],Tasks[[#This Row],[Baseline Duration]]))</f>
        <v/>
      </c>
      <c r="BP119" s="86" t="str">
        <f aca="false">IF(Tasks[[#This Row],[Task Name]]="","",IF(OR(TakeBaseline="Yes",N(Tasks[[#This Row],[Baseline Work]])=0),Tasks[[#This Row],[Work]],Tasks[[#This Row],[Baseline Work]]))</f>
        <v/>
      </c>
      <c r="BQ119" s="7"/>
      <c r="BR119" s="7"/>
      <c r="BS119" s="22"/>
      <c r="BT119" s="88"/>
      <c r="BU119" s="23"/>
      <c r="BV119" s="23"/>
      <c r="BW119" s="23"/>
      <c r="BX119" s="89" t="str">
        <f aca="false">IF(AND(Tasks[[#This Row],[_IsLeaf]]=1,ISNUMBER(Tasks[[#This Row],[Optimistic]]),ISNUMBER(Tasks[[#This Row],[Pessimistic]])),ROUND((Tasks[[#This Row],[Optimistic]]+4*N(Tasks[[#This Row],[_Days]])+Tasks[[#This Row],[Pessimistic]])/6,1),"")</f>
        <v/>
      </c>
      <c r="BY119" s="87"/>
      <c r="BZ119" s="87"/>
      <c r="CA119" s="22"/>
      <c r="CB119" s="43" t="str">
        <f aca="false">IF(Tasks[[#This Row],[Task Name]]="","",MAX(1,N(Tasks[[#This Row],[Level]])))</f>
        <v/>
      </c>
      <c r="CC119" s="43" t="n">
        <f aca="false">ROW()-ROW(Tasks[[#Headers],[ID]])</f>
        <v>114</v>
      </c>
      <c r="CD119" s="43" t="n">
        <f aca="false">IF(OR(Tasks[[#This Row],[Task Name]]="",Tasks[[#This Row],[_Level]]&lt;=1),0,IFERROR(LOOKUP(2,1/(Tasks[[#Headers],[_Level]]:Tasks[[#This Row],[_Level]]=Tasks[[#This Row],[_Level]]-1),ROW(Tasks[[#Headers],[_Level]]:Tasks[[#This Row],[_Level]])),0))</f>
        <v>0</v>
      </c>
      <c r="CE119" s="43" t="n">
        <f aca="false">IFERROR(N(INDEX(Tasks[_Level],Tasks[[#This Row],[_Row]]+1)),0)</f>
        <v>0</v>
      </c>
      <c r="CF119" s="90" t="b">
        <f aca="false">AND(Tasks[[#This Row],[Task Name]]&lt;&gt;"",Tasks[[#This Row],[_NextLevel]]&gt;Tasks[[#This Row],[_Level]])</f>
        <v>0</v>
      </c>
      <c r="CG119" s="43" t="n">
        <f aca="false">IF(Tasks[[#This Row],[_IsSummary]],COUNTIF(Tasks[WBS],Tasks[[#This Row],[WBS]]&amp;".*"),0)</f>
        <v>0</v>
      </c>
      <c r="CH119" s="43" t="n">
        <f aca="false">IF(AND(Tasks[[#This Row],[Task Name]]&lt;&gt;"",NOT(Tasks[[#This Row],[_IsSummary]])),1,0)</f>
        <v>0</v>
      </c>
      <c r="CI119" s="43" t="n">
        <f aca="false">IF(N(Tasks[[#This Row],[_Pred1UID]])=0,0,IFERROR(MATCH(Tasks[[#This Row],[_Pred1UID]],Tasks[UID],0),-1))</f>
        <v>0</v>
      </c>
      <c r="CJ119" s="43" t="n">
        <f aca="false">IF(N(Tasks[[#This Row],[_Pred2UID]])=0,0,IFERROR(MATCH(Tasks[[#This Row],[_Pred2UID]],Tasks[UID],0),-1))</f>
        <v>0</v>
      </c>
      <c r="CK119" s="43" t="n">
        <f aca="false">IF(N(Tasks[[#This Row],[_Pred3UID]])=0,0,IFERROR(MATCH(Tasks[[#This Row],[_Pred3UID]],Tasks[UID],0),-1))</f>
        <v>0</v>
      </c>
      <c r="CL119" s="43" t="n">
        <f aca="false">IF(N(Tasks[[#This Row],[_Pred4UID]])=0,0,IFERROR(MATCH(Tasks[[#This Row],[_Pred4UID]],Tasks[UID],0),-1))</f>
        <v>0</v>
      </c>
      <c r="CM1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9" s="91" t="n">
        <f aca="false">IF(OR(Tasks[[#This Row],[_ConstraintCode]]=2,Tasks[[#This Row],[_ConstraintCode]]=3,Tasks[[#This Row],[_ConstraintCode]]=4,Tasks[[#This Row],[_ConstraintCode]]=6),Tasks[[#This Row],[_ConstraintStart]],0)</f>
        <v>0</v>
      </c>
      <c r="CP119" s="91" t="n">
        <f aca="false">IF(OR(Tasks[[#This Row],[_ConstraintCode]]=2,Tasks[[#This Row],[_ConstraintCode]]=3,Tasks[[#This Row],[_ConstraintCode]]=5,Tasks[[#This Row],[_ConstraintCode]]=7),Tasks[[#This Row],[_ConstraintStart]],2958465)</f>
        <v>2958465</v>
      </c>
      <c r="CQ1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91" t="str">
        <f aca="false">IF(NOT(Tasks[[#This Row],[_IsLeaf]]=1),"",IF(N(Tasks[[#This Row],[_Days]])&lt;=0,Tasks[[#This Row],[_LeafCalcStart]],WORKDAY.INTL(Tasks[[#This Row],[_LeafCalcStart]],Tasks[[#This Row],[_Days]]-1,WorkWeek,Holidays)))</f>
        <v/>
      </c>
      <c r="CS1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3" t="str">
        <f aca="false">IF(Tasks[[#This Row],[_Predecessors]]="","",TRIM(MID(SUBSTITUTE(SUBSTITUTE(SUBSTITUTE(UPPER(Tasks[[#This Row],[_Predecessors]]),";",",")," ",""),",",REPT(" ",99)),1,99)))</f>
        <v/>
      </c>
      <c r="CV119" s="43" t="str">
        <f aca="false">IF(Tasks[[#This Row],[_Pred1Text]]="","",IFERROR(VALUE(LEFT(Tasks[[#This Row],[_Pred1Text]],MIN(FIND("F",Tasks[[#This Row],[_Pred1Text]]&amp;"F"),FIND("S",Tasks[[#This Row],[_Pred1Text]]&amp;"S"),FIND("+",Tasks[[#This Row],[_Pred1Text]]&amp;"+"),FIND("-",Tasks[[#This Row],[_Pred1Text]]&amp;"-"))-1)),""))</f>
        <v/>
      </c>
      <c r="CW1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3" t="str">
        <f aca="false">IF(Tasks[[#This Row],[_Pred1Text]]="","",TRIM(MID(SUBSTITUTE(SUBSTITUTE(SUBSTITUTE(UPPER(Tasks[[#This Row],[_Predecessors]]),";",",")," ",""),",",REPT(" ",99)),100,99)))</f>
        <v/>
      </c>
      <c r="CZ119" s="43" t="str">
        <f aca="false">IF(Tasks[[#This Row],[_Pred2Text]]="","",IFERROR(VALUE(LEFT(Tasks[[#This Row],[_Pred2Text]],MIN(FIND("F",Tasks[[#This Row],[_Pred2Text]]&amp;"F"),FIND("S",Tasks[[#This Row],[_Pred2Text]]&amp;"S"),FIND("+",Tasks[[#This Row],[_Pred2Text]]&amp;"+"),FIND("-",Tasks[[#This Row],[_Pred2Text]]&amp;"-"))-1)),""))</f>
        <v/>
      </c>
      <c r="DA1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3" t="str">
        <f aca="false">IF(Tasks[[#This Row],[_Pred2Text]]="","",TRIM(MID(SUBSTITUTE(SUBSTITUTE(SUBSTITUTE(UPPER(Tasks[[#This Row],[_Predecessors]]),";",",")," ",""),",",REPT(" ",99)),199,99)))</f>
        <v/>
      </c>
      <c r="DD119" s="43" t="str">
        <f aca="false">IF(Tasks[[#This Row],[_Pred3Text]]="","",IFERROR(VALUE(LEFT(Tasks[[#This Row],[_Pred3Text]],MIN(FIND("F",Tasks[[#This Row],[_Pred3Text]]&amp;"F"),FIND("S",Tasks[[#This Row],[_Pred3Text]]&amp;"S"),FIND("+",Tasks[[#This Row],[_Pred3Text]]&amp;"+"),FIND("-",Tasks[[#This Row],[_Pred3Text]]&amp;"-"))-1)),""))</f>
        <v/>
      </c>
      <c r="DE1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3" t="str">
        <f aca="false">IF(Tasks[[#This Row],[_Pred3Text]]="","",TRIM(MID(SUBSTITUTE(SUBSTITUTE(SUBSTITUTE(UPPER(Tasks[[#This Row],[_Predecessors]]),";",",")," ",""),",",REPT(" ",99)),298,99)))</f>
        <v/>
      </c>
      <c r="DH119" s="43" t="str">
        <f aca="false">IF(Tasks[[#This Row],[_Pred4Text]]="","",IFERROR(VALUE(LEFT(Tasks[[#This Row],[_Pred4Text]],MIN(FIND("F",Tasks[[#This Row],[_Pred4Text]]&amp;"F"),FIND("S",Tasks[[#This Row],[_Pred4Text]]&amp;"S"),FIND("+",Tasks[[#This Row],[_Pred4Text]]&amp;"+"),FIND("-",Tasks[[#This Row],[_Pred4Text]]&amp;"-"))-1)),""))</f>
        <v/>
      </c>
      <c r="DI1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3" t="str">
        <f aca="false">IF(OR(Tasks[[#This Row],[Task Name]]="",Tasks[[#This Row],[_Resources]]=""),"",TRIM(MID(SUBSTITUTE(Tasks[[#This Row],[_Resources]],",",REPT(" ",99)),1,99)))</f>
        <v/>
      </c>
      <c r="DL119" s="43" t="str">
        <f aca="false">IF(Tasks[[#This Row],[_Res1Text]]="","",TRIM(MID(SUBSTITUTE(Tasks[[#This Row],[_Resources]],",",REPT(" ",99)),100,99)))</f>
        <v/>
      </c>
      <c r="DM119" s="43" t="str">
        <f aca="false">IF(Tasks[[#This Row],[_Res2Text]]="","",TRIM(MID(SUBSTITUTE(Tasks[[#This Row],[_Resources]],",",REPT(" ",99)),199,99)))</f>
        <v/>
      </c>
      <c r="DN119" s="43" t="str">
        <f aca="false">IF(Tasks[[#This Row],[_Res3Text]]="","",TRIM(MID(SUBSTITUTE(Tasks[[#This Row],[_Resources]],",",REPT(" ",99)),298,99)))</f>
        <v/>
      </c>
      <c r="DO119" s="43" t="n">
        <f aca="false">IF(Tasks[[#This Row],[_Res1Text]]="",0,IFERROR(MATCH(TRIM(LEFT(Tasks[[#This Row],[_Res1Text]],FIND("[",Tasks[[#This Row],[_Res1Text]]&amp;"[")-1)),res_Name,0),IFERROR(MATCH(TRIM(LEFT(Tasks[[#This Row],[_Res1Text]],FIND("[",Tasks[[#This Row],[_Res1Text]]&amp;"[")-1)),res_Initials,0),0)))</f>
        <v>0</v>
      </c>
      <c r="DP119" s="43" t="n">
        <f aca="false">IF(Tasks[[#This Row],[_Res2Text]]="",0,IFERROR(MATCH(TRIM(LEFT(Tasks[[#This Row],[_Res2Text]],FIND("[",Tasks[[#This Row],[_Res2Text]]&amp;"[")-1)),res_Name,0),IFERROR(MATCH(TRIM(LEFT(Tasks[[#This Row],[_Res2Text]],FIND("[",Tasks[[#This Row],[_Res2Text]]&amp;"[")-1)),res_Initials,0),0)))</f>
        <v>0</v>
      </c>
      <c r="DQ119" s="43" t="n">
        <f aca="false">IF(Tasks[[#This Row],[_Res3Text]]="",0,IFERROR(MATCH(TRIM(LEFT(Tasks[[#This Row],[_Res3Text]],FIND("[",Tasks[[#This Row],[_Res3Text]]&amp;"[")-1)),res_Name,0),IFERROR(MATCH(TRIM(LEFT(Tasks[[#This Row],[_Res3Text]],FIND("[",Tasks[[#This Row],[_Res3Text]]&amp;"[")-1)),res_Initials,0),0)))</f>
        <v>0</v>
      </c>
      <c r="DR119" s="43" t="n">
        <f aca="false">IF(Tasks[[#This Row],[_Res4Text]]="",0,IFERROR(MATCH(TRIM(LEFT(Tasks[[#This Row],[_Res4Text]],FIND("[",Tasks[[#This Row],[_Res4Text]]&amp;"[")-1)),res_Name,0),IFERROR(MATCH(TRIM(LEFT(Tasks[[#This Row],[_Res4Text]],FIND("[",Tasks[[#This Row],[_Res4Text]]&amp;"[")-1)),res_Initials,0),0)))</f>
        <v>0</v>
      </c>
      <c r="DS119" s="43" t="str">
        <f aca="false">IF(Tasks[[#This Row],[_Res1Text]]="","",IF(Tasks[[#This Row],[_Res1Row]]&gt;0,INDEX(res_Name,Tasks[[#This Row],[_Res1Row]]),TRIM(LEFT(Tasks[[#This Row],[_Res1Text]],FIND("[",Tasks[[#This Row],[_Res1Text]]&amp;"[")-1))))</f>
        <v/>
      </c>
      <c r="DT1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3" t="n">
        <f aca="false">IF(NOT(Tasks[[#This Row],[_IsLeaf]]=1),0,(Tasks[[#This Row],[_Resource1]]&lt;&gt;"")+(Tasks[[#This Row],[_Res2]]&lt;&gt;"")+(Tasks[[#This Row],[_Res3]]&lt;&gt;"")+(Tasks[[#This Row],[_Res4]]&lt;&gt;""))</f>
        <v>0</v>
      </c>
      <c r="DV119" s="43" t="str">
        <f aca="false">IF(Tasks[[#This Row],[_Res2Text]]="","",IF(Tasks[[#This Row],[_Res2Row]]&gt;0,INDEX(res_Name,Tasks[[#This Row],[_Res2Row]]),TRIM(LEFT(Tasks[[#This Row],[_Res2Text]],FIND("[",Tasks[[#This Row],[_Res2Text]]&amp;"[")-1))))</f>
        <v/>
      </c>
      <c r="DW1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3" t="n">
        <f aca="false">IF(OR(NOT(Tasks[[#This Row],[_IsLeaf]]=1),Tasks[[#This Row],[_Res2Row]]=0),0,N(Tasks[[#This Row],[_Days]])*HoursPerDay*IF(Tasks[[#This Row],[_Res2Units]]="",DefaultUnits,Tasks[[#This Row],[_Res2Units]]))</f>
        <v>0</v>
      </c>
      <c r="DY119" s="43" t="n">
        <f aca="false">IF(AND(AND(Tasks[[#This Row],[_IsLeaf]]=1,Tasks[[#This Row],[_LeafTotalWork]]&gt;0),Tasks[[#This Row],[_Res2Work]]&gt;0),Tasks[[#This Row],[_Res2Work]]/(Tasks[[#This Row],[_FinishWorkday]]-Tasks[[#This Row],[_StartWorkday]]+1),0)</f>
        <v>0</v>
      </c>
      <c r="DZ119" s="43" t="n">
        <f aca="false">Tasks[[#This Row],[_Res2WorkPerWD]]*MAX(0,Tasks[[#This Row],[_StartWorkday]]-1)</f>
        <v>0</v>
      </c>
      <c r="EA119" s="43" t="n">
        <f aca="false">Tasks[[#This Row],[_Res2Work]]*Tasks[[#This Row],[_LeafProgress]]</f>
        <v>0</v>
      </c>
      <c r="EB119" s="43" t="str">
        <f aca="false">IF(Tasks[[#This Row],[_Res3Text]]="","",IF(Tasks[[#This Row],[_Res3Row]]&gt;0,INDEX(res_Name,Tasks[[#This Row],[_Res3Row]]),TRIM(LEFT(Tasks[[#This Row],[_Res3Text]],FIND("[",Tasks[[#This Row],[_Res3Text]]&amp;"[")-1))))</f>
        <v/>
      </c>
      <c r="EC1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3" t="n">
        <f aca="false">IF(OR(NOT(Tasks[[#This Row],[_IsLeaf]]=1),Tasks[[#This Row],[_Res3Row]]=0),0,N(Tasks[[#This Row],[_Days]])*HoursPerDay*IF(Tasks[[#This Row],[_Res3Units]]="",DefaultUnits,Tasks[[#This Row],[_Res3Units]]))</f>
        <v>0</v>
      </c>
      <c r="EE119" s="43" t="n">
        <f aca="false">IF(AND(AND(Tasks[[#This Row],[_IsLeaf]]=1,Tasks[[#This Row],[_LeafTotalWork]]&gt;0),Tasks[[#This Row],[_Res3Work]]&gt;0),Tasks[[#This Row],[_Res3Work]]/(Tasks[[#This Row],[_FinishWorkday]]-Tasks[[#This Row],[_StartWorkday]]+1),0)</f>
        <v>0</v>
      </c>
      <c r="EF119" s="43" t="n">
        <f aca="false">Tasks[[#This Row],[_Res3WorkPerWD]]*MAX(0,Tasks[[#This Row],[_StartWorkday]]-1)</f>
        <v>0</v>
      </c>
      <c r="EG119" s="43" t="n">
        <f aca="false">Tasks[[#This Row],[_Res3Work]]*Tasks[[#This Row],[_LeafProgress]]</f>
        <v>0</v>
      </c>
      <c r="EH119" s="43" t="str">
        <f aca="false">IF(Tasks[[#This Row],[_Res4Text]]="","",IF(Tasks[[#This Row],[_Res4Row]]&gt;0,INDEX(res_Name,Tasks[[#This Row],[_Res4Row]]),TRIM(LEFT(Tasks[[#This Row],[_Res4Text]],FIND("[",Tasks[[#This Row],[_Res4Text]]&amp;"[")-1))))</f>
        <v/>
      </c>
      <c r="EI1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3" t="n">
        <f aca="false">IF(OR(NOT(Tasks[[#This Row],[_IsLeaf]]=1),Tasks[[#This Row],[_Res4Row]]=0),0,N(Tasks[[#This Row],[_Days]])*HoursPerDay*IF(Tasks[[#This Row],[_Res4Units]]="",DefaultUnits,Tasks[[#This Row],[_Res4Units]]))</f>
        <v>0</v>
      </c>
      <c r="EK119" s="43" t="n">
        <f aca="false">IF(AND(AND(Tasks[[#This Row],[_IsLeaf]]=1,Tasks[[#This Row],[_LeafTotalWork]]&gt;0),Tasks[[#This Row],[_Res4Work]]&gt;0),Tasks[[#This Row],[_Res4Work]]/(Tasks[[#This Row],[_FinishWorkday]]-Tasks[[#This Row],[_StartWorkday]]+1),0)</f>
        <v>0</v>
      </c>
      <c r="EL119" s="43" t="n">
        <f aca="false">Tasks[[#This Row],[_Res4WorkPerWD]]*MAX(0,Tasks[[#This Row],[_StartWorkday]]-1)</f>
        <v>0</v>
      </c>
      <c r="EM119" s="43" t="n">
        <f aca="false">Tasks[[#This Row],[_Res4Work]]*Tasks[[#This Row],[_LeafProgress]]</f>
        <v>0</v>
      </c>
      <c r="EN119" s="43" t="n">
        <f aca="false">IF(ISNUMBER(Tasks[[#This Row],[% Complete]]),Tasks[[#This Row],[% Complete]],IF(Tasks[[#This Row],[Stage]]="",0,IFERROR(INDEX(stg_Pct,MATCH(Tasks[[#This Row],[Stage]],stg_Name,0)),0)))</f>
        <v>0</v>
      </c>
      <c r="EO119" s="43" t="n">
        <f aca="false">IF(NOT(Tasks[[#This Row],[_IsLeaf]]=1),0,IF(N(Tasks[[#This Row],[Actual Finish]])&gt;0,1,MIN(1,Tasks[[#This Row],[_Pct]])))</f>
        <v>0</v>
      </c>
      <c r="EP119" s="43" t="n">
        <f aca="false">IF(OR(NOT(Tasks[[#This Row],[_IsLeaf]]=1),Tasks[[#This Row],[_Res1Row]]=0),0,N(Tasks[[#This Row],[_Days]])*HoursPerDay*IF(Tasks[[#This Row],[_Units1]]="",DefaultUnits,Tasks[[#This Row],[_Units1]]))</f>
        <v>0</v>
      </c>
      <c r="EQ119" s="43" t="n">
        <f aca="false">Tasks[[#This Row],[_LeafWork]]+Tasks[[#This Row],[_Res2Work]]+Tasks[[#This Row],[_Res3Work]]+Tasks[[#This Row],[_Res4Work]]</f>
        <v>0</v>
      </c>
      <c r="ER1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3" t="n">
        <f aca="false">IF(NOT(Tasks[[#This Row],[_IsLeaf]]=1),0,MAX(_xlfn.MAXIFS(Tasks[_Row],Tasks[_Pred1UID],Tasks[[#This Row],[UID]]),_xlfn.MAXIFS(Tasks[_Row],Tasks[_Pred2UID],Tasks[[#This Row],[UID]]),_xlfn.MAXIFS(Tasks[_Row],Tasks[_Pred3UID],Tasks[[#This Row],[UID]]),_xlfn.MAXIFS(Tasks[_Row],Tasks[_Pred4UID],Tasks[[#This Row],[UID]])))</f>
        <v>0</v>
      </c>
      <c r="FA1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91" t="str">
        <f aca="false">IF(NOT(Tasks[[#This Row],[_IsLeaf]]=1),"",IF(N(Tasks[[#This Row],[_Days]])&lt;=0,Tasks[[#This Row],[_LeafLateFinish]],WORKDAY.INTL(Tasks[[#This Row],[_LeafLateFinish]],-(Tasks[[#This Row],[_Days]]-1),WorkWeek,Holidays)))</f>
        <v/>
      </c>
      <c r="FD1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9" s="90" t="b">
        <f aca="false">AND(Tasks[[#This Row],[_IsLeaf]]=1,Tasks[[#This Row],[_LeafProgress]]&lt;1,N(Tasks[[#This Row],[_LeafTotalSlack]])&lt;=CriticalSlackDays)</f>
        <v>0</v>
      </c>
      <c r="FF119" s="43" t="n">
        <f aca="false">IF(AND(Tasks[[#This Row],[_IsLeaf]]=1,Tasks[[#This Row],[_ConstraintCode]]=1,Tasks[[#This Row],[Mode]]&lt;&gt;"Manual",N(Tasks[[#This Row],[Actual Start]])=0),MAX(0,N(Tasks[[#This Row],[Free Slack]])),0)</f>
        <v>0</v>
      </c>
      <c r="FG119" s="91" t="str">
        <f aca="false">IF(NOT(Tasks[[#This Row],[_IsLeaf]]=1),"",IF(Tasks[[#This Row],[_AlapShift]]=0,Tasks[[#This Row],[_LeafCalcStart]],WORKDAY.INTL(Tasks[[#This Row],[_LeafCalcStart]],Tasks[[#This Row],[_AlapShift]],WorkWeek,Holidays)))</f>
        <v/>
      </c>
      <c r="FH119" s="91" t="str">
        <f aca="false">IF(NOT(Tasks[[#This Row],[_IsLeaf]]=1),"",IF(Tasks[[#This Row],[_AlapShift]]=0,Tasks[[#This Row],[_LeafCalcFinish]],WORKDAY.INTL(Tasks[[#This Row],[_LeafCalcFinish]],Tasks[[#This Row],[_AlapShift]],WorkWeek,Holidays)))</f>
        <v/>
      </c>
      <c r="FI119" s="91" t="str">
        <f aca="false">IF(NOT(Tasks[[#This Row],[_IsLeaf]]=1),"",IF(Tasks[[#This Row],[_AlapShift]]=0,Tasks[[#This Row],[_LeafFcstStart]],WORKDAY.INTL(Tasks[[#This Row],[_LeafFcstStart]],Tasks[[#This Row],[_AlapShift]],WorkWeek,Holidays)))</f>
        <v/>
      </c>
      <c r="FJ119" s="91" t="str">
        <f aca="false">IF(NOT(Tasks[[#This Row],[_IsLeaf]]=1),"",IF(Tasks[[#This Row],[_AlapShift]]=0,Tasks[[#This Row],[_LeafFcstFinish]],WORKDAY.INTL(Tasks[[#This Row],[_LeafFcstFinish]],Tasks[[#This Row],[_AlapShift]],WorkWeek,Holidays)))</f>
        <v/>
      </c>
      <c r="FK119" s="91" t="str">
        <f aca="false">IF(Tasks[[#This Row],[Task Name]]="","",IF(Tasks[[#This Row],[_IsSummary]],MIN(INDEX(Tasks[_ShownCalcStart],Tasks[[#This Row],[_Row]]+1):INDEX(Tasks[_ShownCalcStart],Tasks[[#This Row],[_Row]]+Tasks[[#This Row],[_Descendants]])),Tasks[[#This Row],[_ShownCalcStart]]))</f>
        <v/>
      </c>
      <c r="FL119" s="91" t="str">
        <f aca="false">IF(Tasks[[#This Row],[Task Name]]="","",IF(Tasks[[#This Row],[_IsSummary]],MAX(INDEX(Tasks[_ShownCalcFinish],Tasks[[#This Row],[_Row]]+1):INDEX(Tasks[_ShownCalcFinish],Tasks[[#This Row],[_Row]]+Tasks[[#This Row],[_Descendants]])),Tasks[[#This Row],[_ShownCalcFinish]]))</f>
        <v/>
      </c>
      <c r="FM1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9" s="43" t="n">
        <f aca="false">IF(AND(Tasks[[#This Row],[_IsLeaf]]=1,Tasks[[#This Row],[_LeafTotalWork]]&gt;0),NETWORKDAYS.INTL(ProjectStart,Tasks[[#This Row],[_ShownFcstStart]],WorkWeek,Holidays),0)</f>
        <v>0</v>
      </c>
      <c r="FZ119" s="43" t="n">
        <f aca="false">IF(AND(Tasks[[#This Row],[_IsLeaf]]=1,Tasks[[#This Row],[_LeafTotalWork]]&gt;0),MAX(Tasks[[#This Row],[_StartWorkday]],NETWORKDAYS.INTL(ProjectStart,Tasks[[#This Row],[_ShownFcstFinish]],WorkWeek,Holidays)),0)</f>
        <v>0</v>
      </c>
      <c r="GA119" s="43" t="n">
        <f aca="false">IF(AND(Tasks[[#This Row],[_IsLeaf]]=1,Tasks[[#This Row],[_LeafTotalWork]]&gt;0),Tasks[[#This Row],[_LeafWork]]/(Tasks[[#This Row],[_FinishWorkday]]-Tasks[[#This Row],[_StartWorkday]]+1),0)</f>
        <v>0</v>
      </c>
      <c r="GB119" s="43" t="n">
        <f aca="false">Tasks[[#This Row],[_WorkPerWorkday]]*(Tasks[[#This Row],[_StartWorkday]]-1)</f>
        <v>-0</v>
      </c>
      <c r="GC119" s="43" t="n">
        <f aca="false">IF(Tasks[[#This Row],[_IsLeaf]]=1,MAX(N(Tasks[[#This Row],[_Days]]),0.1),0)</f>
        <v>0</v>
      </c>
      <c r="GD119" s="43" t="n">
        <f aca="false">Tasks[[#This Row],[_WeightDur]]*Tasks[[#This Row],[_LeafProgress]]</f>
        <v>0</v>
      </c>
      <c r="GE119" s="43" t="n">
        <f aca="false">Tasks[[#This Row],[_WeightDur]]*Tasks[[#This Row],[_PlannedPct]]</f>
        <v>0</v>
      </c>
      <c r="GF1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3" t="str">
        <f aca="false">IF(AND(Tasks[[#This Row],[_IsLeaf]]=1,N(Tasks[[#This Row],[_Days]])=0,Tasks[[#This Row],[_LeafProgress]]&lt;1),Tasks[[#This Row],[_ShownFcstFinish]]+Tasks[[#This Row],[_Row]]/100000,"")</f>
        <v/>
      </c>
      <c r="GH1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9" s="43" t="str">
        <f aca="false">IF(Tasks[[#This Row],[Task Name]]="","",LEFT(Tasks[[#This Row],[WBS]],FIND(".",Tasks[[#This Row],[WBS]]&amp;".")-1))</f>
        <v/>
      </c>
      <c r="GJ119" s="43" t="str">
        <f aca="false">IF(AND(Tasks[[#This Row],[Task Name]]&lt;&gt;"",Tasks[[#This Row],[_Level]]=1),Tasks[[#This Row],[_Row]],"")</f>
        <v/>
      </c>
      <c r="GK119" s="43" t="str">
        <f aca="false">IF(AND(Tasks[[#This Row],[_IsLeaf]]=1,N(Tasks[[#This Row],[_Days]])=0),Tasks[[#This Row],[Planned Finish]]+Tasks[[#This Row],[_Row]]/100000,"")</f>
        <v/>
      </c>
      <c r="GL119" s="43" t="str">
        <f aca="false">IF(AND(Tasks[[#This Row],[_IsLeaf]]=1,Tasks[[#This Row],[_LeafProgress]]&lt;1,OR(N(Tasks[[#This Row],[Finish Var]])&gt;0,Tasks[[#This Row],[Status]]="Late Start")),MAX(0,Tasks[[#This Row],[Finish Var]])+1-Tasks[[#This Row],[_Row]]/1000000,"")</f>
        <v/>
      </c>
      <c r="GM119" s="43" t="str">
        <f aca="false">IF(AND(Tasks[[#This Row],[_IsLeaf]]=1,N(Tasks[[#This Row],[Actual Start]])=0,Tasks[[#This Row],[_ShownFcstStart]]&gt;=StatusDate,Tasks[[#This Row],[_ShownFcstStart]]&lt;=LookaheadEnd),Tasks[[#This Row],[_ShownFcstStart]]+Tasks[[#This Row],[_Row]]/100000,"")</f>
        <v/>
      </c>
      <c r="GN119" s="43" t="str">
        <f aca="false">IF(AND(Tasks[[#This Row],[_IsLeaf]]=1,Tasks[[#This Row],[_LeafProgress]]&lt;1,Tasks[[#This Row],[_ShownFcstFinish]]&gt;=StatusDate,Tasks[[#This Row],[_ShownFcstFinish]]&lt;=LookaheadEnd),Tasks[[#This Row],[_ShownFcstFinish]]+Tasks[[#This Row],[_Row]]/100000,"")</f>
        <v/>
      </c>
      <c r="GO119" s="43" t="str">
        <f aca="false">IF(Tasks[[#This Row],[_LeafCritical]],Tasks[[#This Row],[_ShownFcstStart]]+Tasks[[#This Row],[_Row]]/100000,"")</f>
        <v/>
      </c>
      <c r="GP119" s="43" t="n">
        <f aca="false">Tasks[[#This Row],[_LeafWork]]*Tasks[[#This Row],[_LeafProgress]]</f>
        <v>0</v>
      </c>
      <c r="GQ119" s="91" t="str">
        <f aca="false">IF(AND(Tasks[[#This Row],[_IsLeaf]]=1,Tasks[[#This Row],[_LeafProgress]]&gt;=1),IF(N(Tasks[[#This Row],[Actual Finish]])&gt;0,Tasks[[#This Row],[Actual Finish]],Tasks[[#This Row],[_ShownFcstFinish]]),"")</f>
        <v/>
      </c>
      <c r="GR119" s="43" t="n">
        <f aca="false">IF(Tasks[[#This Row],[_IsLeaf]]=1,N(Tasks[[#This Row],[Story Points]]),0)</f>
        <v>0</v>
      </c>
      <c r="GS119" s="43" t="str">
        <f aca="false">""</f>
        <v/>
      </c>
      <c r="GT119" s="90" t="b">
        <f aca="false">IF(Tasks[[#This Row],[Task Name]]="",FALSE(),AND(Tasks[[#This Row],[_IsLeaf]]=1,N(Tasks[[#This Row],[_Days]])=0))</f>
        <v>0</v>
      </c>
      <c r="GU119" s="91" t="n">
        <f aca="false">IF(Tasks[[#This Row],[Task Name]]="",0,IF(AND(Tasks[[#This Row],[_IsLeaf]]=1,NOT(Tasks[[#This Row],[_IsMilestone]]),N(Tasks[[#This Row],[Progress]])&gt;0),Tasks[[#This Row],[Start]],0))</f>
        <v>0</v>
      </c>
      <c r="GV119" s="91" t="n">
        <f aca="false">IF(Tasks[[#This Row],[_DoneFrom]]=0,0,IF(Tasks[[#This Row],[Progress]]&gt;=1,Tasks[[#This Row],[Finish]],MAX(Tasks[[#This Row],[_DoneFrom]],Tasks[[#This Row],[Start]]+ROUND((Tasks[[#This Row],[Finish]]-Tasks[[#This Row],[Start]]+1)*Tasks[[#This Row],[Progress]],0)-1)))</f>
        <v>0</v>
      </c>
      <c r="GW119" s="91" t="n">
        <f aca="false">IF(Tasks[[#This Row],[Task Name]]="",0,IF(OR(NOT(Tasks[[#This Row],[_IsLeaf]]=1),Tasks[[#This Row],[_IsMilestone]],N(Tasks[[#This Row],[Progress]])&gt;=1),0,IF(Tasks[[#This Row],[_DoneTo]]&gt;0,Tasks[[#This Row],[_DoneTo]]+1,Tasks[[#This Row],[Start]])))</f>
        <v>0</v>
      </c>
      <c r="GX119" s="91" t="n">
        <f aca="false">IF(Tasks[[#This Row],[_RemFrom]]=0,0,Tasks[[#This Row],[Finish]])</f>
        <v>0</v>
      </c>
      <c r="GY119" s="90" t="b">
        <f aca="false">IF(Tasks[[#This Row],[Task Name]]="",FALSE(),OR(NOT(BaselineSet),N(Tasks[[#This Row],[Baseline Start]])&gt;0))</f>
        <v>0</v>
      </c>
      <c r="GZ11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92" t="str">
        <f aca="false">IF(Tasks[[#This Row],[_IsLeaf]]=1,Tasks[[#This Row],[_Row]],"")</f>
        <v/>
      </c>
      <c r="HD119" s="92" t="str">
        <f aca="false">IFERROR(INDEX(Tasks[UID],SMALL(Tasks[_PickKey],Tasks[[#This Row],[_Row]]))&amp;" "&amp;INDEX(Tasks[Task Name],SMALL(Tasks[_PickKey],Tasks[[#This Row],[_Row]])),"")</f>
        <v/>
      </c>
      <c r="HE119" s="43" t="str">
        <f aca="false">IF(Tasks[[#This Row],[Task Name]]="","",IF(Tasks[[#This Row],[_IsSummary]],NETWORKDAYS.INTL(Tasks[[#This Row],[Start]],Tasks[[#This Row],[Finish]],WorkWeek,Holidays),N(Tasks[[#This Row],[_Days]])))</f>
        <v/>
      </c>
      <c r="HF119" s="43" t="n">
        <f aca="false">IF(Tasks[[#This Row],[Expected]]="",0,((Tasks[[#This Row],[Pessimistic]]-Tasks[[#This Row],[Optimistic]])/6)^2)</f>
        <v>0</v>
      </c>
      <c r="HG119" s="43" t="n">
        <f aca="false">IF(Tasks[[#This Row],[Expected]]="",0,Tasks[[#This Row],[Expected]]-N(Tasks[[#This Row],[_Days]]))</f>
        <v>0</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4"/>
      <c r="U120" s="23"/>
      <c r="V120" s="84"/>
      <c r="W120" s="23"/>
      <c r="X120" s="84"/>
      <c r="Y120" s="23"/>
      <c r="Z120" s="84"/>
      <c r="AA120" s="23"/>
      <c r="AB120" s="23"/>
      <c r="AC120" s="7"/>
      <c r="AD120" s="7"/>
      <c r="AE120" s="63" t="str">
        <f aca="false">IF(Tasks[[#This Row],[Task Name]]="","",IF(Tasks[[#This Row],[_IsSummary]],MIN(INDEX(Tasks[_ShownFcstStart],Tasks[[#This Row],[_Row]]+1):INDEX(Tasks[_ShownFcstStart],Tasks[[#This Row],[_Row]]+Tasks[[#This Row],[_Descendants]])),Tasks[[#This Row],[_ShownFcstStart]]))</f>
        <v/>
      </c>
      <c r="AF120" s="63"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0" s="7"/>
      <c r="AK120" s="22"/>
      <c r="AL120" s="23"/>
      <c r="AM120" s="7"/>
      <c r="AN120" s="47"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3" t="str">
        <f aca="false">IF(Tasks[[#This Row],[Task Name]]="","",IF(N(Tasks[[#This Row],[Baseline Start]])&gt;0,Tasks[[#This Row],[Baseline Start]],Tasks[[#This Row],[_CalcStart]]))</f>
        <v/>
      </c>
      <c r="AR120" s="63" t="str">
        <f aca="false">IF(Tasks[[#This Row],[Task Name]]="","",IF(N(Tasks[[#This Row],[Baseline Finish]])&gt;0,Tasks[[#This Row],[Baseline Finish]],Tasks[[#This Row],[_CalcFinish]]))</f>
        <v/>
      </c>
      <c r="AS120" s="47" t="str">
        <f aca="false">IF(Tasks[[#This Row],[Task Name]]="","",IF(Tasks[[#This Row],[Start]]&gt;=Tasks[[#This Row],[Planned Start]],NETWORKDAYS.INTL(Tasks[[#This Row],[Planned Start]],Tasks[[#This Row],[Start]],WorkWeek,Holidays)-1,1-NETWORKDAYS.INTL(Tasks[[#This Row],[Start]],Tasks[[#This Row],[Planned Start]],WorkWeek,Holidays)))</f>
        <v/>
      </c>
      <c r="AT120" s="63" t="str">
        <f aca="false">IF(Tasks[[#This Row],[Task Name]]="","",IF(Tasks[[#This Row],[_IsSummary]],MIN(INDEX(Tasks[_LeafLateStart],Tasks[[#This Row],[_Row]]+1):INDEX(Tasks[_LeafLateStart],Tasks[[#This Row],[_Row]]+Tasks[[#This Row],[_Descendants]])),Tasks[[#This Row],[_LeafLateStart]]))</f>
        <v/>
      </c>
      <c r="AU120" s="63" t="str">
        <f aca="false">IF(Tasks[[#This Row],[Task Name]]="","",IF(Tasks[[#This Row],[_IsSummary]],MAX(INDEX(Tasks[_LeafLateFinish],Tasks[[#This Row],[_Row]]+1):INDEX(Tasks[_LeafLateFinish],Tasks[[#This Row],[_Row]]+Tasks[[#This Row],[_Descendants]])),Tasks[[#This Row],[_LeafLateFinish]]))</f>
        <v/>
      </c>
      <c r="AV120" s="47"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5"/>
      <c r="BA1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6"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7"/>
      <c r="BJ120" s="22"/>
      <c r="BK120" s="47" t="str">
        <f aca="false">IF(OR(Tasks[[#This Row],[Task Name]]="",Tasks[[#This Row],[Baseline Duration]]=""),"",Tasks[[#This Row],[_SpanDays]]-N(Tasks[[#This Row],[Baseline Duration]]))</f>
        <v/>
      </c>
      <c r="BL120" s="86" t="str">
        <f aca="false">IF(OR(Tasks[[#This Row],[Task Name]]="",Tasks[[#This Row],[Baseline Work]]=""),"",Tasks[[#This Row],[Work]]-N(Tasks[[#This Row],[Baseline Work]]))</f>
        <v/>
      </c>
      <c r="BM120" s="63" t="str">
        <f aca="false">IF(Tasks[[#This Row],[Task Name]]="","",IF(OR(TakeBaseline="Yes",N(Tasks[[#This Row],[Baseline Start]])=0),Tasks[[#This Row],[Start]],Tasks[[#This Row],[Baseline Start]]))</f>
        <v/>
      </c>
      <c r="BN120" s="63" t="str">
        <f aca="false">IF(Tasks[[#This Row],[Task Name]]="","",IF(OR(TakeBaseline="Yes",N(Tasks[[#This Row],[Baseline Finish]])=0),Tasks[[#This Row],[Finish]],Tasks[[#This Row],[Baseline Finish]]))</f>
        <v/>
      </c>
      <c r="BO120" s="21" t="str">
        <f aca="false">IF(Tasks[[#This Row],[Task Name]]="","",IF(OR(TakeBaseline="Yes",N(Tasks[[#This Row],[Baseline Duration]])=0),Tasks[[#This Row],[_SpanDays]],Tasks[[#This Row],[Baseline Duration]]))</f>
        <v/>
      </c>
      <c r="BP120" s="86" t="str">
        <f aca="false">IF(Tasks[[#This Row],[Task Name]]="","",IF(OR(TakeBaseline="Yes",N(Tasks[[#This Row],[Baseline Work]])=0),Tasks[[#This Row],[Work]],Tasks[[#This Row],[Baseline Work]]))</f>
        <v/>
      </c>
      <c r="BQ120" s="7"/>
      <c r="BR120" s="7"/>
      <c r="BS120" s="22"/>
      <c r="BT120" s="88"/>
      <c r="BU120" s="23"/>
      <c r="BV120" s="23"/>
      <c r="BW120" s="23"/>
      <c r="BX120" s="89" t="str">
        <f aca="false">IF(AND(Tasks[[#This Row],[_IsLeaf]]=1,ISNUMBER(Tasks[[#This Row],[Optimistic]]),ISNUMBER(Tasks[[#This Row],[Pessimistic]])),ROUND((Tasks[[#This Row],[Optimistic]]+4*N(Tasks[[#This Row],[_Days]])+Tasks[[#This Row],[Pessimistic]])/6,1),"")</f>
        <v/>
      </c>
      <c r="BY120" s="87"/>
      <c r="BZ120" s="87"/>
      <c r="CA120" s="22"/>
      <c r="CB120" s="43" t="str">
        <f aca="false">IF(Tasks[[#This Row],[Task Name]]="","",MAX(1,N(Tasks[[#This Row],[Level]])))</f>
        <v/>
      </c>
      <c r="CC120" s="43" t="n">
        <f aca="false">ROW()-ROW(Tasks[[#Headers],[ID]])</f>
        <v>115</v>
      </c>
      <c r="CD120" s="43" t="n">
        <f aca="false">IF(OR(Tasks[[#This Row],[Task Name]]="",Tasks[[#This Row],[_Level]]&lt;=1),0,IFERROR(LOOKUP(2,1/(Tasks[[#Headers],[_Level]]:Tasks[[#This Row],[_Level]]=Tasks[[#This Row],[_Level]]-1),ROW(Tasks[[#Headers],[_Level]]:Tasks[[#This Row],[_Level]])),0))</f>
        <v>0</v>
      </c>
      <c r="CE120" s="43" t="n">
        <f aca="false">IFERROR(N(INDEX(Tasks[_Level],Tasks[[#This Row],[_Row]]+1)),0)</f>
        <v>0</v>
      </c>
      <c r="CF120" s="90" t="b">
        <f aca="false">AND(Tasks[[#This Row],[Task Name]]&lt;&gt;"",Tasks[[#This Row],[_NextLevel]]&gt;Tasks[[#This Row],[_Level]])</f>
        <v>0</v>
      </c>
      <c r="CG120" s="43" t="n">
        <f aca="false">IF(Tasks[[#This Row],[_IsSummary]],COUNTIF(Tasks[WBS],Tasks[[#This Row],[WBS]]&amp;".*"),0)</f>
        <v>0</v>
      </c>
      <c r="CH120" s="43" t="n">
        <f aca="false">IF(AND(Tasks[[#This Row],[Task Name]]&lt;&gt;"",NOT(Tasks[[#This Row],[_IsSummary]])),1,0)</f>
        <v>0</v>
      </c>
      <c r="CI120" s="43" t="n">
        <f aca="false">IF(N(Tasks[[#This Row],[_Pred1UID]])=0,0,IFERROR(MATCH(Tasks[[#This Row],[_Pred1UID]],Tasks[UID],0),-1))</f>
        <v>0</v>
      </c>
      <c r="CJ120" s="43" t="n">
        <f aca="false">IF(N(Tasks[[#This Row],[_Pred2UID]])=0,0,IFERROR(MATCH(Tasks[[#This Row],[_Pred2UID]],Tasks[UID],0),-1))</f>
        <v>0</v>
      </c>
      <c r="CK120" s="43" t="n">
        <f aca="false">IF(N(Tasks[[#This Row],[_Pred3UID]])=0,0,IFERROR(MATCH(Tasks[[#This Row],[_Pred3UID]],Tasks[UID],0),-1))</f>
        <v>0</v>
      </c>
      <c r="CL120" s="43" t="n">
        <f aca="false">IF(N(Tasks[[#This Row],[_Pred4UID]])=0,0,IFERROR(MATCH(Tasks[[#This Row],[_Pred4UID]],Tasks[UID],0),-1))</f>
        <v>0</v>
      </c>
      <c r="CM1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0" s="91" t="n">
        <f aca="false">IF(OR(Tasks[[#This Row],[_ConstraintCode]]=2,Tasks[[#This Row],[_ConstraintCode]]=3,Tasks[[#This Row],[_ConstraintCode]]=4,Tasks[[#This Row],[_ConstraintCode]]=6),Tasks[[#This Row],[_ConstraintStart]],0)</f>
        <v>0</v>
      </c>
      <c r="CP120" s="91" t="n">
        <f aca="false">IF(OR(Tasks[[#This Row],[_ConstraintCode]]=2,Tasks[[#This Row],[_ConstraintCode]]=3,Tasks[[#This Row],[_ConstraintCode]]=5,Tasks[[#This Row],[_ConstraintCode]]=7),Tasks[[#This Row],[_ConstraintStart]],2958465)</f>
        <v>2958465</v>
      </c>
      <c r="CQ1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91" t="str">
        <f aca="false">IF(NOT(Tasks[[#This Row],[_IsLeaf]]=1),"",IF(N(Tasks[[#This Row],[_Days]])&lt;=0,Tasks[[#This Row],[_LeafCalcStart]],WORKDAY.INTL(Tasks[[#This Row],[_LeafCalcStart]],Tasks[[#This Row],[_Days]]-1,WorkWeek,Holidays)))</f>
        <v/>
      </c>
      <c r="CS1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3" t="str">
        <f aca="false">IF(Tasks[[#This Row],[_Predecessors]]="","",TRIM(MID(SUBSTITUTE(SUBSTITUTE(SUBSTITUTE(UPPER(Tasks[[#This Row],[_Predecessors]]),";",",")," ",""),",",REPT(" ",99)),1,99)))</f>
        <v/>
      </c>
      <c r="CV120" s="43" t="str">
        <f aca="false">IF(Tasks[[#This Row],[_Pred1Text]]="","",IFERROR(VALUE(LEFT(Tasks[[#This Row],[_Pred1Text]],MIN(FIND("F",Tasks[[#This Row],[_Pred1Text]]&amp;"F"),FIND("S",Tasks[[#This Row],[_Pred1Text]]&amp;"S"),FIND("+",Tasks[[#This Row],[_Pred1Text]]&amp;"+"),FIND("-",Tasks[[#This Row],[_Pred1Text]]&amp;"-"))-1)),""))</f>
        <v/>
      </c>
      <c r="CW1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3" t="str">
        <f aca="false">IF(Tasks[[#This Row],[_Pred1Text]]="","",TRIM(MID(SUBSTITUTE(SUBSTITUTE(SUBSTITUTE(UPPER(Tasks[[#This Row],[_Predecessors]]),";",",")," ",""),",",REPT(" ",99)),100,99)))</f>
        <v/>
      </c>
      <c r="CZ120" s="43" t="str">
        <f aca="false">IF(Tasks[[#This Row],[_Pred2Text]]="","",IFERROR(VALUE(LEFT(Tasks[[#This Row],[_Pred2Text]],MIN(FIND("F",Tasks[[#This Row],[_Pred2Text]]&amp;"F"),FIND("S",Tasks[[#This Row],[_Pred2Text]]&amp;"S"),FIND("+",Tasks[[#This Row],[_Pred2Text]]&amp;"+"),FIND("-",Tasks[[#This Row],[_Pred2Text]]&amp;"-"))-1)),""))</f>
        <v/>
      </c>
      <c r="DA1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3" t="str">
        <f aca="false">IF(Tasks[[#This Row],[_Pred2Text]]="","",TRIM(MID(SUBSTITUTE(SUBSTITUTE(SUBSTITUTE(UPPER(Tasks[[#This Row],[_Predecessors]]),";",",")," ",""),",",REPT(" ",99)),199,99)))</f>
        <v/>
      </c>
      <c r="DD120" s="43" t="str">
        <f aca="false">IF(Tasks[[#This Row],[_Pred3Text]]="","",IFERROR(VALUE(LEFT(Tasks[[#This Row],[_Pred3Text]],MIN(FIND("F",Tasks[[#This Row],[_Pred3Text]]&amp;"F"),FIND("S",Tasks[[#This Row],[_Pred3Text]]&amp;"S"),FIND("+",Tasks[[#This Row],[_Pred3Text]]&amp;"+"),FIND("-",Tasks[[#This Row],[_Pred3Text]]&amp;"-"))-1)),""))</f>
        <v/>
      </c>
      <c r="DE1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3" t="str">
        <f aca="false">IF(Tasks[[#This Row],[_Pred3Text]]="","",TRIM(MID(SUBSTITUTE(SUBSTITUTE(SUBSTITUTE(UPPER(Tasks[[#This Row],[_Predecessors]]),";",",")," ",""),",",REPT(" ",99)),298,99)))</f>
        <v/>
      </c>
      <c r="DH120" s="43" t="str">
        <f aca="false">IF(Tasks[[#This Row],[_Pred4Text]]="","",IFERROR(VALUE(LEFT(Tasks[[#This Row],[_Pred4Text]],MIN(FIND("F",Tasks[[#This Row],[_Pred4Text]]&amp;"F"),FIND("S",Tasks[[#This Row],[_Pred4Text]]&amp;"S"),FIND("+",Tasks[[#This Row],[_Pred4Text]]&amp;"+"),FIND("-",Tasks[[#This Row],[_Pred4Text]]&amp;"-"))-1)),""))</f>
        <v/>
      </c>
      <c r="DI1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3" t="str">
        <f aca="false">IF(OR(Tasks[[#This Row],[Task Name]]="",Tasks[[#This Row],[_Resources]]=""),"",TRIM(MID(SUBSTITUTE(Tasks[[#This Row],[_Resources]],",",REPT(" ",99)),1,99)))</f>
        <v/>
      </c>
      <c r="DL120" s="43" t="str">
        <f aca="false">IF(Tasks[[#This Row],[_Res1Text]]="","",TRIM(MID(SUBSTITUTE(Tasks[[#This Row],[_Resources]],",",REPT(" ",99)),100,99)))</f>
        <v/>
      </c>
      <c r="DM120" s="43" t="str">
        <f aca="false">IF(Tasks[[#This Row],[_Res2Text]]="","",TRIM(MID(SUBSTITUTE(Tasks[[#This Row],[_Resources]],",",REPT(" ",99)),199,99)))</f>
        <v/>
      </c>
      <c r="DN120" s="43" t="str">
        <f aca="false">IF(Tasks[[#This Row],[_Res3Text]]="","",TRIM(MID(SUBSTITUTE(Tasks[[#This Row],[_Resources]],",",REPT(" ",99)),298,99)))</f>
        <v/>
      </c>
      <c r="DO120" s="43" t="n">
        <f aca="false">IF(Tasks[[#This Row],[_Res1Text]]="",0,IFERROR(MATCH(TRIM(LEFT(Tasks[[#This Row],[_Res1Text]],FIND("[",Tasks[[#This Row],[_Res1Text]]&amp;"[")-1)),res_Name,0),IFERROR(MATCH(TRIM(LEFT(Tasks[[#This Row],[_Res1Text]],FIND("[",Tasks[[#This Row],[_Res1Text]]&amp;"[")-1)),res_Initials,0),0)))</f>
        <v>0</v>
      </c>
      <c r="DP120" s="43" t="n">
        <f aca="false">IF(Tasks[[#This Row],[_Res2Text]]="",0,IFERROR(MATCH(TRIM(LEFT(Tasks[[#This Row],[_Res2Text]],FIND("[",Tasks[[#This Row],[_Res2Text]]&amp;"[")-1)),res_Name,0),IFERROR(MATCH(TRIM(LEFT(Tasks[[#This Row],[_Res2Text]],FIND("[",Tasks[[#This Row],[_Res2Text]]&amp;"[")-1)),res_Initials,0),0)))</f>
        <v>0</v>
      </c>
      <c r="DQ120" s="43" t="n">
        <f aca="false">IF(Tasks[[#This Row],[_Res3Text]]="",0,IFERROR(MATCH(TRIM(LEFT(Tasks[[#This Row],[_Res3Text]],FIND("[",Tasks[[#This Row],[_Res3Text]]&amp;"[")-1)),res_Name,0),IFERROR(MATCH(TRIM(LEFT(Tasks[[#This Row],[_Res3Text]],FIND("[",Tasks[[#This Row],[_Res3Text]]&amp;"[")-1)),res_Initials,0),0)))</f>
        <v>0</v>
      </c>
      <c r="DR120" s="43" t="n">
        <f aca="false">IF(Tasks[[#This Row],[_Res4Text]]="",0,IFERROR(MATCH(TRIM(LEFT(Tasks[[#This Row],[_Res4Text]],FIND("[",Tasks[[#This Row],[_Res4Text]]&amp;"[")-1)),res_Name,0),IFERROR(MATCH(TRIM(LEFT(Tasks[[#This Row],[_Res4Text]],FIND("[",Tasks[[#This Row],[_Res4Text]]&amp;"[")-1)),res_Initials,0),0)))</f>
        <v>0</v>
      </c>
      <c r="DS120" s="43" t="str">
        <f aca="false">IF(Tasks[[#This Row],[_Res1Text]]="","",IF(Tasks[[#This Row],[_Res1Row]]&gt;0,INDEX(res_Name,Tasks[[#This Row],[_Res1Row]]),TRIM(LEFT(Tasks[[#This Row],[_Res1Text]],FIND("[",Tasks[[#This Row],[_Res1Text]]&amp;"[")-1))))</f>
        <v/>
      </c>
      <c r="DT1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3" t="n">
        <f aca="false">IF(NOT(Tasks[[#This Row],[_IsLeaf]]=1),0,(Tasks[[#This Row],[_Resource1]]&lt;&gt;"")+(Tasks[[#This Row],[_Res2]]&lt;&gt;"")+(Tasks[[#This Row],[_Res3]]&lt;&gt;"")+(Tasks[[#This Row],[_Res4]]&lt;&gt;""))</f>
        <v>0</v>
      </c>
      <c r="DV120" s="43" t="str">
        <f aca="false">IF(Tasks[[#This Row],[_Res2Text]]="","",IF(Tasks[[#This Row],[_Res2Row]]&gt;0,INDEX(res_Name,Tasks[[#This Row],[_Res2Row]]),TRIM(LEFT(Tasks[[#This Row],[_Res2Text]],FIND("[",Tasks[[#This Row],[_Res2Text]]&amp;"[")-1))))</f>
        <v/>
      </c>
      <c r="DW1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3" t="n">
        <f aca="false">IF(OR(NOT(Tasks[[#This Row],[_IsLeaf]]=1),Tasks[[#This Row],[_Res2Row]]=0),0,N(Tasks[[#This Row],[_Days]])*HoursPerDay*IF(Tasks[[#This Row],[_Res2Units]]="",DefaultUnits,Tasks[[#This Row],[_Res2Units]]))</f>
        <v>0</v>
      </c>
      <c r="DY120" s="43" t="n">
        <f aca="false">IF(AND(AND(Tasks[[#This Row],[_IsLeaf]]=1,Tasks[[#This Row],[_LeafTotalWork]]&gt;0),Tasks[[#This Row],[_Res2Work]]&gt;0),Tasks[[#This Row],[_Res2Work]]/(Tasks[[#This Row],[_FinishWorkday]]-Tasks[[#This Row],[_StartWorkday]]+1),0)</f>
        <v>0</v>
      </c>
      <c r="DZ120" s="43" t="n">
        <f aca="false">Tasks[[#This Row],[_Res2WorkPerWD]]*MAX(0,Tasks[[#This Row],[_StartWorkday]]-1)</f>
        <v>0</v>
      </c>
      <c r="EA120" s="43" t="n">
        <f aca="false">Tasks[[#This Row],[_Res2Work]]*Tasks[[#This Row],[_LeafProgress]]</f>
        <v>0</v>
      </c>
      <c r="EB120" s="43" t="str">
        <f aca="false">IF(Tasks[[#This Row],[_Res3Text]]="","",IF(Tasks[[#This Row],[_Res3Row]]&gt;0,INDEX(res_Name,Tasks[[#This Row],[_Res3Row]]),TRIM(LEFT(Tasks[[#This Row],[_Res3Text]],FIND("[",Tasks[[#This Row],[_Res3Text]]&amp;"[")-1))))</f>
        <v/>
      </c>
      <c r="EC1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3" t="n">
        <f aca="false">IF(OR(NOT(Tasks[[#This Row],[_IsLeaf]]=1),Tasks[[#This Row],[_Res3Row]]=0),0,N(Tasks[[#This Row],[_Days]])*HoursPerDay*IF(Tasks[[#This Row],[_Res3Units]]="",DefaultUnits,Tasks[[#This Row],[_Res3Units]]))</f>
        <v>0</v>
      </c>
      <c r="EE120" s="43" t="n">
        <f aca="false">IF(AND(AND(Tasks[[#This Row],[_IsLeaf]]=1,Tasks[[#This Row],[_LeafTotalWork]]&gt;0),Tasks[[#This Row],[_Res3Work]]&gt;0),Tasks[[#This Row],[_Res3Work]]/(Tasks[[#This Row],[_FinishWorkday]]-Tasks[[#This Row],[_StartWorkday]]+1),0)</f>
        <v>0</v>
      </c>
      <c r="EF120" s="43" t="n">
        <f aca="false">Tasks[[#This Row],[_Res3WorkPerWD]]*MAX(0,Tasks[[#This Row],[_StartWorkday]]-1)</f>
        <v>0</v>
      </c>
      <c r="EG120" s="43" t="n">
        <f aca="false">Tasks[[#This Row],[_Res3Work]]*Tasks[[#This Row],[_LeafProgress]]</f>
        <v>0</v>
      </c>
      <c r="EH120" s="43" t="str">
        <f aca="false">IF(Tasks[[#This Row],[_Res4Text]]="","",IF(Tasks[[#This Row],[_Res4Row]]&gt;0,INDEX(res_Name,Tasks[[#This Row],[_Res4Row]]),TRIM(LEFT(Tasks[[#This Row],[_Res4Text]],FIND("[",Tasks[[#This Row],[_Res4Text]]&amp;"[")-1))))</f>
        <v/>
      </c>
      <c r="EI1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3" t="n">
        <f aca="false">IF(OR(NOT(Tasks[[#This Row],[_IsLeaf]]=1),Tasks[[#This Row],[_Res4Row]]=0),0,N(Tasks[[#This Row],[_Days]])*HoursPerDay*IF(Tasks[[#This Row],[_Res4Units]]="",DefaultUnits,Tasks[[#This Row],[_Res4Units]]))</f>
        <v>0</v>
      </c>
      <c r="EK120" s="43" t="n">
        <f aca="false">IF(AND(AND(Tasks[[#This Row],[_IsLeaf]]=1,Tasks[[#This Row],[_LeafTotalWork]]&gt;0),Tasks[[#This Row],[_Res4Work]]&gt;0),Tasks[[#This Row],[_Res4Work]]/(Tasks[[#This Row],[_FinishWorkday]]-Tasks[[#This Row],[_StartWorkday]]+1),0)</f>
        <v>0</v>
      </c>
      <c r="EL120" s="43" t="n">
        <f aca="false">Tasks[[#This Row],[_Res4WorkPerWD]]*MAX(0,Tasks[[#This Row],[_StartWorkday]]-1)</f>
        <v>0</v>
      </c>
      <c r="EM120" s="43" t="n">
        <f aca="false">Tasks[[#This Row],[_Res4Work]]*Tasks[[#This Row],[_LeafProgress]]</f>
        <v>0</v>
      </c>
      <c r="EN120" s="43" t="n">
        <f aca="false">IF(ISNUMBER(Tasks[[#This Row],[% Complete]]),Tasks[[#This Row],[% Complete]],IF(Tasks[[#This Row],[Stage]]="",0,IFERROR(INDEX(stg_Pct,MATCH(Tasks[[#This Row],[Stage]],stg_Name,0)),0)))</f>
        <v>0</v>
      </c>
      <c r="EO120" s="43" t="n">
        <f aca="false">IF(NOT(Tasks[[#This Row],[_IsLeaf]]=1),0,IF(N(Tasks[[#This Row],[Actual Finish]])&gt;0,1,MIN(1,Tasks[[#This Row],[_Pct]])))</f>
        <v>0</v>
      </c>
      <c r="EP120" s="43" t="n">
        <f aca="false">IF(OR(NOT(Tasks[[#This Row],[_IsLeaf]]=1),Tasks[[#This Row],[_Res1Row]]=0),0,N(Tasks[[#This Row],[_Days]])*HoursPerDay*IF(Tasks[[#This Row],[_Units1]]="",DefaultUnits,Tasks[[#This Row],[_Units1]]))</f>
        <v>0</v>
      </c>
      <c r="EQ120" s="43" t="n">
        <f aca="false">Tasks[[#This Row],[_LeafWork]]+Tasks[[#This Row],[_Res2Work]]+Tasks[[#This Row],[_Res3Work]]+Tasks[[#This Row],[_Res4Work]]</f>
        <v>0</v>
      </c>
      <c r="ER1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3" t="n">
        <f aca="false">IF(NOT(Tasks[[#This Row],[_IsLeaf]]=1),0,MAX(_xlfn.MAXIFS(Tasks[_Row],Tasks[_Pred1UID],Tasks[[#This Row],[UID]]),_xlfn.MAXIFS(Tasks[_Row],Tasks[_Pred2UID],Tasks[[#This Row],[UID]]),_xlfn.MAXIFS(Tasks[_Row],Tasks[_Pred3UID],Tasks[[#This Row],[UID]]),_xlfn.MAXIFS(Tasks[_Row],Tasks[_Pred4UID],Tasks[[#This Row],[UID]])))</f>
        <v>0</v>
      </c>
      <c r="FA1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91" t="str">
        <f aca="false">IF(NOT(Tasks[[#This Row],[_IsLeaf]]=1),"",IF(N(Tasks[[#This Row],[_Days]])&lt;=0,Tasks[[#This Row],[_LeafLateFinish]],WORKDAY.INTL(Tasks[[#This Row],[_LeafLateFinish]],-(Tasks[[#This Row],[_Days]]-1),WorkWeek,Holidays)))</f>
        <v/>
      </c>
      <c r="FD1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0" s="90" t="b">
        <f aca="false">AND(Tasks[[#This Row],[_IsLeaf]]=1,Tasks[[#This Row],[_LeafProgress]]&lt;1,N(Tasks[[#This Row],[_LeafTotalSlack]])&lt;=CriticalSlackDays)</f>
        <v>0</v>
      </c>
      <c r="FF120" s="43" t="n">
        <f aca="false">IF(AND(Tasks[[#This Row],[_IsLeaf]]=1,Tasks[[#This Row],[_ConstraintCode]]=1,Tasks[[#This Row],[Mode]]&lt;&gt;"Manual",N(Tasks[[#This Row],[Actual Start]])=0),MAX(0,N(Tasks[[#This Row],[Free Slack]])),0)</f>
        <v>0</v>
      </c>
      <c r="FG120" s="91" t="str">
        <f aca="false">IF(NOT(Tasks[[#This Row],[_IsLeaf]]=1),"",IF(Tasks[[#This Row],[_AlapShift]]=0,Tasks[[#This Row],[_LeafCalcStart]],WORKDAY.INTL(Tasks[[#This Row],[_LeafCalcStart]],Tasks[[#This Row],[_AlapShift]],WorkWeek,Holidays)))</f>
        <v/>
      </c>
      <c r="FH120" s="91" t="str">
        <f aca="false">IF(NOT(Tasks[[#This Row],[_IsLeaf]]=1),"",IF(Tasks[[#This Row],[_AlapShift]]=0,Tasks[[#This Row],[_LeafCalcFinish]],WORKDAY.INTL(Tasks[[#This Row],[_LeafCalcFinish]],Tasks[[#This Row],[_AlapShift]],WorkWeek,Holidays)))</f>
        <v/>
      </c>
      <c r="FI120" s="91" t="str">
        <f aca="false">IF(NOT(Tasks[[#This Row],[_IsLeaf]]=1),"",IF(Tasks[[#This Row],[_AlapShift]]=0,Tasks[[#This Row],[_LeafFcstStart]],WORKDAY.INTL(Tasks[[#This Row],[_LeafFcstStart]],Tasks[[#This Row],[_AlapShift]],WorkWeek,Holidays)))</f>
        <v/>
      </c>
      <c r="FJ120" s="91" t="str">
        <f aca="false">IF(NOT(Tasks[[#This Row],[_IsLeaf]]=1),"",IF(Tasks[[#This Row],[_AlapShift]]=0,Tasks[[#This Row],[_LeafFcstFinish]],WORKDAY.INTL(Tasks[[#This Row],[_LeafFcstFinish]],Tasks[[#This Row],[_AlapShift]],WorkWeek,Holidays)))</f>
        <v/>
      </c>
      <c r="FK120" s="91" t="str">
        <f aca="false">IF(Tasks[[#This Row],[Task Name]]="","",IF(Tasks[[#This Row],[_IsSummary]],MIN(INDEX(Tasks[_ShownCalcStart],Tasks[[#This Row],[_Row]]+1):INDEX(Tasks[_ShownCalcStart],Tasks[[#This Row],[_Row]]+Tasks[[#This Row],[_Descendants]])),Tasks[[#This Row],[_ShownCalcStart]]))</f>
        <v/>
      </c>
      <c r="FL120" s="91" t="str">
        <f aca="false">IF(Tasks[[#This Row],[Task Name]]="","",IF(Tasks[[#This Row],[_IsSummary]],MAX(INDEX(Tasks[_ShownCalcFinish],Tasks[[#This Row],[_Row]]+1):INDEX(Tasks[_ShownCalcFinish],Tasks[[#This Row],[_Row]]+Tasks[[#This Row],[_Descendants]])),Tasks[[#This Row],[_ShownCalcFinish]]))</f>
        <v/>
      </c>
      <c r="FM1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0" s="43" t="n">
        <f aca="false">IF(AND(Tasks[[#This Row],[_IsLeaf]]=1,Tasks[[#This Row],[_LeafTotalWork]]&gt;0),NETWORKDAYS.INTL(ProjectStart,Tasks[[#This Row],[_ShownFcstStart]],WorkWeek,Holidays),0)</f>
        <v>0</v>
      </c>
      <c r="FZ120" s="43" t="n">
        <f aca="false">IF(AND(Tasks[[#This Row],[_IsLeaf]]=1,Tasks[[#This Row],[_LeafTotalWork]]&gt;0),MAX(Tasks[[#This Row],[_StartWorkday]],NETWORKDAYS.INTL(ProjectStart,Tasks[[#This Row],[_ShownFcstFinish]],WorkWeek,Holidays)),0)</f>
        <v>0</v>
      </c>
      <c r="GA120" s="43" t="n">
        <f aca="false">IF(AND(Tasks[[#This Row],[_IsLeaf]]=1,Tasks[[#This Row],[_LeafTotalWork]]&gt;0),Tasks[[#This Row],[_LeafWork]]/(Tasks[[#This Row],[_FinishWorkday]]-Tasks[[#This Row],[_StartWorkday]]+1),0)</f>
        <v>0</v>
      </c>
      <c r="GB120" s="43" t="n">
        <f aca="false">Tasks[[#This Row],[_WorkPerWorkday]]*(Tasks[[#This Row],[_StartWorkday]]-1)</f>
        <v>-0</v>
      </c>
      <c r="GC120" s="43" t="n">
        <f aca="false">IF(Tasks[[#This Row],[_IsLeaf]]=1,MAX(N(Tasks[[#This Row],[_Days]]),0.1),0)</f>
        <v>0</v>
      </c>
      <c r="GD120" s="43" t="n">
        <f aca="false">Tasks[[#This Row],[_WeightDur]]*Tasks[[#This Row],[_LeafProgress]]</f>
        <v>0</v>
      </c>
      <c r="GE120" s="43" t="n">
        <f aca="false">Tasks[[#This Row],[_WeightDur]]*Tasks[[#This Row],[_PlannedPct]]</f>
        <v>0</v>
      </c>
      <c r="GF1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3" t="str">
        <f aca="false">IF(AND(Tasks[[#This Row],[_IsLeaf]]=1,N(Tasks[[#This Row],[_Days]])=0,Tasks[[#This Row],[_LeafProgress]]&lt;1),Tasks[[#This Row],[_ShownFcstFinish]]+Tasks[[#This Row],[_Row]]/100000,"")</f>
        <v/>
      </c>
      <c r="GH1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0" s="43" t="str">
        <f aca="false">IF(Tasks[[#This Row],[Task Name]]="","",LEFT(Tasks[[#This Row],[WBS]],FIND(".",Tasks[[#This Row],[WBS]]&amp;".")-1))</f>
        <v/>
      </c>
      <c r="GJ120" s="43" t="str">
        <f aca="false">IF(AND(Tasks[[#This Row],[Task Name]]&lt;&gt;"",Tasks[[#This Row],[_Level]]=1),Tasks[[#This Row],[_Row]],"")</f>
        <v/>
      </c>
      <c r="GK120" s="43" t="str">
        <f aca="false">IF(AND(Tasks[[#This Row],[_IsLeaf]]=1,N(Tasks[[#This Row],[_Days]])=0),Tasks[[#This Row],[Planned Finish]]+Tasks[[#This Row],[_Row]]/100000,"")</f>
        <v/>
      </c>
      <c r="GL120" s="43" t="str">
        <f aca="false">IF(AND(Tasks[[#This Row],[_IsLeaf]]=1,Tasks[[#This Row],[_LeafProgress]]&lt;1,OR(N(Tasks[[#This Row],[Finish Var]])&gt;0,Tasks[[#This Row],[Status]]="Late Start")),MAX(0,Tasks[[#This Row],[Finish Var]])+1-Tasks[[#This Row],[_Row]]/1000000,"")</f>
        <v/>
      </c>
      <c r="GM120" s="43" t="str">
        <f aca="false">IF(AND(Tasks[[#This Row],[_IsLeaf]]=1,N(Tasks[[#This Row],[Actual Start]])=0,Tasks[[#This Row],[_ShownFcstStart]]&gt;=StatusDate,Tasks[[#This Row],[_ShownFcstStart]]&lt;=LookaheadEnd),Tasks[[#This Row],[_ShownFcstStart]]+Tasks[[#This Row],[_Row]]/100000,"")</f>
        <v/>
      </c>
      <c r="GN120" s="43" t="str">
        <f aca="false">IF(AND(Tasks[[#This Row],[_IsLeaf]]=1,Tasks[[#This Row],[_LeafProgress]]&lt;1,Tasks[[#This Row],[_ShownFcstFinish]]&gt;=StatusDate,Tasks[[#This Row],[_ShownFcstFinish]]&lt;=LookaheadEnd),Tasks[[#This Row],[_ShownFcstFinish]]+Tasks[[#This Row],[_Row]]/100000,"")</f>
        <v/>
      </c>
      <c r="GO120" s="43" t="str">
        <f aca="false">IF(Tasks[[#This Row],[_LeafCritical]],Tasks[[#This Row],[_ShownFcstStart]]+Tasks[[#This Row],[_Row]]/100000,"")</f>
        <v/>
      </c>
      <c r="GP120" s="43" t="n">
        <f aca="false">Tasks[[#This Row],[_LeafWork]]*Tasks[[#This Row],[_LeafProgress]]</f>
        <v>0</v>
      </c>
      <c r="GQ120" s="91" t="str">
        <f aca="false">IF(AND(Tasks[[#This Row],[_IsLeaf]]=1,Tasks[[#This Row],[_LeafProgress]]&gt;=1),IF(N(Tasks[[#This Row],[Actual Finish]])&gt;0,Tasks[[#This Row],[Actual Finish]],Tasks[[#This Row],[_ShownFcstFinish]]),"")</f>
        <v/>
      </c>
      <c r="GR120" s="43" t="n">
        <f aca="false">IF(Tasks[[#This Row],[_IsLeaf]]=1,N(Tasks[[#This Row],[Story Points]]),0)</f>
        <v>0</v>
      </c>
      <c r="GS120" s="43" t="str">
        <f aca="false">""</f>
        <v/>
      </c>
      <c r="GT120" s="90" t="b">
        <f aca="false">IF(Tasks[[#This Row],[Task Name]]="",FALSE(),AND(Tasks[[#This Row],[_IsLeaf]]=1,N(Tasks[[#This Row],[_Days]])=0))</f>
        <v>0</v>
      </c>
      <c r="GU120" s="91" t="n">
        <f aca="false">IF(Tasks[[#This Row],[Task Name]]="",0,IF(AND(Tasks[[#This Row],[_IsLeaf]]=1,NOT(Tasks[[#This Row],[_IsMilestone]]),N(Tasks[[#This Row],[Progress]])&gt;0),Tasks[[#This Row],[Start]],0))</f>
        <v>0</v>
      </c>
      <c r="GV120" s="91" t="n">
        <f aca="false">IF(Tasks[[#This Row],[_DoneFrom]]=0,0,IF(Tasks[[#This Row],[Progress]]&gt;=1,Tasks[[#This Row],[Finish]],MAX(Tasks[[#This Row],[_DoneFrom]],Tasks[[#This Row],[Start]]+ROUND((Tasks[[#This Row],[Finish]]-Tasks[[#This Row],[Start]]+1)*Tasks[[#This Row],[Progress]],0)-1)))</f>
        <v>0</v>
      </c>
      <c r="GW120" s="91" t="n">
        <f aca="false">IF(Tasks[[#This Row],[Task Name]]="",0,IF(OR(NOT(Tasks[[#This Row],[_IsLeaf]]=1),Tasks[[#This Row],[_IsMilestone]],N(Tasks[[#This Row],[Progress]])&gt;=1),0,IF(Tasks[[#This Row],[_DoneTo]]&gt;0,Tasks[[#This Row],[_DoneTo]]+1,Tasks[[#This Row],[Start]])))</f>
        <v>0</v>
      </c>
      <c r="GX120" s="91" t="n">
        <f aca="false">IF(Tasks[[#This Row],[_RemFrom]]=0,0,Tasks[[#This Row],[Finish]])</f>
        <v>0</v>
      </c>
      <c r="GY120" s="90" t="b">
        <f aca="false">IF(Tasks[[#This Row],[Task Name]]="",FALSE(),OR(NOT(BaselineSet),N(Tasks[[#This Row],[Baseline Start]])&gt;0))</f>
        <v>0</v>
      </c>
      <c r="GZ12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92" t="str">
        <f aca="false">IF(Tasks[[#This Row],[_IsLeaf]]=1,Tasks[[#This Row],[_Row]],"")</f>
        <v/>
      </c>
      <c r="HD120" s="92" t="str">
        <f aca="false">IFERROR(INDEX(Tasks[UID],SMALL(Tasks[_PickKey],Tasks[[#This Row],[_Row]]))&amp;" "&amp;INDEX(Tasks[Task Name],SMALL(Tasks[_PickKey],Tasks[[#This Row],[_Row]])),"")</f>
        <v/>
      </c>
      <c r="HE120" s="43" t="str">
        <f aca="false">IF(Tasks[[#This Row],[Task Name]]="","",IF(Tasks[[#This Row],[_IsSummary]],NETWORKDAYS.INTL(Tasks[[#This Row],[Start]],Tasks[[#This Row],[Finish]],WorkWeek,Holidays),N(Tasks[[#This Row],[_Days]])))</f>
        <v/>
      </c>
      <c r="HF120" s="43" t="n">
        <f aca="false">IF(Tasks[[#This Row],[Expected]]="",0,((Tasks[[#This Row],[Pessimistic]]-Tasks[[#This Row],[Optimistic]])/6)^2)</f>
        <v>0</v>
      </c>
      <c r="HG120" s="43" t="n">
        <f aca="false">IF(Tasks[[#This Row],[Expected]]="",0,Tasks[[#This Row],[Expected]]-N(Tasks[[#This Row],[_Days]]))</f>
        <v>0</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4"/>
      <c r="U121" s="23"/>
      <c r="V121" s="84"/>
      <c r="W121" s="23"/>
      <c r="X121" s="84"/>
      <c r="Y121" s="23"/>
      <c r="Z121" s="84"/>
      <c r="AA121" s="23"/>
      <c r="AB121" s="23"/>
      <c r="AC121" s="7"/>
      <c r="AD121" s="7"/>
      <c r="AE121" s="63" t="str">
        <f aca="false">IF(Tasks[[#This Row],[Task Name]]="","",IF(Tasks[[#This Row],[_IsSummary]],MIN(INDEX(Tasks[_ShownFcstStart],Tasks[[#This Row],[_Row]]+1):INDEX(Tasks[_ShownFcstStart],Tasks[[#This Row],[_Row]]+Tasks[[#This Row],[_Descendants]])),Tasks[[#This Row],[_ShownFcstStart]]))</f>
        <v/>
      </c>
      <c r="AF121" s="63"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1" s="7"/>
      <c r="AK121" s="22"/>
      <c r="AL121" s="23"/>
      <c r="AM121" s="7"/>
      <c r="AN121" s="47"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3" t="str">
        <f aca="false">IF(Tasks[[#This Row],[Task Name]]="","",IF(N(Tasks[[#This Row],[Baseline Start]])&gt;0,Tasks[[#This Row],[Baseline Start]],Tasks[[#This Row],[_CalcStart]]))</f>
        <v/>
      </c>
      <c r="AR121" s="63" t="str">
        <f aca="false">IF(Tasks[[#This Row],[Task Name]]="","",IF(N(Tasks[[#This Row],[Baseline Finish]])&gt;0,Tasks[[#This Row],[Baseline Finish]],Tasks[[#This Row],[_CalcFinish]]))</f>
        <v/>
      </c>
      <c r="AS121" s="47" t="str">
        <f aca="false">IF(Tasks[[#This Row],[Task Name]]="","",IF(Tasks[[#This Row],[Start]]&gt;=Tasks[[#This Row],[Planned Start]],NETWORKDAYS.INTL(Tasks[[#This Row],[Planned Start]],Tasks[[#This Row],[Start]],WorkWeek,Holidays)-1,1-NETWORKDAYS.INTL(Tasks[[#This Row],[Start]],Tasks[[#This Row],[Planned Start]],WorkWeek,Holidays)))</f>
        <v/>
      </c>
      <c r="AT121" s="63" t="str">
        <f aca="false">IF(Tasks[[#This Row],[Task Name]]="","",IF(Tasks[[#This Row],[_IsSummary]],MIN(INDEX(Tasks[_LeafLateStart],Tasks[[#This Row],[_Row]]+1):INDEX(Tasks[_LeafLateStart],Tasks[[#This Row],[_Row]]+Tasks[[#This Row],[_Descendants]])),Tasks[[#This Row],[_LeafLateStart]]))</f>
        <v/>
      </c>
      <c r="AU121" s="63" t="str">
        <f aca="false">IF(Tasks[[#This Row],[Task Name]]="","",IF(Tasks[[#This Row],[_IsSummary]],MAX(INDEX(Tasks[_LeafLateFinish],Tasks[[#This Row],[_Row]]+1):INDEX(Tasks[_LeafLateFinish],Tasks[[#This Row],[_Row]]+Tasks[[#This Row],[_Descendants]])),Tasks[[#This Row],[_LeafLateFinish]]))</f>
        <v/>
      </c>
      <c r="AV121" s="47"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5"/>
      <c r="BA1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6"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7"/>
      <c r="BJ121" s="22"/>
      <c r="BK121" s="47" t="str">
        <f aca="false">IF(OR(Tasks[[#This Row],[Task Name]]="",Tasks[[#This Row],[Baseline Duration]]=""),"",Tasks[[#This Row],[_SpanDays]]-N(Tasks[[#This Row],[Baseline Duration]]))</f>
        <v/>
      </c>
      <c r="BL121" s="86" t="str">
        <f aca="false">IF(OR(Tasks[[#This Row],[Task Name]]="",Tasks[[#This Row],[Baseline Work]]=""),"",Tasks[[#This Row],[Work]]-N(Tasks[[#This Row],[Baseline Work]]))</f>
        <v/>
      </c>
      <c r="BM121" s="63" t="str">
        <f aca="false">IF(Tasks[[#This Row],[Task Name]]="","",IF(OR(TakeBaseline="Yes",N(Tasks[[#This Row],[Baseline Start]])=0),Tasks[[#This Row],[Start]],Tasks[[#This Row],[Baseline Start]]))</f>
        <v/>
      </c>
      <c r="BN121" s="63" t="str">
        <f aca="false">IF(Tasks[[#This Row],[Task Name]]="","",IF(OR(TakeBaseline="Yes",N(Tasks[[#This Row],[Baseline Finish]])=0),Tasks[[#This Row],[Finish]],Tasks[[#This Row],[Baseline Finish]]))</f>
        <v/>
      </c>
      <c r="BO121" s="21" t="str">
        <f aca="false">IF(Tasks[[#This Row],[Task Name]]="","",IF(OR(TakeBaseline="Yes",N(Tasks[[#This Row],[Baseline Duration]])=0),Tasks[[#This Row],[_SpanDays]],Tasks[[#This Row],[Baseline Duration]]))</f>
        <v/>
      </c>
      <c r="BP121" s="86" t="str">
        <f aca="false">IF(Tasks[[#This Row],[Task Name]]="","",IF(OR(TakeBaseline="Yes",N(Tasks[[#This Row],[Baseline Work]])=0),Tasks[[#This Row],[Work]],Tasks[[#This Row],[Baseline Work]]))</f>
        <v/>
      </c>
      <c r="BQ121" s="7"/>
      <c r="BR121" s="7"/>
      <c r="BS121" s="22"/>
      <c r="BT121" s="88"/>
      <c r="BU121" s="23"/>
      <c r="BV121" s="23"/>
      <c r="BW121" s="23"/>
      <c r="BX121" s="89" t="str">
        <f aca="false">IF(AND(Tasks[[#This Row],[_IsLeaf]]=1,ISNUMBER(Tasks[[#This Row],[Optimistic]]),ISNUMBER(Tasks[[#This Row],[Pessimistic]])),ROUND((Tasks[[#This Row],[Optimistic]]+4*N(Tasks[[#This Row],[_Days]])+Tasks[[#This Row],[Pessimistic]])/6,1),"")</f>
        <v/>
      </c>
      <c r="BY121" s="87"/>
      <c r="BZ121" s="87"/>
      <c r="CA121" s="22"/>
      <c r="CB121" s="43" t="str">
        <f aca="false">IF(Tasks[[#This Row],[Task Name]]="","",MAX(1,N(Tasks[[#This Row],[Level]])))</f>
        <v/>
      </c>
      <c r="CC121" s="43" t="n">
        <f aca="false">ROW()-ROW(Tasks[[#Headers],[ID]])</f>
        <v>116</v>
      </c>
      <c r="CD121" s="43" t="n">
        <f aca="false">IF(OR(Tasks[[#This Row],[Task Name]]="",Tasks[[#This Row],[_Level]]&lt;=1),0,IFERROR(LOOKUP(2,1/(Tasks[[#Headers],[_Level]]:Tasks[[#This Row],[_Level]]=Tasks[[#This Row],[_Level]]-1),ROW(Tasks[[#Headers],[_Level]]:Tasks[[#This Row],[_Level]])),0))</f>
        <v>0</v>
      </c>
      <c r="CE121" s="43" t="n">
        <f aca="false">IFERROR(N(INDEX(Tasks[_Level],Tasks[[#This Row],[_Row]]+1)),0)</f>
        <v>0</v>
      </c>
      <c r="CF121" s="90" t="b">
        <f aca="false">AND(Tasks[[#This Row],[Task Name]]&lt;&gt;"",Tasks[[#This Row],[_NextLevel]]&gt;Tasks[[#This Row],[_Level]])</f>
        <v>0</v>
      </c>
      <c r="CG121" s="43" t="n">
        <f aca="false">IF(Tasks[[#This Row],[_IsSummary]],COUNTIF(Tasks[WBS],Tasks[[#This Row],[WBS]]&amp;".*"),0)</f>
        <v>0</v>
      </c>
      <c r="CH121" s="43" t="n">
        <f aca="false">IF(AND(Tasks[[#This Row],[Task Name]]&lt;&gt;"",NOT(Tasks[[#This Row],[_IsSummary]])),1,0)</f>
        <v>0</v>
      </c>
      <c r="CI121" s="43" t="n">
        <f aca="false">IF(N(Tasks[[#This Row],[_Pred1UID]])=0,0,IFERROR(MATCH(Tasks[[#This Row],[_Pred1UID]],Tasks[UID],0),-1))</f>
        <v>0</v>
      </c>
      <c r="CJ121" s="43" t="n">
        <f aca="false">IF(N(Tasks[[#This Row],[_Pred2UID]])=0,0,IFERROR(MATCH(Tasks[[#This Row],[_Pred2UID]],Tasks[UID],0),-1))</f>
        <v>0</v>
      </c>
      <c r="CK121" s="43" t="n">
        <f aca="false">IF(N(Tasks[[#This Row],[_Pred3UID]])=0,0,IFERROR(MATCH(Tasks[[#This Row],[_Pred3UID]],Tasks[UID],0),-1))</f>
        <v>0</v>
      </c>
      <c r="CL121" s="43" t="n">
        <f aca="false">IF(N(Tasks[[#This Row],[_Pred4UID]])=0,0,IFERROR(MATCH(Tasks[[#This Row],[_Pred4UID]],Tasks[UID],0),-1))</f>
        <v>0</v>
      </c>
      <c r="CM1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1" s="91" t="n">
        <f aca="false">IF(OR(Tasks[[#This Row],[_ConstraintCode]]=2,Tasks[[#This Row],[_ConstraintCode]]=3,Tasks[[#This Row],[_ConstraintCode]]=4,Tasks[[#This Row],[_ConstraintCode]]=6),Tasks[[#This Row],[_ConstraintStart]],0)</f>
        <v>0</v>
      </c>
      <c r="CP121" s="91" t="n">
        <f aca="false">IF(OR(Tasks[[#This Row],[_ConstraintCode]]=2,Tasks[[#This Row],[_ConstraintCode]]=3,Tasks[[#This Row],[_ConstraintCode]]=5,Tasks[[#This Row],[_ConstraintCode]]=7),Tasks[[#This Row],[_ConstraintStart]],2958465)</f>
        <v>2958465</v>
      </c>
      <c r="CQ1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91" t="str">
        <f aca="false">IF(NOT(Tasks[[#This Row],[_IsLeaf]]=1),"",IF(N(Tasks[[#This Row],[_Days]])&lt;=0,Tasks[[#This Row],[_LeafCalcStart]],WORKDAY.INTL(Tasks[[#This Row],[_LeafCalcStart]],Tasks[[#This Row],[_Days]]-1,WorkWeek,Holidays)))</f>
        <v/>
      </c>
      <c r="CS1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3" t="str">
        <f aca="false">IF(Tasks[[#This Row],[_Predecessors]]="","",TRIM(MID(SUBSTITUTE(SUBSTITUTE(SUBSTITUTE(UPPER(Tasks[[#This Row],[_Predecessors]]),";",",")," ",""),",",REPT(" ",99)),1,99)))</f>
        <v/>
      </c>
      <c r="CV121" s="43" t="str">
        <f aca="false">IF(Tasks[[#This Row],[_Pred1Text]]="","",IFERROR(VALUE(LEFT(Tasks[[#This Row],[_Pred1Text]],MIN(FIND("F",Tasks[[#This Row],[_Pred1Text]]&amp;"F"),FIND("S",Tasks[[#This Row],[_Pred1Text]]&amp;"S"),FIND("+",Tasks[[#This Row],[_Pred1Text]]&amp;"+"),FIND("-",Tasks[[#This Row],[_Pred1Text]]&amp;"-"))-1)),""))</f>
        <v/>
      </c>
      <c r="CW1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3" t="str">
        <f aca="false">IF(Tasks[[#This Row],[_Pred1Text]]="","",TRIM(MID(SUBSTITUTE(SUBSTITUTE(SUBSTITUTE(UPPER(Tasks[[#This Row],[_Predecessors]]),";",",")," ",""),",",REPT(" ",99)),100,99)))</f>
        <v/>
      </c>
      <c r="CZ121" s="43" t="str">
        <f aca="false">IF(Tasks[[#This Row],[_Pred2Text]]="","",IFERROR(VALUE(LEFT(Tasks[[#This Row],[_Pred2Text]],MIN(FIND("F",Tasks[[#This Row],[_Pred2Text]]&amp;"F"),FIND("S",Tasks[[#This Row],[_Pred2Text]]&amp;"S"),FIND("+",Tasks[[#This Row],[_Pred2Text]]&amp;"+"),FIND("-",Tasks[[#This Row],[_Pred2Text]]&amp;"-"))-1)),""))</f>
        <v/>
      </c>
      <c r="DA1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3" t="str">
        <f aca="false">IF(Tasks[[#This Row],[_Pred2Text]]="","",TRIM(MID(SUBSTITUTE(SUBSTITUTE(SUBSTITUTE(UPPER(Tasks[[#This Row],[_Predecessors]]),";",",")," ",""),",",REPT(" ",99)),199,99)))</f>
        <v/>
      </c>
      <c r="DD121" s="43" t="str">
        <f aca="false">IF(Tasks[[#This Row],[_Pred3Text]]="","",IFERROR(VALUE(LEFT(Tasks[[#This Row],[_Pred3Text]],MIN(FIND("F",Tasks[[#This Row],[_Pred3Text]]&amp;"F"),FIND("S",Tasks[[#This Row],[_Pred3Text]]&amp;"S"),FIND("+",Tasks[[#This Row],[_Pred3Text]]&amp;"+"),FIND("-",Tasks[[#This Row],[_Pred3Text]]&amp;"-"))-1)),""))</f>
        <v/>
      </c>
      <c r="DE1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3" t="str">
        <f aca="false">IF(Tasks[[#This Row],[_Pred3Text]]="","",TRIM(MID(SUBSTITUTE(SUBSTITUTE(SUBSTITUTE(UPPER(Tasks[[#This Row],[_Predecessors]]),";",",")," ",""),",",REPT(" ",99)),298,99)))</f>
        <v/>
      </c>
      <c r="DH121" s="43" t="str">
        <f aca="false">IF(Tasks[[#This Row],[_Pred4Text]]="","",IFERROR(VALUE(LEFT(Tasks[[#This Row],[_Pred4Text]],MIN(FIND("F",Tasks[[#This Row],[_Pred4Text]]&amp;"F"),FIND("S",Tasks[[#This Row],[_Pred4Text]]&amp;"S"),FIND("+",Tasks[[#This Row],[_Pred4Text]]&amp;"+"),FIND("-",Tasks[[#This Row],[_Pred4Text]]&amp;"-"))-1)),""))</f>
        <v/>
      </c>
      <c r="DI1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3" t="str">
        <f aca="false">IF(OR(Tasks[[#This Row],[Task Name]]="",Tasks[[#This Row],[_Resources]]=""),"",TRIM(MID(SUBSTITUTE(Tasks[[#This Row],[_Resources]],",",REPT(" ",99)),1,99)))</f>
        <v/>
      </c>
      <c r="DL121" s="43" t="str">
        <f aca="false">IF(Tasks[[#This Row],[_Res1Text]]="","",TRIM(MID(SUBSTITUTE(Tasks[[#This Row],[_Resources]],",",REPT(" ",99)),100,99)))</f>
        <v/>
      </c>
      <c r="DM121" s="43" t="str">
        <f aca="false">IF(Tasks[[#This Row],[_Res2Text]]="","",TRIM(MID(SUBSTITUTE(Tasks[[#This Row],[_Resources]],",",REPT(" ",99)),199,99)))</f>
        <v/>
      </c>
      <c r="DN121" s="43" t="str">
        <f aca="false">IF(Tasks[[#This Row],[_Res3Text]]="","",TRIM(MID(SUBSTITUTE(Tasks[[#This Row],[_Resources]],",",REPT(" ",99)),298,99)))</f>
        <v/>
      </c>
      <c r="DO121" s="43" t="n">
        <f aca="false">IF(Tasks[[#This Row],[_Res1Text]]="",0,IFERROR(MATCH(TRIM(LEFT(Tasks[[#This Row],[_Res1Text]],FIND("[",Tasks[[#This Row],[_Res1Text]]&amp;"[")-1)),res_Name,0),IFERROR(MATCH(TRIM(LEFT(Tasks[[#This Row],[_Res1Text]],FIND("[",Tasks[[#This Row],[_Res1Text]]&amp;"[")-1)),res_Initials,0),0)))</f>
        <v>0</v>
      </c>
      <c r="DP121" s="43" t="n">
        <f aca="false">IF(Tasks[[#This Row],[_Res2Text]]="",0,IFERROR(MATCH(TRIM(LEFT(Tasks[[#This Row],[_Res2Text]],FIND("[",Tasks[[#This Row],[_Res2Text]]&amp;"[")-1)),res_Name,0),IFERROR(MATCH(TRIM(LEFT(Tasks[[#This Row],[_Res2Text]],FIND("[",Tasks[[#This Row],[_Res2Text]]&amp;"[")-1)),res_Initials,0),0)))</f>
        <v>0</v>
      </c>
      <c r="DQ121" s="43" t="n">
        <f aca="false">IF(Tasks[[#This Row],[_Res3Text]]="",0,IFERROR(MATCH(TRIM(LEFT(Tasks[[#This Row],[_Res3Text]],FIND("[",Tasks[[#This Row],[_Res3Text]]&amp;"[")-1)),res_Name,0),IFERROR(MATCH(TRIM(LEFT(Tasks[[#This Row],[_Res3Text]],FIND("[",Tasks[[#This Row],[_Res3Text]]&amp;"[")-1)),res_Initials,0),0)))</f>
        <v>0</v>
      </c>
      <c r="DR121" s="43" t="n">
        <f aca="false">IF(Tasks[[#This Row],[_Res4Text]]="",0,IFERROR(MATCH(TRIM(LEFT(Tasks[[#This Row],[_Res4Text]],FIND("[",Tasks[[#This Row],[_Res4Text]]&amp;"[")-1)),res_Name,0),IFERROR(MATCH(TRIM(LEFT(Tasks[[#This Row],[_Res4Text]],FIND("[",Tasks[[#This Row],[_Res4Text]]&amp;"[")-1)),res_Initials,0),0)))</f>
        <v>0</v>
      </c>
      <c r="DS121" s="43" t="str">
        <f aca="false">IF(Tasks[[#This Row],[_Res1Text]]="","",IF(Tasks[[#This Row],[_Res1Row]]&gt;0,INDEX(res_Name,Tasks[[#This Row],[_Res1Row]]),TRIM(LEFT(Tasks[[#This Row],[_Res1Text]],FIND("[",Tasks[[#This Row],[_Res1Text]]&amp;"[")-1))))</f>
        <v/>
      </c>
      <c r="DT1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3" t="n">
        <f aca="false">IF(NOT(Tasks[[#This Row],[_IsLeaf]]=1),0,(Tasks[[#This Row],[_Resource1]]&lt;&gt;"")+(Tasks[[#This Row],[_Res2]]&lt;&gt;"")+(Tasks[[#This Row],[_Res3]]&lt;&gt;"")+(Tasks[[#This Row],[_Res4]]&lt;&gt;""))</f>
        <v>0</v>
      </c>
      <c r="DV121" s="43" t="str">
        <f aca="false">IF(Tasks[[#This Row],[_Res2Text]]="","",IF(Tasks[[#This Row],[_Res2Row]]&gt;0,INDEX(res_Name,Tasks[[#This Row],[_Res2Row]]),TRIM(LEFT(Tasks[[#This Row],[_Res2Text]],FIND("[",Tasks[[#This Row],[_Res2Text]]&amp;"[")-1))))</f>
        <v/>
      </c>
      <c r="DW1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3" t="n">
        <f aca="false">IF(OR(NOT(Tasks[[#This Row],[_IsLeaf]]=1),Tasks[[#This Row],[_Res2Row]]=0),0,N(Tasks[[#This Row],[_Days]])*HoursPerDay*IF(Tasks[[#This Row],[_Res2Units]]="",DefaultUnits,Tasks[[#This Row],[_Res2Units]]))</f>
        <v>0</v>
      </c>
      <c r="DY121" s="43" t="n">
        <f aca="false">IF(AND(AND(Tasks[[#This Row],[_IsLeaf]]=1,Tasks[[#This Row],[_LeafTotalWork]]&gt;0),Tasks[[#This Row],[_Res2Work]]&gt;0),Tasks[[#This Row],[_Res2Work]]/(Tasks[[#This Row],[_FinishWorkday]]-Tasks[[#This Row],[_StartWorkday]]+1),0)</f>
        <v>0</v>
      </c>
      <c r="DZ121" s="43" t="n">
        <f aca="false">Tasks[[#This Row],[_Res2WorkPerWD]]*MAX(0,Tasks[[#This Row],[_StartWorkday]]-1)</f>
        <v>0</v>
      </c>
      <c r="EA121" s="43" t="n">
        <f aca="false">Tasks[[#This Row],[_Res2Work]]*Tasks[[#This Row],[_LeafProgress]]</f>
        <v>0</v>
      </c>
      <c r="EB121" s="43" t="str">
        <f aca="false">IF(Tasks[[#This Row],[_Res3Text]]="","",IF(Tasks[[#This Row],[_Res3Row]]&gt;0,INDEX(res_Name,Tasks[[#This Row],[_Res3Row]]),TRIM(LEFT(Tasks[[#This Row],[_Res3Text]],FIND("[",Tasks[[#This Row],[_Res3Text]]&amp;"[")-1))))</f>
        <v/>
      </c>
      <c r="EC1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3" t="n">
        <f aca="false">IF(OR(NOT(Tasks[[#This Row],[_IsLeaf]]=1),Tasks[[#This Row],[_Res3Row]]=0),0,N(Tasks[[#This Row],[_Days]])*HoursPerDay*IF(Tasks[[#This Row],[_Res3Units]]="",DefaultUnits,Tasks[[#This Row],[_Res3Units]]))</f>
        <v>0</v>
      </c>
      <c r="EE121" s="43" t="n">
        <f aca="false">IF(AND(AND(Tasks[[#This Row],[_IsLeaf]]=1,Tasks[[#This Row],[_LeafTotalWork]]&gt;0),Tasks[[#This Row],[_Res3Work]]&gt;0),Tasks[[#This Row],[_Res3Work]]/(Tasks[[#This Row],[_FinishWorkday]]-Tasks[[#This Row],[_StartWorkday]]+1),0)</f>
        <v>0</v>
      </c>
      <c r="EF121" s="43" t="n">
        <f aca="false">Tasks[[#This Row],[_Res3WorkPerWD]]*MAX(0,Tasks[[#This Row],[_StartWorkday]]-1)</f>
        <v>0</v>
      </c>
      <c r="EG121" s="43" t="n">
        <f aca="false">Tasks[[#This Row],[_Res3Work]]*Tasks[[#This Row],[_LeafProgress]]</f>
        <v>0</v>
      </c>
      <c r="EH121" s="43" t="str">
        <f aca="false">IF(Tasks[[#This Row],[_Res4Text]]="","",IF(Tasks[[#This Row],[_Res4Row]]&gt;0,INDEX(res_Name,Tasks[[#This Row],[_Res4Row]]),TRIM(LEFT(Tasks[[#This Row],[_Res4Text]],FIND("[",Tasks[[#This Row],[_Res4Text]]&amp;"[")-1))))</f>
        <v/>
      </c>
      <c r="EI1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3" t="n">
        <f aca="false">IF(OR(NOT(Tasks[[#This Row],[_IsLeaf]]=1),Tasks[[#This Row],[_Res4Row]]=0),0,N(Tasks[[#This Row],[_Days]])*HoursPerDay*IF(Tasks[[#This Row],[_Res4Units]]="",DefaultUnits,Tasks[[#This Row],[_Res4Units]]))</f>
        <v>0</v>
      </c>
      <c r="EK121" s="43" t="n">
        <f aca="false">IF(AND(AND(Tasks[[#This Row],[_IsLeaf]]=1,Tasks[[#This Row],[_LeafTotalWork]]&gt;0),Tasks[[#This Row],[_Res4Work]]&gt;0),Tasks[[#This Row],[_Res4Work]]/(Tasks[[#This Row],[_FinishWorkday]]-Tasks[[#This Row],[_StartWorkday]]+1),0)</f>
        <v>0</v>
      </c>
      <c r="EL121" s="43" t="n">
        <f aca="false">Tasks[[#This Row],[_Res4WorkPerWD]]*MAX(0,Tasks[[#This Row],[_StartWorkday]]-1)</f>
        <v>0</v>
      </c>
      <c r="EM121" s="43" t="n">
        <f aca="false">Tasks[[#This Row],[_Res4Work]]*Tasks[[#This Row],[_LeafProgress]]</f>
        <v>0</v>
      </c>
      <c r="EN121" s="43" t="n">
        <f aca="false">IF(ISNUMBER(Tasks[[#This Row],[% Complete]]),Tasks[[#This Row],[% Complete]],IF(Tasks[[#This Row],[Stage]]="",0,IFERROR(INDEX(stg_Pct,MATCH(Tasks[[#This Row],[Stage]],stg_Name,0)),0)))</f>
        <v>0</v>
      </c>
      <c r="EO121" s="43" t="n">
        <f aca="false">IF(NOT(Tasks[[#This Row],[_IsLeaf]]=1),0,IF(N(Tasks[[#This Row],[Actual Finish]])&gt;0,1,MIN(1,Tasks[[#This Row],[_Pct]])))</f>
        <v>0</v>
      </c>
      <c r="EP121" s="43" t="n">
        <f aca="false">IF(OR(NOT(Tasks[[#This Row],[_IsLeaf]]=1),Tasks[[#This Row],[_Res1Row]]=0),0,N(Tasks[[#This Row],[_Days]])*HoursPerDay*IF(Tasks[[#This Row],[_Units1]]="",DefaultUnits,Tasks[[#This Row],[_Units1]]))</f>
        <v>0</v>
      </c>
      <c r="EQ121" s="43" t="n">
        <f aca="false">Tasks[[#This Row],[_LeafWork]]+Tasks[[#This Row],[_Res2Work]]+Tasks[[#This Row],[_Res3Work]]+Tasks[[#This Row],[_Res4Work]]</f>
        <v>0</v>
      </c>
      <c r="ER1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3" t="n">
        <f aca="false">IF(NOT(Tasks[[#This Row],[_IsLeaf]]=1),0,MAX(_xlfn.MAXIFS(Tasks[_Row],Tasks[_Pred1UID],Tasks[[#This Row],[UID]]),_xlfn.MAXIFS(Tasks[_Row],Tasks[_Pred2UID],Tasks[[#This Row],[UID]]),_xlfn.MAXIFS(Tasks[_Row],Tasks[_Pred3UID],Tasks[[#This Row],[UID]]),_xlfn.MAXIFS(Tasks[_Row],Tasks[_Pred4UID],Tasks[[#This Row],[UID]])))</f>
        <v>0</v>
      </c>
      <c r="FA1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91" t="str">
        <f aca="false">IF(NOT(Tasks[[#This Row],[_IsLeaf]]=1),"",IF(N(Tasks[[#This Row],[_Days]])&lt;=0,Tasks[[#This Row],[_LeafLateFinish]],WORKDAY.INTL(Tasks[[#This Row],[_LeafLateFinish]],-(Tasks[[#This Row],[_Days]]-1),WorkWeek,Holidays)))</f>
        <v/>
      </c>
      <c r="FD1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1" s="90" t="b">
        <f aca="false">AND(Tasks[[#This Row],[_IsLeaf]]=1,Tasks[[#This Row],[_LeafProgress]]&lt;1,N(Tasks[[#This Row],[_LeafTotalSlack]])&lt;=CriticalSlackDays)</f>
        <v>0</v>
      </c>
      <c r="FF121" s="43" t="n">
        <f aca="false">IF(AND(Tasks[[#This Row],[_IsLeaf]]=1,Tasks[[#This Row],[_ConstraintCode]]=1,Tasks[[#This Row],[Mode]]&lt;&gt;"Manual",N(Tasks[[#This Row],[Actual Start]])=0),MAX(0,N(Tasks[[#This Row],[Free Slack]])),0)</f>
        <v>0</v>
      </c>
      <c r="FG121" s="91" t="str">
        <f aca="false">IF(NOT(Tasks[[#This Row],[_IsLeaf]]=1),"",IF(Tasks[[#This Row],[_AlapShift]]=0,Tasks[[#This Row],[_LeafCalcStart]],WORKDAY.INTL(Tasks[[#This Row],[_LeafCalcStart]],Tasks[[#This Row],[_AlapShift]],WorkWeek,Holidays)))</f>
        <v/>
      </c>
      <c r="FH121" s="91" t="str">
        <f aca="false">IF(NOT(Tasks[[#This Row],[_IsLeaf]]=1),"",IF(Tasks[[#This Row],[_AlapShift]]=0,Tasks[[#This Row],[_LeafCalcFinish]],WORKDAY.INTL(Tasks[[#This Row],[_LeafCalcFinish]],Tasks[[#This Row],[_AlapShift]],WorkWeek,Holidays)))</f>
        <v/>
      </c>
      <c r="FI121" s="91" t="str">
        <f aca="false">IF(NOT(Tasks[[#This Row],[_IsLeaf]]=1),"",IF(Tasks[[#This Row],[_AlapShift]]=0,Tasks[[#This Row],[_LeafFcstStart]],WORKDAY.INTL(Tasks[[#This Row],[_LeafFcstStart]],Tasks[[#This Row],[_AlapShift]],WorkWeek,Holidays)))</f>
        <v/>
      </c>
      <c r="FJ121" s="91" t="str">
        <f aca="false">IF(NOT(Tasks[[#This Row],[_IsLeaf]]=1),"",IF(Tasks[[#This Row],[_AlapShift]]=0,Tasks[[#This Row],[_LeafFcstFinish]],WORKDAY.INTL(Tasks[[#This Row],[_LeafFcstFinish]],Tasks[[#This Row],[_AlapShift]],WorkWeek,Holidays)))</f>
        <v/>
      </c>
      <c r="FK121" s="91" t="str">
        <f aca="false">IF(Tasks[[#This Row],[Task Name]]="","",IF(Tasks[[#This Row],[_IsSummary]],MIN(INDEX(Tasks[_ShownCalcStart],Tasks[[#This Row],[_Row]]+1):INDEX(Tasks[_ShownCalcStart],Tasks[[#This Row],[_Row]]+Tasks[[#This Row],[_Descendants]])),Tasks[[#This Row],[_ShownCalcStart]]))</f>
        <v/>
      </c>
      <c r="FL121" s="91" t="str">
        <f aca="false">IF(Tasks[[#This Row],[Task Name]]="","",IF(Tasks[[#This Row],[_IsSummary]],MAX(INDEX(Tasks[_ShownCalcFinish],Tasks[[#This Row],[_Row]]+1):INDEX(Tasks[_ShownCalcFinish],Tasks[[#This Row],[_Row]]+Tasks[[#This Row],[_Descendants]])),Tasks[[#This Row],[_ShownCalcFinish]]))</f>
        <v/>
      </c>
      <c r="FM1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1" s="43" t="n">
        <f aca="false">IF(AND(Tasks[[#This Row],[_IsLeaf]]=1,Tasks[[#This Row],[_LeafTotalWork]]&gt;0),NETWORKDAYS.INTL(ProjectStart,Tasks[[#This Row],[_ShownFcstStart]],WorkWeek,Holidays),0)</f>
        <v>0</v>
      </c>
      <c r="FZ121" s="43" t="n">
        <f aca="false">IF(AND(Tasks[[#This Row],[_IsLeaf]]=1,Tasks[[#This Row],[_LeafTotalWork]]&gt;0),MAX(Tasks[[#This Row],[_StartWorkday]],NETWORKDAYS.INTL(ProjectStart,Tasks[[#This Row],[_ShownFcstFinish]],WorkWeek,Holidays)),0)</f>
        <v>0</v>
      </c>
      <c r="GA121" s="43" t="n">
        <f aca="false">IF(AND(Tasks[[#This Row],[_IsLeaf]]=1,Tasks[[#This Row],[_LeafTotalWork]]&gt;0),Tasks[[#This Row],[_LeafWork]]/(Tasks[[#This Row],[_FinishWorkday]]-Tasks[[#This Row],[_StartWorkday]]+1),0)</f>
        <v>0</v>
      </c>
      <c r="GB121" s="43" t="n">
        <f aca="false">Tasks[[#This Row],[_WorkPerWorkday]]*(Tasks[[#This Row],[_StartWorkday]]-1)</f>
        <v>-0</v>
      </c>
      <c r="GC121" s="43" t="n">
        <f aca="false">IF(Tasks[[#This Row],[_IsLeaf]]=1,MAX(N(Tasks[[#This Row],[_Days]]),0.1),0)</f>
        <v>0</v>
      </c>
      <c r="GD121" s="43" t="n">
        <f aca="false">Tasks[[#This Row],[_WeightDur]]*Tasks[[#This Row],[_LeafProgress]]</f>
        <v>0</v>
      </c>
      <c r="GE121" s="43" t="n">
        <f aca="false">Tasks[[#This Row],[_WeightDur]]*Tasks[[#This Row],[_PlannedPct]]</f>
        <v>0</v>
      </c>
      <c r="GF1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3" t="str">
        <f aca="false">IF(AND(Tasks[[#This Row],[_IsLeaf]]=1,N(Tasks[[#This Row],[_Days]])=0,Tasks[[#This Row],[_LeafProgress]]&lt;1),Tasks[[#This Row],[_ShownFcstFinish]]+Tasks[[#This Row],[_Row]]/100000,"")</f>
        <v/>
      </c>
      <c r="GH1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1" s="43" t="str">
        <f aca="false">IF(Tasks[[#This Row],[Task Name]]="","",LEFT(Tasks[[#This Row],[WBS]],FIND(".",Tasks[[#This Row],[WBS]]&amp;".")-1))</f>
        <v/>
      </c>
      <c r="GJ121" s="43" t="str">
        <f aca="false">IF(AND(Tasks[[#This Row],[Task Name]]&lt;&gt;"",Tasks[[#This Row],[_Level]]=1),Tasks[[#This Row],[_Row]],"")</f>
        <v/>
      </c>
      <c r="GK121" s="43" t="str">
        <f aca="false">IF(AND(Tasks[[#This Row],[_IsLeaf]]=1,N(Tasks[[#This Row],[_Days]])=0),Tasks[[#This Row],[Planned Finish]]+Tasks[[#This Row],[_Row]]/100000,"")</f>
        <v/>
      </c>
      <c r="GL121" s="43" t="str">
        <f aca="false">IF(AND(Tasks[[#This Row],[_IsLeaf]]=1,Tasks[[#This Row],[_LeafProgress]]&lt;1,OR(N(Tasks[[#This Row],[Finish Var]])&gt;0,Tasks[[#This Row],[Status]]="Late Start")),MAX(0,Tasks[[#This Row],[Finish Var]])+1-Tasks[[#This Row],[_Row]]/1000000,"")</f>
        <v/>
      </c>
      <c r="GM121" s="43" t="str">
        <f aca="false">IF(AND(Tasks[[#This Row],[_IsLeaf]]=1,N(Tasks[[#This Row],[Actual Start]])=0,Tasks[[#This Row],[_ShownFcstStart]]&gt;=StatusDate,Tasks[[#This Row],[_ShownFcstStart]]&lt;=LookaheadEnd),Tasks[[#This Row],[_ShownFcstStart]]+Tasks[[#This Row],[_Row]]/100000,"")</f>
        <v/>
      </c>
      <c r="GN121" s="43" t="str">
        <f aca="false">IF(AND(Tasks[[#This Row],[_IsLeaf]]=1,Tasks[[#This Row],[_LeafProgress]]&lt;1,Tasks[[#This Row],[_ShownFcstFinish]]&gt;=StatusDate,Tasks[[#This Row],[_ShownFcstFinish]]&lt;=LookaheadEnd),Tasks[[#This Row],[_ShownFcstFinish]]+Tasks[[#This Row],[_Row]]/100000,"")</f>
        <v/>
      </c>
      <c r="GO121" s="43" t="str">
        <f aca="false">IF(Tasks[[#This Row],[_LeafCritical]],Tasks[[#This Row],[_ShownFcstStart]]+Tasks[[#This Row],[_Row]]/100000,"")</f>
        <v/>
      </c>
      <c r="GP121" s="43" t="n">
        <f aca="false">Tasks[[#This Row],[_LeafWork]]*Tasks[[#This Row],[_LeafProgress]]</f>
        <v>0</v>
      </c>
      <c r="GQ121" s="91" t="str">
        <f aca="false">IF(AND(Tasks[[#This Row],[_IsLeaf]]=1,Tasks[[#This Row],[_LeafProgress]]&gt;=1),IF(N(Tasks[[#This Row],[Actual Finish]])&gt;0,Tasks[[#This Row],[Actual Finish]],Tasks[[#This Row],[_ShownFcstFinish]]),"")</f>
        <v/>
      </c>
      <c r="GR121" s="43" t="n">
        <f aca="false">IF(Tasks[[#This Row],[_IsLeaf]]=1,N(Tasks[[#This Row],[Story Points]]),0)</f>
        <v>0</v>
      </c>
      <c r="GS121" s="43" t="str">
        <f aca="false">""</f>
        <v/>
      </c>
      <c r="GT121" s="90" t="b">
        <f aca="false">IF(Tasks[[#This Row],[Task Name]]="",FALSE(),AND(Tasks[[#This Row],[_IsLeaf]]=1,N(Tasks[[#This Row],[_Days]])=0))</f>
        <v>0</v>
      </c>
      <c r="GU121" s="91" t="n">
        <f aca="false">IF(Tasks[[#This Row],[Task Name]]="",0,IF(AND(Tasks[[#This Row],[_IsLeaf]]=1,NOT(Tasks[[#This Row],[_IsMilestone]]),N(Tasks[[#This Row],[Progress]])&gt;0),Tasks[[#This Row],[Start]],0))</f>
        <v>0</v>
      </c>
      <c r="GV121" s="91" t="n">
        <f aca="false">IF(Tasks[[#This Row],[_DoneFrom]]=0,0,IF(Tasks[[#This Row],[Progress]]&gt;=1,Tasks[[#This Row],[Finish]],MAX(Tasks[[#This Row],[_DoneFrom]],Tasks[[#This Row],[Start]]+ROUND((Tasks[[#This Row],[Finish]]-Tasks[[#This Row],[Start]]+1)*Tasks[[#This Row],[Progress]],0)-1)))</f>
        <v>0</v>
      </c>
      <c r="GW121" s="91" t="n">
        <f aca="false">IF(Tasks[[#This Row],[Task Name]]="",0,IF(OR(NOT(Tasks[[#This Row],[_IsLeaf]]=1),Tasks[[#This Row],[_IsMilestone]],N(Tasks[[#This Row],[Progress]])&gt;=1),0,IF(Tasks[[#This Row],[_DoneTo]]&gt;0,Tasks[[#This Row],[_DoneTo]]+1,Tasks[[#This Row],[Start]])))</f>
        <v>0</v>
      </c>
      <c r="GX121" s="91" t="n">
        <f aca="false">IF(Tasks[[#This Row],[_RemFrom]]=0,0,Tasks[[#This Row],[Finish]])</f>
        <v>0</v>
      </c>
      <c r="GY121" s="90" t="b">
        <f aca="false">IF(Tasks[[#This Row],[Task Name]]="",FALSE(),OR(NOT(BaselineSet),N(Tasks[[#This Row],[Baseline Start]])&gt;0))</f>
        <v>0</v>
      </c>
      <c r="GZ12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92" t="str">
        <f aca="false">IF(Tasks[[#This Row],[_IsLeaf]]=1,Tasks[[#This Row],[_Row]],"")</f>
        <v/>
      </c>
      <c r="HD121" s="92" t="str">
        <f aca="false">IFERROR(INDEX(Tasks[UID],SMALL(Tasks[_PickKey],Tasks[[#This Row],[_Row]]))&amp;" "&amp;INDEX(Tasks[Task Name],SMALL(Tasks[_PickKey],Tasks[[#This Row],[_Row]])),"")</f>
        <v/>
      </c>
      <c r="HE121" s="43" t="str">
        <f aca="false">IF(Tasks[[#This Row],[Task Name]]="","",IF(Tasks[[#This Row],[_IsSummary]],NETWORKDAYS.INTL(Tasks[[#This Row],[Start]],Tasks[[#This Row],[Finish]],WorkWeek,Holidays),N(Tasks[[#This Row],[_Days]])))</f>
        <v/>
      </c>
      <c r="HF121" s="43" t="n">
        <f aca="false">IF(Tasks[[#This Row],[Expected]]="",0,((Tasks[[#This Row],[Pessimistic]]-Tasks[[#This Row],[Optimistic]])/6)^2)</f>
        <v>0</v>
      </c>
      <c r="HG121" s="43" t="n">
        <f aca="false">IF(Tasks[[#This Row],[Expected]]="",0,Tasks[[#This Row],[Expected]]-N(Tasks[[#This Row],[_Days]]))</f>
        <v>0</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4"/>
      <c r="U122" s="23"/>
      <c r="V122" s="84"/>
      <c r="W122" s="23"/>
      <c r="X122" s="84"/>
      <c r="Y122" s="23"/>
      <c r="Z122" s="84"/>
      <c r="AA122" s="23"/>
      <c r="AB122" s="23"/>
      <c r="AC122" s="7"/>
      <c r="AD122" s="7"/>
      <c r="AE122" s="63" t="str">
        <f aca="false">IF(Tasks[[#This Row],[Task Name]]="","",IF(Tasks[[#This Row],[_IsSummary]],MIN(INDEX(Tasks[_ShownFcstStart],Tasks[[#This Row],[_Row]]+1):INDEX(Tasks[_ShownFcstStart],Tasks[[#This Row],[_Row]]+Tasks[[#This Row],[_Descendants]])),Tasks[[#This Row],[_ShownFcstStart]]))</f>
        <v/>
      </c>
      <c r="AF122" s="63"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2" s="7"/>
      <c r="AK122" s="22"/>
      <c r="AL122" s="23"/>
      <c r="AM122" s="7"/>
      <c r="AN122" s="47"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3" t="str">
        <f aca="false">IF(Tasks[[#This Row],[Task Name]]="","",IF(N(Tasks[[#This Row],[Baseline Start]])&gt;0,Tasks[[#This Row],[Baseline Start]],Tasks[[#This Row],[_CalcStart]]))</f>
        <v/>
      </c>
      <c r="AR122" s="63" t="str">
        <f aca="false">IF(Tasks[[#This Row],[Task Name]]="","",IF(N(Tasks[[#This Row],[Baseline Finish]])&gt;0,Tasks[[#This Row],[Baseline Finish]],Tasks[[#This Row],[_CalcFinish]]))</f>
        <v/>
      </c>
      <c r="AS122" s="47" t="str">
        <f aca="false">IF(Tasks[[#This Row],[Task Name]]="","",IF(Tasks[[#This Row],[Start]]&gt;=Tasks[[#This Row],[Planned Start]],NETWORKDAYS.INTL(Tasks[[#This Row],[Planned Start]],Tasks[[#This Row],[Start]],WorkWeek,Holidays)-1,1-NETWORKDAYS.INTL(Tasks[[#This Row],[Start]],Tasks[[#This Row],[Planned Start]],WorkWeek,Holidays)))</f>
        <v/>
      </c>
      <c r="AT122" s="63" t="str">
        <f aca="false">IF(Tasks[[#This Row],[Task Name]]="","",IF(Tasks[[#This Row],[_IsSummary]],MIN(INDEX(Tasks[_LeafLateStart],Tasks[[#This Row],[_Row]]+1):INDEX(Tasks[_LeafLateStart],Tasks[[#This Row],[_Row]]+Tasks[[#This Row],[_Descendants]])),Tasks[[#This Row],[_LeafLateStart]]))</f>
        <v/>
      </c>
      <c r="AU122" s="63" t="str">
        <f aca="false">IF(Tasks[[#This Row],[Task Name]]="","",IF(Tasks[[#This Row],[_IsSummary]],MAX(INDEX(Tasks[_LeafLateFinish],Tasks[[#This Row],[_Row]]+1):INDEX(Tasks[_LeafLateFinish],Tasks[[#This Row],[_Row]]+Tasks[[#This Row],[_Descendants]])),Tasks[[#This Row],[_LeafLateFinish]]))</f>
        <v/>
      </c>
      <c r="AV122" s="47"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5"/>
      <c r="BA1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6"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7"/>
      <c r="BJ122" s="22"/>
      <c r="BK122" s="47" t="str">
        <f aca="false">IF(OR(Tasks[[#This Row],[Task Name]]="",Tasks[[#This Row],[Baseline Duration]]=""),"",Tasks[[#This Row],[_SpanDays]]-N(Tasks[[#This Row],[Baseline Duration]]))</f>
        <v/>
      </c>
      <c r="BL122" s="86" t="str">
        <f aca="false">IF(OR(Tasks[[#This Row],[Task Name]]="",Tasks[[#This Row],[Baseline Work]]=""),"",Tasks[[#This Row],[Work]]-N(Tasks[[#This Row],[Baseline Work]]))</f>
        <v/>
      </c>
      <c r="BM122" s="63" t="str">
        <f aca="false">IF(Tasks[[#This Row],[Task Name]]="","",IF(OR(TakeBaseline="Yes",N(Tasks[[#This Row],[Baseline Start]])=0),Tasks[[#This Row],[Start]],Tasks[[#This Row],[Baseline Start]]))</f>
        <v/>
      </c>
      <c r="BN122" s="63" t="str">
        <f aca="false">IF(Tasks[[#This Row],[Task Name]]="","",IF(OR(TakeBaseline="Yes",N(Tasks[[#This Row],[Baseline Finish]])=0),Tasks[[#This Row],[Finish]],Tasks[[#This Row],[Baseline Finish]]))</f>
        <v/>
      </c>
      <c r="BO122" s="21" t="str">
        <f aca="false">IF(Tasks[[#This Row],[Task Name]]="","",IF(OR(TakeBaseline="Yes",N(Tasks[[#This Row],[Baseline Duration]])=0),Tasks[[#This Row],[_SpanDays]],Tasks[[#This Row],[Baseline Duration]]))</f>
        <v/>
      </c>
      <c r="BP122" s="86" t="str">
        <f aca="false">IF(Tasks[[#This Row],[Task Name]]="","",IF(OR(TakeBaseline="Yes",N(Tasks[[#This Row],[Baseline Work]])=0),Tasks[[#This Row],[Work]],Tasks[[#This Row],[Baseline Work]]))</f>
        <v/>
      </c>
      <c r="BQ122" s="7"/>
      <c r="BR122" s="7"/>
      <c r="BS122" s="22"/>
      <c r="BT122" s="88"/>
      <c r="BU122" s="23"/>
      <c r="BV122" s="23"/>
      <c r="BW122" s="23"/>
      <c r="BX122" s="89" t="str">
        <f aca="false">IF(AND(Tasks[[#This Row],[_IsLeaf]]=1,ISNUMBER(Tasks[[#This Row],[Optimistic]]),ISNUMBER(Tasks[[#This Row],[Pessimistic]])),ROUND((Tasks[[#This Row],[Optimistic]]+4*N(Tasks[[#This Row],[_Days]])+Tasks[[#This Row],[Pessimistic]])/6,1),"")</f>
        <v/>
      </c>
      <c r="BY122" s="87"/>
      <c r="BZ122" s="87"/>
      <c r="CA122" s="22"/>
      <c r="CB122" s="43" t="str">
        <f aca="false">IF(Tasks[[#This Row],[Task Name]]="","",MAX(1,N(Tasks[[#This Row],[Level]])))</f>
        <v/>
      </c>
      <c r="CC122" s="43" t="n">
        <f aca="false">ROW()-ROW(Tasks[[#Headers],[ID]])</f>
        <v>117</v>
      </c>
      <c r="CD122" s="43" t="n">
        <f aca="false">IF(OR(Tasks[[#This Row],[Task Name]]="",Tasks[[#This Row],[_Level]]&lt;=1),0,IFERROR(LOOKUP(2,1/(Tasks[[#Headers],[_Level]]:Tasks[[#This Row],[_Level]]=Tasks[[#This Row],[_Level]]-1),ROW(Tasks[[#Headers],[_Level]]:Tasks[[#This Row],[_Level]])),0))</f>
        <v>0</v>
      </c>
      <c r="CE122" s="43" t="n">
        <f aca="false">IFERROR(N(INDEX(Tasks[_Level],Tasks[[#This Row],[_Row]]+1)),0)</f>
        <v>0</v>
      </c>
      <c r="CF122" s="90" t="b">
        <f aca="false">AND(Tasks[[#This Row],[Task Name]]&lt;&gt;"",Tasks[[#This Row],[_NextLevel]]&gt;Tasks[[#This Row],[_Level]])</f>
        <v>0</v>
      </c>
      <c r="CG122" s="43" t="n">
        <f aca="false">IF(Tasks[[#This Row],[_IsSummary]],COUNTIF(Tasks[WBS],Tasks[[#This Row],[WBS]]&amp;".*"),0)</f>
        <v>0</v>
      </c>
      <c r="CH122" s="43" t="n">
        <f aca="false">IF(AND(Tasks[[#This Row],[Task Name]]&lt;&gt;"",NOT(Tasks[[#This Row],[_IsSummary]])),1,0)</f>
        <v>0</v>
      </c>
      <c r="CI122" s="43" t="n">
        <f aca="false">IF(N(Tasks[[#This Row],[_Pred1UID]])=0,0,IFERROR(MATCH(Tasks[[#This Row],[_Pred1UID]],Tasks[UID],0),-1))</f>
        <v>0</v>
      </c>
      <c r="CJ122" s="43" t="n">
        <f aca="false">IF(N(Tasks[[#This Row],[_Pred2UID]])=0,0,IFERROR(MATCH(Tasks[[#This Row],[_Pred2UID]],Tasks[UID],0),-1))</f>
        <v>0</v>
      </c>
      <c r="CK122" s="43" t="n">
        <f aca="false">IF(N(Tasks[[#This Row],[_Pred3UID]])=0,0,IFERROR(MATCH(Tasks[[#This Row],[_Pred3UID]],Tasks[UID],0),-1))</f>
        <v>0</v>
      </c>
      <c r="CL122" s="43" t="n">
        <f aca="false">IF(N(Tasks[[#This Row],[_Pred4UID]])=0,0,IFERROR(MATCH(Tasks[[#This Row],[_Pred4UID]],Tasks[UID],0),-1))</f>
        <v>0</v>
      </c>
      <c r="CM1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2" s="91" t="n">
        <f aca="false">IF(OR(Tasks[[#This Row],[_ConstraintCode]]=2,Tasks[[#This Row],[_ConstraintCode]]=3,Tasks[[#This Row],[_ConstraintCode]]=4,Tasks[[#This Row],[_ConstraintCode]]=6),Tasks[[#This Row],[_ConstraintStart]],0)</f>
        <v>0</v>
      </c>
      <c r="CP122" s="91" t="n">
        <f aca="false">IF(OR(Tasks[[#This Row],[_ConstraintCode]]=2,Tasks[[#This Row],[_ConstraintCode]]=3,Tasks[[#This Row],[_ConstraintCode]]=5,Tasks[[#This Row],[_ConstraintCode]]=7),Tasks[[#This Row],[_ConstraintStart]],2958465)</f>
        <v>2958465</v>
      </c>
      <c r="CQ1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91" t="str">
        <f aca="false">IF(NOT(Tasks[[#This Row],[_IsLeaf]]=1),"",IF(N(Tasks[[#This Row],[_Days]])&lt;=0,Tasks[[#This Row],[_LeafCalcStart]],WORKDAY.INTL(Tasks[[#This Row],[_LeafCalcStart]],Tasks[[#This Row],[_Days]]-1,WorkWeek,Holidays)))</f>
        <v/>
      </c>
      <c r="CS1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3" t="str">
        <f aca="false">IF(Tasks[[#This Row],[_Predecessors]]="","",TRIM(MID(SUBSTITUTE(SUBSTITUTE(SUBSTITUTE(UPPER(Tasks[[#This Row],[_Predecessors]]),";",",")," ",""),",",REPT(" ",99)),1,99)))</f>
        <v/>
      </c>
      <c r="CV122" s="43" t="str">
        <f aca="false">IF(Tasks[[#This Row],[_Pred1Text]]="","",IFERROR(VALUE(LEFT(Tasks[[#This Row],[_Pred1Text]],MIN(FIND("F",Tasks[[#This Row],[_Pred1Text]]&amp;"F"),FIND("S",Tasks[[#This Row],[_Pred1Text]]&amp;"S"),FIND("+",Tasks[[#This Row],[_Pred1Text]]&amp;"+"),FIND("-",Tasks[[#This Row],[_Pred1Text]]&amp;"-"))-1)),""))</f>
        <v/>
      </c>
      <c r="CW1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3" t="str">
        <f aca="false">IF(Tasks[[#This Row],[_Pred1Text]]="","",TRIM(MID(SUBSTITUTE(SUBSTITUTE(SUBSTITUTE(UPPER(Tasks[[#This Row],[_Predecessors]]),";",",")," ",""),",",REPT(" ",99)),100,99)))</f>
        <v/>
      </c>
      <c r="CZ122" s="43" t="str">
        <f aca="false">IF(Tasks[[#This Row],[_Pred2Text]]="","",IFERROR(VALUE(LEFT(Tasks[[#This Row],[_Pred2Text]],MIN(FIND("F",Tasks[[#This Row],[_Pred2Text]]&amp;"F"),FIND("S",Tasks[[#This Row],[_Pred2Text]]&amp;"S"),FIND("+",Tasks[[#This Row],[_Pred2Text]]&amp;"+"),FIND("-",Tasks[[#This Row],[_Pred2Text]]&amp;"-"))-1)),""))</f>
        <v/>
      </c>
      <c r="DA1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3" t="str">
        <f aca="false">IF(Tasks[[#This Row],[_Pred2Text]]="","",TRIM(MID(SUBSTITUTE(SUBSTITUTE(SUBSTITUTE(UPPER(Tasks[[#This Row],[_Predecessors]]),";",",")," ",""),",",REPT(" ",99)),199,99)))</f>
        <v/>
      </c>
      <c r="DD122" s="43" t="str">
        <f aca="false">IF(Tasks[[#This Row],[_Pred3Text]]="","",IFERROR(VALUE(LEFT(Tasks[[#This Row],[_Pred3Text]],MIN(FIND("F",Tasks[[#This Row],[_Pred3Text]]&amp;"F"),FIND("S",Tasks[[#This Row],[_Pred3Text]]&amp;"S"),FIND("+",Tasks[[#This Row],[_Pred3Text]]&amp;"+"),FIND("-",Tasks[[#This Row],[_Pred3Text]]&amp;"-"))-1)),""))</f>
        <v/>
      </c>
      <c r="DE1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3" t="str">
        <f aca="false">IF(Tasks[[#This Row],[_Pred3Text]]="","",TRIM(MID(SUBSTITUTE(SUBSTITUTE(SUBSTITUTE(UPPER(Tasks[[#This Row],[_Predecessors]]),";",",")," ",""),",",REPT(" ",99)),298,99)))</f>
        <v/>
      </c>
      <c r="DH122" s="43" t="str">
        <f aca="false">IF(Tasks[[#This Row],[_Pred4Text]]="","",IFERROR(VALUE(LEFT(Tasks[[#This Row],[_Pred4Text]],MIN(FIND("F",Tasks[[#This Row],[_Pred4Text]]&amp;"F"),FIND("S",Tasks[[#This Row],[_Pred4Text]]&amp;"S"),FIND("+",Tasks[[#This Row],[_Pred4Text]]&amp;"+"),FIND("-",Tasks[[#This Row],[_Pred4Text]]&amp;"-"))-1)),""))</f>
        <v/>
      </c>
      <c r="DI1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3" t="str">
        <f aca="false">IF(OR(Tasks[[#This Row],[Task Name]]="",Tasks[[#This Row],[_Resources]]=""),"",TRIM(MID(SUBSTITUTE(Tasks[[#This Row],[_Resources]],",",REPT(" ",99)),1,99)))</f>
        <v/>
      </c>
      <c r="DL122" s="43" t="str">
        <f aca="false">IF(Tasks[[#This Row],[_Res1Text]]="","",TRIM(MID(SUBSTITUTE(Tasks[[#This Row],[_Resources]],",",REPT(" ",99)),100,99)))</f>
        <v/>
      </c>
      <c r="DM122" s="43" t="str">
        <f aca="false">IF(Tasks[[#This Row],[_Res2Text]]="","",TRIM(MID(SUBSTITUTE(Tasks[[#This Row],[_Resources]],",",REPT(" ",99)),199,99)))</f>
        <v/>
      </c>
      <c r="DN122" s="43" t="str">
        <f aca="false">IF(Tasks[[#This Row],[_Res3Text]]="","",TRIM(MID(SUBSTITUTE(Tasks[[#This Row],[_Resources]],",",REPT(" ",99)),298,99)))</f>
        <v/>
      </c>
      <c r="DO122" s="43" t="n">
        <f aca="false">IF(Tasks[[#This Row],[_Res1Text]]="",0,IFERROR(MATCH(TRIM(LEFT(Tasks[[#This Row],[_Res1Text]],FIND("[",Tasks[[#This Row],[_Res1Text]]&amp;"[")-1)),res_Name,0),IFERROR(MATCH(TRIM(LEFT(Tasks[[#This Row],[_Res1Text]],FIND("[",Tasks[[#This Row],[_Res1Text]]&amp;"[")-1)),res_Initials,0),0)))</f>
        <v>0</v>
      </c>
      <c r="DP122" s="43" t="n">
        <f aca="false">IF(Tasks[[#This Row],[_Res2Text]]="",0,IFERROR(MATCH(TRIM(LEFT(Tasks[[#This Row],[_Res2Text]],FIND("[",Tasks[[#This Row],[_Res2Text]]&amp;"[")-1)),res_Name,0),IFERROR(MATCH(TRIM(LEFT(Tasks[[#This Row],[_Res2Text]],FIND("[",Tasks[[#This Row],[_Res2Text]]&amp;"[")-1)),res_Initials,0),0)))</f>
        <v>0</v>
      </c>
      <c r="DQ122" s="43" t="n">
        <f aca="false">IF(Tasks[[#This Row],[_Res3Text]]="",0,IFERROR(MATCH(TRIM(LEFT(Tasks[[#This Row],[_Res3Text]],FIND("[",Tasks[[#This Row],[_Res3Text]]&amp;"[")-1)),res_Name,0),IFERROR(MATCH(TRIM(LEFT(Tasks[[#This Row],[_Res3Text]],FIND("[",Tasks[[#This Row],[_Res3Text]]&amp;"[")-1)),res_Initials,0),0)))</f>
        <v>0</v>
      </c>
      <c r="DR122" s="43" t="n">
        <f aca="false">IF(Tasks[[#This Row],[_Res4Text]]="",0,IFERROR(MATCH(TRIM(LEFT(Tasks[[#This Row],[_Res4Text]],FIND("[",Tasks[[#This Row],[_Res4Text]]&amp;"[")-1)),res_Name,0),IFERROR(MATCH(TRIM(LEFT(Tasks[[#This Row],[_Res4Text]],FIND("[",Tasks[[#This Row],[_Res4Text]]&amp;"[")-1)),res_Initials,0),0)))</f>
        <v>0</v>
      </c>
      <c r="DS122" s="43" t="str">
        <f aca="false">IF(Tasks[[#This Row],[_Res1Text]]="","",IF(Tasks[[#This Row],[_Res1Row]]&gt;0,INDEX(res_Name,Tasks[[#This Row],[_Res1Row]]),TRIM(LEFT(Tasks[[#This Row],[_Res1Text]],FIND("[",Tasks[[#This Row],[_Res1Text]]&amp;"[")-1))))</f>
        <v/>
      </c>
      <c r="DT1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3" t="n">
        <f aca="false">IF(NOT(Tasks[[#This Row],[_IsLeaf]]=1),0,(Tasks[[#This Row],[_Resource1]]&lt;&gt;"")+(Tasks[[#This Row],[_Res2]]&lt;&gt;"")+(Tasks[[#This Row],[_Res3]]&lt;&gt;"")+(Tasks[[#This Row],[_Res4]]&lt;&gt;""))</f>
        <v>0</v>
      </c>
      <c r="DV122" s="43" t="str">
        <f aca="false">IF(Tasks[[#This Row],[_Res2Text]]="","",IF(Tasks[[#This Row],[_Res2Row]]&gt;0,INDEX(res_Name,Tasks[[#This Row],[_Res2Row]]),TRIM(LEFT(Tasks[[#This Row],[_Res2Text]],FIND("[",Tasks[[#This Row],[_Res2Text]]&amp;"[")-1))))</f>
        <v/>
      </c>
      <c r="DW1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3" t="n">
        <f aca="false">IF(OR(NOT(Tasks[[#This Row],[_IsLeaf]]=1),Tasks[[#This Row],[_Res2Row]]=0),0,N(Tasks[[#This Row],[_Days]])*HoursPerDay*IF(Tasks[[#This Row],[_Res2Units]]="",DefaultUnits,Tasks[[#This Row],[_Res2Units]]))</f>
        <v>0</v>
      </c>
      <c r="DY122" s="43" t="n">
        <f aca="false">IF(AND(AND(Tasks[[#This Row],[_IsLeaf]]=1,Tasks[[#This Row],[_LeafTotalWork]]&gt;0),Tasks[[#This Row],[_Res2Work]]&gt;0),Tasks[[#This Row],[_Res2Work]]/(Tasks[[#This Row],[_FinishWorkday]]-Tasks[[#This Row],[_StartWorkday]]+1),0)</f>
        <v>0</v>
      </c>
      <c r="DZ122" s="43" t="n">
        <f aca="false">Tasks[[#This Row],[_Res2WorkPerWD]]*MAX(0,Tasks[[#This Row],[_StartWorkday]]-1)</f>
        <v>0</v>
      </c>
      <c r="EA122" s="43" t="n">
        <f aca="false">Tasks[[#This Row],[_Res2Work]]*Tasks[[#This Row],[_LeafProgress]]</f>
        <v>0</v>
      </c>
      <c r="EB122" s="43" t="str">
        <f aca="false">IF(Tasks[[#This Row],[_Res3Text]]="","",IF(Tasks[[#This Row],[_Res3Row]]&gt;0,INDEX(res_Name,Tasks[[#This Row],[_Res3Row]]),TRIM(LEFT(Tasks[[#This Row],[_Res3Text]],FIND("[",Tasks[[#This Row],[_Res3Text]]&amp;"[")-1))))</f>
        <v/>
      </c>
      <c r="EC1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3" t="n">
        <f aca="false">IF(OR(NOT(Tasks[[#This Row],[_IsLeaf]]=1),Tasks[[#This Row],[_Res3Row]]=0),0,N(Tasks[[#This Row],[_Days]])*HoursPerDay*IF(Tasks[[#This Row],[_Res3Units]]="",DefaultUnits,Tasks[[#This Row],[_Res3Units]]))</f>
        <v>0</v>
      </c>
      <c r="EE122" s="43" t="n">
        <f aca="false">IF(AND(AND(Tasks[[#This Row],[_IsLeaf]]=1,Tasks[[#This Row],[_LeafTotalWork]]&gt;0),Tasks[[#This Row],[_Res3Work]]&gt;0),Tasks[[#This Row],[_Res3Work]]/(Tasks[[#This Row],[_FinishWorkday]]-Tasks[[#This Row],[_StartWorkday]]+1),0)</f>
        <v>0</v>
      </c>
      <c r="EF122" s="43" t="n">
        <f aca="false">Tasks[[#This Row],[_Res3WorkPerWD]]*MAX(0,Tasks[[#This Row],[_StartWorkday]]-1)</f>
        <v>0</v>
      </c>
      <c r="EG122" s="43" t="n">
        <f aca="false">Tasks[[#This Row],[_Res3Work]]*Tasks[[#This Row],[_LeafProgress]]</f>
        <v>0</v>
      </c>
      <c r="EH122" s="43" t="str">
        <f aca="false">IF(Tasks[[#This Row],[_Res4Text]]="","",IF(Tasks[[#This Row],[_Res4Row]]&gt;0,INDEX(res_Name,Tasks[[#This Row],[_Res4Row]]),TRIM(LEFT(Tasks[[#This Row],[_Res4Text]],FIND("[",Tasks[[#This Row],[_Res4Text]]&amp;"[")-1))))</f>
        <v/>
      </c>
      <c r="EI1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3" t="n">
        <f aca="false">IF(OR(NOT(Tasks[[#This Row],[_IsLeaf]]=1),Tasks[[#This Row],[_Res4Row]]=0),0,N(Tasks[[#This Row],[_Days]])*HoursPerDay*IF(Tasks[[#This Row],[_Res4Units]]="",DefaultUnits,Tasks[[#This Row],[_Res4Units]]))</f>
        <v>0</v>
      </c>
      <c r="EK122" s="43" t="n">
        <f aca="false">IF(AND(AND(Tasks[[#This Row],[_IsLeaf]]=1,Tasks[[#This Row],[_LeafTotalWork]]&gt;0),Tasks[[#This Row],[_Res4Work]]&gt;0),Tasks[[#This Row],[_Res4Work]]/(Tasks[[#This Row],[_FinishWorkday]]-Tasks[[#This Row],[_StartWorkday]]+1),0)</f>
        <v>0</v>
      </c>
      <c r="EL122" s="43" t="n">
        <f aca="false">Tasks[[#This Row],[_Res4WorkPerWD]]*MAX(0,Tasks[[#This Row],[_StartWorkday]]-1)</f>
        <v>0</v>
      </c>
      <c r="EM122" s="43" t="n">
        <f aca="false">Tasks[[#This Row],[_Res4Work]]*Tasks[[#This Row],[_LeafProgress]]</f>
        <v>0</v>
      </c>
      <c r="EN122" s="43" t="n">
        <f aca="false">IF(ISNUMBER(Tasks[[#This Row],[% Complete]]),Tasks[[#This Row],[% Complete]],IF(Tasks[[#This Row],[Stage]]="",0,IFERROR(INDEX(stg_Pct,MATCH(Tasks[[#This Row],[Stage]],stg_Name,0)),0)))</f>
        <v>0</v>
      </c>
      <c r="EO122" s="43" t="n">
        <f aca="false">IF(NOT(Tasks[[#This Row],[_IsLeaf]]=1),0,IF(N(Tasks[[#This Row],[Actual Finish]])&gt;0,1,MIN(1,Tasks[[#This Row],[_Pct]])))</f>
        <v>0</v>
      </c>
      <c r="EP122" s="43" t="n">
        <f aca="false">IF(OR(NOT(Tasks[[#This Row],[_IsLeaf]]=1),Tasks[[#This Row],[_Res1Row]]=0),0,N(Tasks[[#This Row],[_Days]])*HoursPerDay*IF(Tasks[[#This Row],[_Units1]]="",DefaultUnits,Tasks[[#This Row],[_Units1]]))</f>
        <v>0</v>
      </c>
      <c r="EQ122" s="43" t="n">
        <f aca="false">Tasks[[#This Row],[_LeafWork]]+Tasks[[#This Row],[_Res2Work]]+Tasks[[#This Row],[_Res3Work]]+Tasks[[#This Row],[_Res4Work]]</f>
        <v>0</v>
      </c>
      <c r="ER1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3" t="n">
        <f aca="false">IF(NOT(Tasks[[#This Row],[_IsLeaf]]=1),0,MAX(_xlfn.MAXIFS(Tasks[_Row],Tasks[_Pred1UID],Tasks[[#This Row],[UID]]),_xlfn.MAXIFS(Tasks[_Row],Tasks[_Pred2UID],Tasks[[#This Row],[UID]]),_xlfn.MAXIFS(Tasks[_Row],Tasks[_Pred3UID],Tasks[[#This Row],[UID]]),_xlfn.MAXIFS(Tasks[_Row],Tasks[_Pred4UID],Tasks[[#This Row],[UID]])))</f>
        <v>0</v>
      </c>
      <c r="FA1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91" t="str">
        <f aca="false">IF(NOT(Tasks[[#This Row],[_IsLeaf]]=1),"",IF(N(Tasks[[#This Row],[_Days]])&lt;=0,Tasks[[#This Row],[_LeafLateFinish]],WORKDAY.INTL(Tasks[[#This Row],[_LeafLateFinish]],-(Tasks[[#This Row],[_Days]]-1),WorkWeek,Holidays)))</f>
        <v/>
      </c>
      <c r="FD1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2" s="90" t="b">
        <f aca="false">AND(Tasks[[#This Row],[_IsLeaf]]=1,Tasks[[#This Row],[_LeafProgress]]&lt;1,N(Tasks[[#This Row],[_LeafTotalSlack]])&lt;=CriticalSlackDays)</f>
        <v>0</v>
      </c>
      <c r="FF122" s="43" t="n">
        <f aca="false">IF(AND(Tasks[[#This Row],[_IsLeaf]]=1,Tasks[[#This Row],[_ConstraintCode]]=1,Tasks[[#This Row],[Mode]]&lt;&gt;"Manual",N(Tasks[[#This Row],[Actual Start]])=0),MAX(0,N(Tasks[[#This Row],[Free Slack]])),0)</f>
        <v>0</v>
      </c>
      <c r="FG122" s="91" t="str">
        <f aca="false">IF(NOT(Tasks[[#This Row],[_IsLeaf]]=1),"",IF(Tasks[[#This Row],[_AlapShift]]=0,Tasks[[#This Row],[_LeafCalcStart]],WORKDAY.INTL(Tasks[[#This Row],[_LeafCalcStart]],Tasks[[#This Row],[_AlapShift]],WorkWeek,Holidays)))</f>
        <v/>
      </c>
      <c r="FH122" s="91" t="str">
        <f aca="false">IF(NOT(Tasks[[#This Row],[_IsLeaf]]=1),"",IF(Tasks[[#This Row],[_AlapShift]]=0,Tasks[[#This Row],[_LeafCalcFinish]],WORKDAY.INTL(Tasks[[#This Row],[_LeafCalcFinish]],Tasks[[#This Row],[_AlapShift]],WorkWeek,Holidays)))</f>
        <v/>
      </c>
      <c r="FI122" s="91" t="str">
        <f aca="false">IF(NOT(Tasks[[#This Row],[_IsLeaf]]=1),"",IF(Tasks[[#This Row],[_AlapShift]]=0,Tasks[[#This Row],[_LeafFcstStart]],WORKDAY.INTL(Tasks[[#This Row],[_LeafFcstStart]],Tasks[[#This Row],[_AlapShift]],WorkWeek,Holidays)))</f>
        <v/>
      </c>
      <c r="FJ122" s="91" t="str">
        <f aca="false">IF(NOT(Tasks[[#This Row],[_IsLeaf]]=1),"",IF(Tasks[[#This Row],[_AlapShift]]=0,Tasks[[#This Row],[_LeafFcstFinish]],WORKDAY.INTL(Tasks[[#This Row],[_LeafFcstFinish]],Tasks[[#This Row],[_AlapShift]],WorkWeek,Holidays)))</f>
        <v/>
      </c>
      <c r="FK122" s="91" t="str">
        <f aca="false">IF(Tasks[[#This Row],[Task Name]]="","",IF(Tasks[[#This Row],[_IsSummary]],MIN(INDEX(Tasks[_ShownCalcStart],Tasks[[#This Row],[_Row]]+1):INDEX(Tasks[_ShownCalcStart],Tasks[[#This Row],[_Row]]+Tasks[[#This Row],[_Descendants]])),Tasks[[#This Row],[_ShownCalcStart]]))</f>
        <v/>
      </c>
      <c r="FL122" s="91" t="str">
        <f aca="false">IF(Tasks[[#This Row],[Task Name]]="","",IF(Tasks[[#This Row],[_IsSummary]],MAX(INDEX(Tasks[_ShownCalcFinish],Tasks[[#This Row],[_Row]]+1):INDEX(Tasks[_ShownCalcFinish],Tasks[[#This Row],[_Row]]+Tasks[[#This Row],[_Descendants]])),Tasks[[#This Row],[_ShownCalcFinish]]))</f>
        <v/>
      </c>
      <c r="FM1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2" s="43" t="n">
        <f aca="false">IF(AND(Tasks[[#This Row],[_IsLeaf]]=1,Tasks[[#This Row],[_LeafTotalWork]]&gt;0),NETWORKDAYS.INTL(ProjectStart,Tasks[[#This Row],[_ShownFcstStart]],WorkWeek,Holidays),0)</f>
        <v>0</v>
      </c>
      <c r="FZ122" s="43" t="n">
        <f aca="false">IF(AND(Tasks[[#This Row],[_IsLeaf]]=1,Tasks[[#This Row],[_LeafTotalWork]]&gt;0),MAX(Tasks[[#This Row],[_StartWorkday]],NETWORKDAYS.INTL(ProjectStart,Tasks[[#This Row],[_ShownFcstFinish]],WorkWeek,Holidays)),0)</f>
        <v>0</v>
      </c>
      <c r="GA122" s="43" t="n">
        <f aca="false">IF(AND(Tasks[[#This Row],[_IsLeaf]]=1,Tasks[[#This Row],[_LeafTotalWork]]&gt;0),Tasks[[#This Row],[_LeafWork]]/(Tasks[[#This Row],[_FinishWorkday]]-Tasks[[#This Row],[_StartWorkday]]+1),0)</f>
        <v>0</v>
      </c>
      <c r="GB122" s="43" t="n">
        <f aca="false">Tasks[[#This Row],[_WorkPerWorkday]]*(Tasks[[#This Row],[_StartWorkday]]-1)</f>
        <v>-0</v>
      </c>
      <c r="GC122" s="43" t="n">
        <f aca="false">IF(Tasks[[#This Row],[_IsLeaf]]=1,MAX(N(Tasks[[#This Row],[_Days]]),0.1),0)</f>
        <v>0</v>
      </c>
      <c r="GD122" s="43" t="n">
        <f aca="false">Tasks[[#This Row],[_WeightDur]]*Tasks[[#This Row],[_LeafProgress]]</f>
        <v>0</v>
      </c>
      <c r="GE122" s="43" t="n">
        <f aca="false">Tasks[[#This Row],[_WeightDur]]*Tasks[[#This Row],[_PlannedPct]]</f>
        <v>0</v>
      </c>
      <c r="GF1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3" t="str">
        <f aca="false">IF(AND(Tasks[[#This Row],[_IsLeaf]]=1,N(Tasks[[#This Row],[_Days]])=0,Tasks[[#This Row],[_LeafProgress]]&lt;1),Tasks[[#This Row],[_ShownFcstFinish]]+Tasks[[#This Row],[_Row]]/100000,"")</f>
        <v/>
      </c>
      <c r="GH1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2" s="43" t="str">
        <f aca="false">IF(Tasks[[#This Row],[Task Name]]="","",LEFT(Tasks[[#This Row],[WBS]],FIND(".",Tasks[[#This Row],[WBS]]&amp;".")-1))</f>
        <v/>
      </c>
      <c r="GJ122" s="43" t="str">
        <f aca="false">IF(AND(Tasks[[#This Row],[Task Name]]&lt;&gt;"",Tasks[[#This Row],[_Level]]=1),Tasks[[#This Row],[_Row]],"")</f>
        <v/>
      </c>
      <c r="GK122" s="43" t="str">
        <f aca="false">IF(AND(Tasks[[#This Row],[_IsLeaf]]=1,N(Tasks[[#This Row],[_Days]])=0),Tasks[[#This Row],[Planned Finish]]+Tasks[[#This Row],[_Row]]/100000,"")</f>
        <v/>
      </c>
      <c r="GL122" s="43" t="str">
        <f aca="false">IF(AND(Tasks[[#This Row],[_IsLeaf]]=1,Tasks[[#This Row],[_LeafProgress]]&lt;1,OR(N(Tasks[[#This Row],[Finish Var]])&gt;0,Tasks[[#This Row],[Status]]="Late Start")),MAX(0,Tasks[[#This Row],[Finish Var]])+1-Tasks[[#This Row],[_Row]]/1000000,"")</f>
        <v/>
      </c>
      <c r="GM122" s="43" t="str">
        <f aca="false">IF(AND(Tasks[[#This Row],[_IsLeaf]]=1,N(Tasks[[#This Row],[Actual Start]])=0,Tasks[[#This Row],[_ShownFcstStart]]&gt;=StatusDate,Tasks[[#This Row],[_ShownFcstStart]]&lt;=LookaheadEnd),Tasks[[#This Row],[_ShownFcstStart]]+Tasks[[#This Row],[_Row]]/100000,"")</f>
        <v/>
      </c>
      <c r="GN122" s="43" t="str">
        <f aca="false">IF(AND(Tasks[[#This Row],[_IsLeaf]]=1,Tasks[[#This Row],[_LeafProgress]]&lt;1,Tasks[[#This Row],[_ShownFcstFinish]]&gt;=StatusDate,Tasks[[#This Row],[_ShownFcstFinish]]&lt;=LookaheadEnd),Tasks[[#This Row],[_ShownFcstFinish]]+Tasks[[#This Row],[_Row]]/100000,"")</f>
        <v/>
      </c>
      <c r="GO122" s="43" t="str">
        <f aca="false">IF(Tasks[[#This Row],[_LeafCritical]],Tasks[[#This Row],[_ShownFcstStart]]+Tasks[[#This Row],[_Row]]/100000,"")</f>
        <v/>
      </c>
      <c r="GP122" s="43" t="n">
        <f aca="false">Tasks[[#This Row],[_LeafWork]]*Tasks[[#This Row],[_LeafProgress]]</f>
        <v>0</v>
      </c>
      <c r="GQ122" s="91" t="str">
        <f aca="false">IF(AND(Tasks[[#This Row],[_IsLeaf]]=1,Tasks[[#This Row],[_LeafProgress]]&gt;=1),IF(N(Tasks[[#This Row],[Actual Finish]])&gt;0,Tasks[[#This Row],[Actual Finish]],Tasks[[#This Row],[_ShownFcstFinish]]),"")</f>
        <v/>
      </c>
      <c r="GR122" s="43" t="n">
        <f aca="false">IF(Tasks[[#This Row],[_IsLeaf]]=1,N(Tasks[[#This Row],[Story Points]]),0)</f>
        <v>0</v>
      </c>
      <c r="GS122" s="43" t="str">
        <f aca="false">""</f>
        <v/>
      </c>
      <c r="GT122" s="90" t="b">
        <f aca="false">IF(Tasks[[#This Row],[Task Name]]="",FALSE(),AND(Tasks[[#This Row],[_IsLeaf]]=1,N(Tasks[[#This Row],[_Days]])=0))</f>
        <v>0</v>
      </c>
      <c r="GU122" s="91" t="n">
        <f aca="false">IF(Tasks[[#This Row],[Task Name]]="",0,IF(AND(Tasks[[#This Row],[_IsLeaf]]=1,NOT(Tasks[[#This Row],[_IsMilestone]]),N(Tasks[[#This Row],[Progress]])&gt;0),Tasks[[#This Row],[Start]],0))</f>
        <v>0</v>
      </c>
      <c r="GV122" s="91" t="n">
        <f aca="false">IF(Tasks[[#This Row],[_DoneFrom]]=0,0,IF(Tasks[[#This Row],[Progress]]&gt;=1,Tasks[[#This Row],[Finish]],MAX(Tasks[[#This Row],[_DoneFrom]],Tasks[[#This Row],[Start]]+ROUND((Tasks[[#This Row],[Finish]]-Tasks[[#This Row],[Start]]+1)*Tasks[[#This Row],[Progress]],0)-1)))</f>
        <v>0</v>
      </c>
      <c r="GW122" s="91" t="n">
        <f aca="false">IF(Tasks[[#This Row],[Task Name]]="",0,IF(OR(NOT(Tasks[[#This Row],[_IsLeaf]]=1),Tasks[[#This Row],[_IsMilestone]],N(Tasks[[#This Row],[Progress]])&gt;=1),0,IF(Tasks[[#This Row],[_DoneTo]]&gt;0,Tasks[[#This Row],[_DoneTo]]+1,Tasks[[#This Row],[Start]])))</f>
        <v>0</v>
      </c>
      <c r="GX122" s="91" t="n">
        <f aca="false">IF(Tasks[[#This Row],[_RemFrom]]=0,0,Tasks[[#This Row],[Finish]])</f>
        <v>0</v>
      </c>
      <c r="GY122" s="90" t="b">
        <f aca="false">IF(Tasks[[#This Row],[Task Name]]="",FALSE(),OR(NOT(BaselineSet),N(Tasks[[#This Row],[Baseline Start]])&gt;0))</f>
        <v>0</v>
      </c>
      <c r="GZ12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92" t="str">
        <f aca="false">IF(Tasks[[#This Row],[_IsLeaf]]=1,Tasks[[#This Row],[_Row]],"")</f>
        <v/>
      </c>
      <c r="HD122" s="92" t="str">
        <f aca="false">IFERROR(INDEX(Tasks[UID],SMALL(Tasks[_PickKey],Tasks[[#This Row],[_Row]]))&amp;" "&amp;INDEX(Tasks[Task Name],SMALL(Tasks[_PickKey],Tasks[[#This Row],[_Row]])),"")</f>
        <v/>
      </c>
      <c r="HE122" s="43" t="str">
        <f aca="false">IF(Tasks[[#This Row],[Task Name]]="","",IF(Tasks[[#This Row],[_IsSummary]],NETWORKDAYS.INTL(Tasks[[#This Row],[Start]],Tasks[[#This Row],[Finish]],WorkWeek,Holidays),N(Tasks[[#This Row],[_Days]])))</f>
        <v/>
      </c>
      <c r="HF122" s="43" t="n">
        <f aca="false">IF(Tasks[[#This Row],[Expected]]="",0,((Tasks[[#This Row],[Pessimistic]]-Tasks[[#This Row],[Optimistic]])/6)^2)</f>
        <v>0</v>
      </c>
      <c r="HG122" s="43" t="n">
        <f aca="false">IF(Tasks[[#This Row],[Expected]]="",0,Tasks[[#This Row],[Expected]]-N(Tasks[[#This Row],[_Days]]))</f>
        <v>0</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4"/>
      <c r="U123" s="23"/>
      <c r="V123" s="84"/>
      <c r="W123" s="23"/>
      <c r="X123" s="84"/>
      <c r="Y123" s="23"/>
      <c r="Z123" s="84"/>
      <c r="AA123" s="23"/>
      <c r="AB123" s="23"/>
      <c r="AC123" s="7"/>
      <c r="AD123" s="7"/>
      <c r="AE123" s="63" t="str">
        <f aca="false">IF(Tasks[[#This Row],[Task Name]]="","",IF(Tasks[[#This Row],[_IsSummary]],MIN(INDEX(Tasks[_ShownFcstStart],Tasks[[#This Row],[_Row]]+1):INDEX(Tasks[_ShownFcstStart],Tasks[[#This Row],[_Row]]+Tasks[[#This Row],[_Descendants]])),Tasks[[#This Row],[_ShownFcstStart]]))</f>
        <v/>
      </c>
      <c r="AF123" s="63"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3" s="7"/>
      <c r="AK123" s="22"/>
      <c r="AL123" s="23"/>
      <c r="AM123" s="7"/>
      <c r="AN123" s="47"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3" t="str">
        <f aca="false">IF(Tasks[[#This Row],[Task Name]]="","",IF(N(Tasks[[#This Row],[Baseline Start]])&gt;0,Tasks[[#This Row],[Baseline Start]],Tasks[[#This Row],[_CalcStart]]))</f>
        <v/>
      </c>
      <c r="AR123" s="63" t="str">
        <f aca="false">IF(Tasks[[#This Row],[Task Name]]="","",IF(N(Tasks[[#This Row],[Baseline Finish]])&gt;0,Tasks[[#This Row],[Baseline Finish]],Tasks[[#This Row],[_CalcFinish]]))</f>
        <v/>
      </c>
      <c r="AS123" s="47" t="str">
        <f aca="false">IF(Tasks[[#This Row],[Task Name]]="","",IF(Tasks[[#This Row],[Start]]&gt;=Tasks[[#This Row],[Planned Start]],NETWORKDAYS.INTL(Tasks[[#This Row],[Planned Start]],Tasks[[#This Row],[Start]],WorkWeek,Holidays)-1,1-NETWORKDAYS.INTL(Tasks[[#This Row],[Start]],Tasks[[#This Row],[Planned Start]],WorkWeek,Holidays)))</f>
        <v/>
      </c>
      <c r="AT123" s="63" t="str">
        <f aca="false">IF(Tasks[[#This Row],[Task Name]]="","",IF(Tasks[[#This Row],[_IsSummary]],MIN(INDEX(Tasks[_LeafLateStart],Tasks[[#This Row],[_Row]]+1):INDEX(Tasks[_LeafLateStart],Tasks[[#This Row],[_Row]]+Tasks[[#This Row],[_Descendants]])),Tasks[[#This Row],[_LeafLateStart]]))</f>
        <v/>
      </c>
      <c r="AU123" s="63" t="str">
        <f aca="false">IF(Tasks[[#This Row],[Task Name]]="","",IF(Tasks[[#This Row],[_IsSummary]],MAX(INDEX(Tasks[_LeafLateFinish],Tasks[[#This Row],[_Row]]+1):INDEX(Tasks[_LeafLateFinish],Tasks[[#This Row],[_Row]]+Tasks[[#This Row],[_Descendants]])),Tasks[[#This Row],[_LeafLateFinish]]))</f>
        <v/>
      </c>
      <c r="AV123" s="47"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5"/>
      <c r="BA1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6"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7"/>
      <c r="BJ123" s="22"/>
      <c r="BK123" s="47" t="str">
        <f aca="false">IF(OR(Tasks[[#This Row],[Task Name]]="",Tasks[[#This Row],[Baseline Duration]]=""),"",Tasks[[#This Row],[_SpanDays]]-N(Tasks[[#This Row],[Baseline Duration]]))</f>
        <v/>
      </c>
      <c r="BL123" s="86" t="str">
        <f aca="false">IF(OR(Tasks[[#This Row],[Task Name]]="",Tasks[[#This Row],[Baseline Work]]=""),"",Tasks[[#This Row],[Work]]-N(Tasks[[#This Row],[Baseline Work]]))</f>
        <v/>
      </c>
      <c r="BM123" s="63" t="str">
        <f aca="false">IF(Tasks[[#This Row],[Task Name]]="","",IF(OR(TakeBaseline="Yes",N(Tasks[[#This Row],[Baseline Start]])=0),Tasks[[#This Row],[Start]],Tasks[[#This Row],[Baseline Start]]))</f>
        <v/>
      </c>
      <c r="BN123" s="63" t="str">
        <f aca="false">IF(Tasks[[#This Row],[Task Name]]="","",IF(OR(TakeBaseline="Yes",N(Tasks[[#This Row],[Baseline Finish]])=0),Tasks[[#This Row],[Finish]],Tasks[[#This Row],[Baseline Finish]]))</f>
        <v/>
      </c>
      <c r="BO123" s="21" t="str">
        <f aca="false">IF(Tasks[[#This Row],[Task Name]]="","",IF(OR(TakeBaseline="Yes",N(Tasks[[#This Row],[Baseline Duration]])=0),Tasks[[#This Row],[_SpanDays]],Tasks[[#This Row],[Baseline Duration]]))</f>
        <v/>
      </c>
      <c r="BP123" s="86" t="str">
        <f aca="false">IF(Tasks[[#This Row],[Task Name]]="","",IF(OR(TakeBaseline="Yes",N(Tasks[[#This Row],[Baseline Work]])=0),Tasks[[#This Row],[Work]],Tasks[[#This Row],[Baseline Work]]))</f>
        <v/>
      </c>
      <c r="BQ123" s="7"/>
      <c r="BR123" s="7"/>
      <c r="BS123" s="22"/>
      <c r="BT123" s="88"/>
      <c r="BU123" s="23"/>
      <c r="BV123" s="23"/>
      <c r="BW123" s="23"/>
      <c r="BX123" s="89" t="str">
        <f aca="false">IF(AND(Tasks[[#This Row],[_IsLeaf]]=1,ISNUMBER(Tasks[[#This Row],[Optimistic]]),ISNUMBER(Tasks[[#This Row],[Pessimistic]])),ROUND((Tasks[[#This Row],[Optimistic]]+4*N(Tasks[[#This Row],[_Days]])+Tasks[[#This Row],[Pessimistic]])/6,1),"")</f>
        <v/>
      </c>
      <c r="BY123" s="87"/>
      <c r="BZ123" s="87"/>
      <c r="CA123" s="22"/>
      <c r="CB123" s="43" t="str">
        <f aca="false">IF(Tasks[[#This Row],[Task Name]]="","",MAX(1,N(Tasks[[#This Row],[Level]])))</f>
        <v/>
      </c>
      <c r="CC123" s="43" t="n">
        <f aca="false">ROW()-ROW(Tasks[[#Headers],[ID]])</f>
        <v>118</v>
      </c>
      <c r="CD123" s="43" t="n">
        <f aca="false">IF(OR(Tasks[[#This Row],[Task Name]]="",Tasks[[#This Row],[_Level]]&lt;=1),0,IFERROR(LOOKUP(2,1/(Tasks[[#Headers],[_Level]]:Tasks[[#This Row],[_Level]]=Tasks[[#This Row],[_Level]]-1),ROW(Tasks[[#Headers],[_Level]]:Tasks[[#This Row],[_Level]])),0))</f>
        <v>0</v>
      </c>
      <c r="CE123" s="43" t="n">
        <f aca="false">IFERROR(N(INDEX(Tasks[_Level],Tasks[[#This Row],[_Row]]+1)),0)</f>
        <v>0</v>
      </c>
      <c r="CF123" s="90" t="b">
        <f aca="false">AND(Tasks[[#This Row],[Task Name]]&lt;&gt;"",Tasks[[#This Row],[_NextLevel]]&gt;Tasks[[#This Row],[_Level]])</f>
        <v>0</v>
      </c>
      <c r="CG123" s="43" t="n">
        <f aca="false">IF(Tasks[[#This Row],[_IsSummary]],COUNTIF(Tasks[WBS],Tasks[[#This Row],[WBS]]&amp;".*"),0)</f>
        <v>0</v>
      </c>
      <c r="CH123" s="43" t="n">
        <f aca="false">IF(AND(Tasks[[#This Row],[Task Name]]&lt;&gt;"",NOT(Tasks[[#This Row],[_IsSummary]])),1,0)</f>
        <v>0</v>
      </c>
      <c r="CI123" s="43" t="n">
        <f aca="false">IF(N(Tasks[[#This Row],[_Pred1UID]])=0,0,IFERROR(MATCH(Tasks[[#This Row],[_Pred1UID]],Tasks[UID],0),-1))</f>
        <v>0</v>
      </c>
      <c r="CJ123" s="43" t="n">
        <f aca="false">IF(N(Tasks[[#This Row],[_Pred2UID]])=0,0,IFERROR(MATCH(Tasks[[#This Row],[_Pred2UID]],Tasks[UID],0),-1))</f>
        <v>0</v>
      </c>
      <c r="CK123" s="43" t="n">
        <f aca="false">IF(N(Tasks[[#This Row],[_Pred3UID]])=0,0,IFERROR(MATCH(Tasks[[#This Row],[_Pred3UID]],Tasks[UID],0),-1))</f>
        <v>0</v>
      </c>
      <c r="CL123" s="43" t="n">
        <f aca="false">IF(N(Tasks[[#This Row],[_Pred4UID]])=0,0,IFERROR(MATCH(Tasks[[#This Row],[_Pred4UID]],Tasks[UID],0),-1))</f>
        <v>0</v>
      </c>
      <c r="CM1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3" s="91" t="n">
        <f aca="false">IF(OR(Tasks[[#This Row],[_ConstraintCode]]=2,Tasks[[#This Row],[_ConstraintCode]]=3,Tasks[[#This Row],[_ConstraintCode]]=4,Tasks[[#This Row],[_ConstraintCode]]=6),Tasks[[#This Row],[_ConstraintStart]],0)</f>
        <v>0</v>
      </c>
      <c r="CP123" s="91" t="n">
        <f aca="false">IF(OR(Tasks[[#This Row],[_ConstraintCode]]=2,Tasks[[#This Row],[_ConstraintCode]]=3,Tasks[[#This Row],[_ConstraintCode]]=5,Tasks[[#This Row],[_ConstraintCode]]=7),Tasks[[#This Row],[_ConstraintStart]],2958465)</f>
        <v>2958465</v>
      </c>
      <c r="CQ1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91" t="str">
        <f aca="false">IF(NOT(Tasks[[#This Row],[_IsLeaf]]=1),"",IF(N(Tasks[[#This Row],[_Days]])&lt;=0,Tasks[[#This Row],[_LeafCalcStart]],WORKDAY.INTL(Tasks[[#This Row],[_LeafCalcStart]],Tasks[[#This Row],[_Days]]-1,WorkWeek,Holidays)))</f>
        <v/>
      </c>
      <c r="CS1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3" t="str">
        <f aca="false">IF(Tasks[[#This Row],[_Predecessors]]="","",TRIM(MID(SUBSTITUTE(SUBSTITUTE(SUBSTITUTE(UPPER(Tasks[[#This Row],[_Predecessors]]),";",",")," ",""),",",REPT(" ",99)),1,99)))</f>
        <v/>
      </c>
      <c r="CV123" s="43" t="str">
        <f aca="false">IF(Tasks[[#This Row],[_Pred1Text]]="","",IFERROR(VALUE(LEFT(Tasks[[#This Row],[_Pred1Text]],MIN(FIND("F",Tasks[[#This Row],[_Pred1Text]]&amp;"F"),FIND("S",Tasks[[#This Row],[_Pred1Text]]&amp;"S"),FIND("+",Tasks[[#This Row],[_Pred1Text]]&amp;"+"),FIND("-",Tasks[[#This Row],[_Pred1Text]]&amp;"-"))-1)),""))</f>
        <v/>
      </c>
      <c r="CW1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3" t="str">
        <f aca="false">IF(Tasks[[#This Row],[_Pred1Text]]="","",TRIM(MID(SUBSTITUTE(SUBSTITUTE(SUBSTITUTE(UPPER(Tasks[[#This Row],[_Predecessors]]),";",",")," ",""),",",REPT(" ",99)),100,99)))</f>
        <v/>
      </c>
      <c r="CZ123" s="43" t="str">
        <f aca="false">IF(Tasks[[#This Row],[_Pred2Text]]="","",IFERROR(VALUE(LEFT(Tasks[[#This Row],[_Pred2Text]],MIN(FIND("F",Tasks[[#This Row],[_Pred2Text]]&amp;"F"),FIND("S",Tasks[[#This Row],[_Pred2Text]]&amp;"S"),FIND("+",Tasks[[#This Row],[_Pred2Text]]&amp;"+"),FIND("-",Tasks[[#This Row],[_Pred2Text]]&amp;"-"))-1)),""))</f>
        <v/>
      </c>
      <c r="DA1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3" t="str">
        <f aca="false">IF(Tasks[[#This Row],[_Pred2Text]]="","",TRIM(MID(SUBSTITUTE(SUBSTITUTE(SUBSTITUTE(UPPER(Tasks[[#This Row],[_Predecessors]]),";",",")," ",""),",",REPT(" ",99)),199,99)))</f>
        <v/>
      </c>
      <c r="DD123" s="43" t="str">
        <f aca="false">IF(Tasks[[#This Row],[_Pred3Text]]="","",IFERROR(VALUE(LEFT(Tasks[[#This Row],[_Pred3Text]],MIN(FIND("F",Tasks[[#This Row],[_Pred3Text]]&amp;"F"),FIND("S",Tasks[[#This Row],[_Pred3Text]]&amp;"S"),FIND("+",Tasks[[#This Row],[_Pred3Text]]&amp;"+"),FIND("-",Tasks[[#This Row],[_Pred3Text]]&amp;"-"))-1)),""))</f>
        <v/>
      </c>
      <c r="DE1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3" t="str">
        <f aca="false">IF(Tasks[[#This Row],[_Pred3Text]]="","",TRIM(MID(SUBSTITUTE(SUBSTITUTE(SUBSTITUTE(UPPER(Tasks[[#This Row],[_Predecessors]]),";",",")," ",""),",",REPT(" ",99)),298,99)))</f>
        <v/>
      </c>
      <c r="DH123" s="43" t="str">
        <f aca="false">IF(Tasks[[#This Row],[_Pred4Text]]="","",IFERROR(VALUE(LEFT(Tasks[[#This Row],[_Pred4Text]],MIN(FIND("F",Tasks[[#This Row],[_Pred4Text]]&amp;"F"),FIND("S",Tasks[[#This Row],[_Pred4Text]]&amp;"S"),FIND("+",Tasks[[#This Row],[_Pred4Text]]&amp;"+"),FIND("-",Tasks[[#This Row],[_Pred4Text]]&amp;"-"))-1)),""))</f>
        <v/>
      </c>
      <c r="DI1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3" t="str">
        <f aca="false">IF(OR(Tasks[[#This Row],[Task Name]]="",Tasks[[#This Row],[_Resources]]=""),"",TRIM(MID(SUBSTITUTE(Tasks[[#This Row],[_Resources]],",",REPT(" ",99)),1,99)))</f>
        <v/>
      </c>
      <c r="DL123" s="43" t="str">
        <f aca="false">IF(Tasks[[#This Row],[_Res1Text]]="","",TRIM(MID(SUBSTITUTE(Tasks[[#This Row],[_Resources]],",",REPT(" ",99)),100,99)))</f>
        <v/>
      </c>
      <c r="DM123" s="43" t="str">
        <f aca="false">IF(Tasks[[#This Row],[_Res2Text]]="","",TRIM(MID(SUBSTITUTE(Tasks[[#This Row],[_Resources]],",",REPT(" ",99)),199,99)))</f>
        <v/>
      </c>
      <c r="DN123" s="43" t="str">
        <f aca="false">IF(Tasks[[#This Row],[_Res3Text]]="","",TRIM(MID(SUBSTITUTE(Tasks[[#This Row],[_Resources]],",",REPT(" ",99)),298,99)))</f>
        <v/>
      </c>
      <c r="DO123" s="43" t="n">
        <f aca="false">IF(Tasks[[#This Row],[_Res1Text]]="",0,IFERROR(MATCH(TRIM(LEFT(Tasks[[#This Row],[_Res1Text]],FIND("[",Tasks[[#This Row],[_Res1Text]]&amp;"[")-1)),res_Name,0),IFERROR(MATCH(TRIM(LEFT(Tasks[[#This Row],[_Res1Text]],FIND("[",Tasks[[#This Row],[_Res1Text]]&amp;"[")-1)),res_Initials,0),0)))</f>
        <v>0</v>
      </c>
      <c r="DP123" s="43" t="n">
        <f aca="false">IF(Tasks[[#This Row],[_Res2Text]]="",0,IFERROR(MATCH(TRIM(LEFT(Tasks[[#This Row],[_Res2Text]],FIND("[",Tasks[[#This Row],[_Res2Text]]&amp;"[")-1)),res_Name,0),IFERROR(MATCH(TRIM(LEFT(Tasks[[#This Row],[_Res2Text]],FIND("[",Tasks[[#This Row],[_Res2Text]]&amp;"[")-1)),res_Initials,0),0)))</f>
        <v>0</v>
      </c>
      <c r="DQ123" s="43" t="n">
        <f aca="false">IF(Tasks[[#This Row],[_Res3Text]]="",0,IFERROR(MATCH(TRIM(LEFT(Tasks[[#This Row],[_Res3Text]],FIND("[",Tasks[[#This Row],[_Res3Text]]&amp;"[")-1)),res_Name,0),IFERROR(MATCH(TRIM(LEFT(Tasks[[#This Row],[_Res3Text]],FIND("[",Tasks[[#This Row],[_Res3Text]]&amp;"[")-1)),res_Initials,0),0)))</f>
        <v>0</v>
      </c>
      <c r="DR123" s="43" t="n">
        <f aca="false">IF(Tasks[[#This Row],[_Res4Text]]="",0,IFERROR(MATCH(TRIM(LEFT(Tasks[[#This Row],[_Res4Text]],FIND("[",Tasks[[#This Row],[_Res4Text]]&amp;"[")-1)),res_Name,0),IFERROR(MATCH(TRIM(LEFT(Tasks[[#This Row],[_Res4Text]],FIND("[",Tasks[[#This Row],[_Res4Text]]&amp;"[")-1)),res_Initials,0),0)))</f>
        <v>0</v>
      </c>
      <c r="DS123" s="43" t="str">
        <f aca="false">IF(Tasks[[#This Row],[_Res1Text]]="","",IF(Tasks[[#This Row],[_Res1Row]]&gt;0,INDEX(res_Name,Tasks[[#This Row],[_Res1Row]]),TRIM(LEFT(Tasks[[#This Row],[_Res1Text]],FIND("[",Tasks[[#This Row],[_Res1Text]]&amp;"[")-1))))</f>
        <v/>
      </c>
      <c r="DT1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3" t="n">
        <f aca="false">IF(NOT(Tasks[[#This Row],[_IsLeaf]]=1),0,(Tasks[[#This Row],[_Resource1]]&lt;&gt;"")+(Tasks[[#This Row],[_Res2]]&lt;&gt;"")+(Tasks[[#This Row],[_Res3]]&lt;&gt;"")+(Tasks[[#This Row],[_Res4]]&lt;&gt;""))</f>
        <v>0</v>
      </c>
      <c r="DV123" s="43" t="str">
        <f aca="false">IF(Tasks[[#This Row],[_Res2Text]]="","",IF(Tasks[[#This Row],[_Res2Row]]&gt;0,INDEX(res_Name,Tasks[[#This Row],[_Res2Row]]),TRIM(LEFT(Tasks[[#This Row],[_Res2Text]],FIND("[",Tasks[[#This Row],[_Res2Text]]&amp;"[")-1))))</f>
        <v/>
      </c>
      <c r="DW1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3" t="n">
        <f aca="false">IF(OR(NOT(Tasks[[#This Row],[_IsLeaf]]=1),Tasks[[#This Row],[_Res2Row]]=0),0,N(Tasks[[#This Row],[_Days]])*HoursPerDay*IF(Tasks[[#This Row],[_Res2Units]]="",DefaultUnits,Tasks[[#This Row],[_Res2Units]]))</f>
        <v>0</v>
      </c>
      <c r="DY123" s="43" t="n">
        <f aca="false">IF(AND(AND(Tasks[[#This Row],[_IsLeaf]]=1,Tasks[[#This Row],[_LeafTotalWork]]&gt;0),Tasks[[#This Row],[_Res2Work]]&gt;0),Tasks[[#This Row],[_Res2Work]]/(Tasks[[#This Row],[_FinishWorkday]]-Tasks[[#This Row],[_StartWorkday]]+1),0)</f>
        <v>0</v>
      </c>
      <c r="DZ123" s="43" t="n">
        <f aca="false">Tasks[[#This Row],[_Res2WorkPerWD]]*MAX(0,Tasks[[#This Row],[_StartWorkday]]-1)</f>
        <v>0</v>
      </c>
      <c r="EA123" s="43" t="n">
        <f aca="false">Tasks[[#This Row],[_Res2Work]]*Tasks[[#This Row],[_LeafProgress]]</f>
        <v>0</v>
      </c>
      <c r="EB123" s="43" t="str">
        <f aca="false">IF(Tasks[[#This Row],[_Res3Text]]="","",IF(Tasks[[#This Row],[_Res3Row]]&gt;0,INDEX(res_Name,Tasks[[#This Row],[_Res3Row]]),TRIM(LEFT(Tasks[[#This Row],[_Res3Text]],FIND("[",Tasks[[#This Row],[_Res3Text]]&amp;"[")-1))))</f>
        <v/>
      </c>
      <c r="EC1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3" t="n">
        <f aca="false">IF(OR(NOT(Tasks[[#This Row],[_IsLeaf]]=1),Tasks[[#This Row],[_Res3Row]]=0),0,N(Tasks[[#This Row],[_Days]])*HoursPerDay*IF(Tasks[[#This Row],[_Res3Units]]="",DefaultUnits,Tasks[[#This Row],[_Res3Units]]))</f>
        <v>0</v>
      </c>
      <c r="EE123" s="43" t="n">
        <f aca="false">IF(AND(AND(Tasks[[#This Row],[_IsLeaf]]=1,Tasks[[#This Row],[_LeafTotalWork]]&gt;0),Tasks[[#This Row],[_Res3Work]]&gt;0),Tasks[[#This Row],[_Res3Work]]/(Tasks[[#This Row],[_FinishWorkday]]-Tasks[[#This Row],[_StartWorkday]]+1),0)</f>
        <v>0</v>
      </c>
      <c r="EF123" s="43" t="n">
        <f aca="false">Tasks[[#This Row],[_Res3WorkPerWD]]*MAX(0,Tasks[[#This Row],[_StartWorkday]]-1)</f>
        <v>0</v>
      </c>
      <c r="EG123" s="43" t="n">
        <f aca="false">Tasks[[#This Row],[_Res3Work]]*Tasks[[#This Row],[_LeafProgress]]</f>
        <v>0</v>
      </c>
      <c r="EH123" s="43" t="str">
        <f aca="false">IF(Tasks[[#This Row],[_Res4Text]]="","",IF(Tasks[[#This Row],[_Res4Row]]&gt;0,INDEX(res_Name,Tasks[[#This Row],[_Res4Row]]),TRIM(LEFT(Tasks[[#This Row],[_Res4Text]],FIND("[",Tasks[[#This Row],[_Res4Text]]&amp;"[")-1))))</f>
        <v/>
      </c>
      <c r="EI1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3" t="n">
        <f aca="false">IF(OR(NOT(Tasks[[#This Row],[_IsLeaf]]=1),Tasks[[#This Row],[_Res4Row]]=0),0,N(Tasks[[#This Row],[_Days]])*HoursPerDay*IF(Tasks[[#This Row],[_Res4Units]]="",DefaultUnits,Tasks[[#This Row],[_Res4Units]]))</f>
        <v>0</v>
      </c>
      <c r="EK123" s="43" t="n">
        <f aca="false">IF(AND(AND(Tasks[[#This Row],[_IsLeaf]]=1,Tasks[[#This Row],[_LeafTotalWork]]&gt;0),Tasks[[#This Row],[_Res4Work]]&gt;0),Tasks[[#This Row],[_Res4Work]]/(Tasks[[#This Row],[_FinishWorkday]]-Tasks[[#This Row],[_StartWorkday]]+1),0)</f>
        <v>0</v>
      </c>
      <c r="EL123" s="43" t="n">
        <f aca="false">Tasks[[#This Row],[_Res4WorkPerWD]]*MAX(0,Tasks[[#This Row],[_StartWorkday]]-1)</f>
        <v>0</v>
      </c>
      <c r="EM123" s="43" t="n">
        <f aca="false">Tasks[[#This Row],[_Res4Work]]*Tasks[[#This Row],[_LeafProgress]]</f>
        <v>0</v>
      </c>
      <c r="EN123" s="43" t="n">
        <f aca="false">IF(ISNUMBER(Tasks[[#This Row],[% Complete]]),Tasks[[#This Row],[% Complete]],IF(Tasks[[#This Row],[Stage]]="",0,IFERROR(INDEX(stg_Pct,MATCH(Tasks[[#This Row],[Stage]],stg_Name,0)),0)))</f>
        <v>0</v>
      </c>
      <c r="EO123" s="43" t="n">
        <f aca="false">IF(NOT(Tasks[[#This Row],[_IsLeaf]]=1),0,IF(N(Tasks[[#This Row],[Actual Finish]])&gt;0,1,MIN(1,Tasks[[#This Row],[_Pct]])))</f>
        <v>0</v>
      </c>
      <c r="EP123" s="43" t="n">
        <f aca="false">IF(OR(NOT(Tasks[[#This Row],[_IsLeaf]]=1),Tasks[[#This Row],[_Res1Row]]=0),0,N(Tasks[[#This Row],[_Days]])*HoursPerDay*IF(Tasks[[#This Row],[_Units1]]="",DefaultUnits,Tasks[[#This Row],[_Units1]]))</f>
        <v>0</v>
      </c>
      <c r="EQ123" s="43" t="n">
        <f aca="false">Tasks[[#This Row],[_LeafWork]]+Tasks[[#This Row],[_Res2Work]]+Tasks[[#This Row],[_Res3Work]]+Tasks[[#This Row],[_Res4Work]]</f>
        <v>0</v>
      </c>
      <c r="ER1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3" t="n">
        <f aca="false">IF(NOT(Tasks[[#This Row],[_IsLeaf]]=1),0,MAX(_xlfn.MAXIFS(Tasks[_Row],Tasks[_Pred1UID],Tasks[[#This Row],[UID]]),_xlfn.MAXIFS(Tasks[_Row],Tasks[_Pred2UID],Tasks[[#This Row],[UID]]),_xlfn.MAXIFS(Tasks[_Row],Tasks[_Pred3UID],Tasks[[#This Row],[UID]]),_xlfn.MAXIFS(Tasks[_Row],Tasks[_Pred4UID],Tasks[[#This Row],[UID]])))</f>
        <v>0</v>
      </c>
      <c r="FA1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91" t="str">
        <f aca="false">IF(NOT(Tasks[[#This Row],[_IsLeaf]]=1),"",IF(N(Tasks[[#This Row],[_Days]])&lt;=0,Tasks[[#This Row],[_LeafLateFinish]],WORKDAY.INTL(Tasks[[#This Row],[_LeafLateFinish]],-(Tasks[[#This Row],[_Days]]-1),WorkWeek,Holidays)))</f>
        <v/>
      </c>
      <c r="FD1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3" s="90" t="b">
        <f aca="false">AND(Tasks[[#This Row],[_IsLeaf]]=1,Tasks[[#This Row],[_LeafProgress]]&lt;1,N(Tasks[[#This Row],[_LeafTotalSlack]])&lt;=CriticalSlackDays)</f>
        <v>0</v>
      </c>
      <c r="FF123" s="43" t="n">
        <f aca="false">IF(AND(Tasks[[#This Row],[_IsLeaf]]=1,Tasks[[#This Row],[_ConstraintCode]]=1,Tasks[[#This Row],[Mode]]&lt;&gt;"Manual",N(Tasks[[#This Row],[Actual Start]])=0),MAX(0,N(Tasks[[#This Row],[Free Slack]])),0)</f>
        <v>0</v>
      </c>
      <c r="FG123" s="91" t="str">
        <f aca="false">IF(NOT(Tasks[[#This Row],[_IsLeaf]]=1),"",IF(Tasks[[#This Row],[_AlapShift]]=0,Tasks[[#This Row],[_LeafCalcStart]],WORKDAY.INTL(Tasks[[#This Row],[_LeafCalcStart]],Tasks[[#This Row],[_AlapShift]],WorkWeek,Holidays)))</f>
        <v/>
      </c>
      <c r="FH123" s="91" t="str">
        <f aca="false">IF(NOT(Tasks[[#This Row],[_IsLeaf]]=1),"",IF(Tasks[[#This Row],[_AlapShift]]=0,Tasks[[#This Row],[_LeafCalcFinish]],WORKDAY.INTL(Tasks[[#This Row],[_LeafCalcFinish]],Tasks[[#This Row],[_AlapShift]],WorkWeek,Holidays)))</f>
        <v/>
      </c>
      <c r="FI123" s="91" t="str">
        <f aca="false">IF(NOT(Tasks[[#This Row],[_IsLeaf]]=1),"",IF(Tasks[[#This Row],[_AlapShift]]=0,Tasks[[#This Row],[_LeafFcstStart]],WORKDAY.INTL(Tasks[[#This Row],[_LeafFcstStart]],Tasks[[#This Row],[_AlapShift]],WorkWeek,Holidays)))</f>
        <v/>
      </c>
      <c r="FJ123" s="91" t="str">
        <f aca="false">IF(NOT(Tasks[[#This Row],[_IsLeaf]]=1),"",IF(Tasks[[#This Row],[_AlapShift]]=0,Tasks[[#This Row],[_LeafFcstFinish]],WORKDAY.INTL(Tasks[[#This Row],[_LeafFcstFinish]],Tasks[[#This Row],[_AlapShift]],WorkWeek,Holidays)))</f>
        <v/>
      </c>
      <c r="FK123" s="91" t="str">
        <f aca="false">IF(Tasks[[#This Row],[Task Name]]="","",IF(Tasks[[#This Row],[_IsSummary]],MIN(INDEX(Tasks[_ShownCalcStart],Tasks[[#This Row],[_Row]]+1):INDEX(Tasks[_ShownCalcStart],Tasks[[#This Row],[_Row]]+Tasks[[#This Row],[_Descendants]])),Tasks[[#This Row],[_ShownCalcStart]]))</f>
        <v/>
      </c>
      <c r="FL123" s="91" t="str">
        <f aca="false">IF(Tasks[[#This Row],[Task Name]]="","",IF(Tasks[[#This Row],[_IsSummary]],MAX(INDEX(Tasks[_ShownCalcFinish],Tasks[[#This Row],[_Row]]+1):INDEX(Tasks[_ShownCalcFinish],Tasks[[#This Row],[_Row]]+Tasks[[#This Row],[_Descendants]])),Tasks[[#This Row],[_ShownCalcFinish]]))</f>
        <v/>
      </c>
      <c r="FM1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3" s="43" t="n">
        <f aca="false">IF(AND(Tasks[[#This Row],[_IsLeaf]]=1,Tasks[[#This Row],[_LeafTotalWork]]&gt;0),NETWORKDAYS.INTL(ProjectStart,Tasks[[#This Row],[_ShownFcstStart]],WorkWeek,Holidays),0)</f>
        <v>0</v>
      </c>
      <c r="FZ123" s="43" t="n">
        <f aca="false">IF(AND(Tasks[[#This Row],[_IsLeaf]]=1,Tasks[[#This Row],[_LeafTotalWork]]&gt;0),MAX(Tasks[[#This Row],[_StartWorkday]],NETWORKDAYS.INTL(ProjectStart,Tasks[[#This Row],[_ShownFcstFinish]],WorkWeek,Holidays)),0)</f>
        <v>0</v>
      </c>
      <c r="GA123" s="43" t="n">
        <f aca="false">IF(AND(Tasks[[#This Row],[_IsLeaf]]=1,Tasks[[#This Row],[_LeafTotalWork]]&gt;0),Tasks[[#This Row],[_LeafWork]]/(Tasks[[#This Row],[_FinishWorkday]]-Tasks[[#This Row],[_StartWorkday]]+1),0)</f>
        <v>0</v>
      </c>
      <c r="GB123" s="43" t="n">
        <f aca="false">Tasks[[#This Row],[_WorkPerWorkday]]*(Tasks[[#This Row],[_StartWorkday]]-1)</f>
        <v>-0</v>
      </c>
      <c r="GC123" s="43" t="n">
        <f aca="false">IF(Tasks[[#This Row],[_IsLeaf]]=1,MAX(N(Tasks[[#This Row],[_Days]]),0.1),0)</f>
        <v>0</v>
      </c>
      <c r="GD123" s="43" t="n">
        <f aca="false">Tasks[[#This Row],[_WeightDur]]*Tasks[[#This Row],[_LeafProgress]]</f>
        <v>0</v>
      </c>
      <c r="GE123" s="43" t="n">
        <f aca="false">Tasks[[#This Row],[_WeightDur]]*Tasks[[#This Row],[_PlannedPct]]</f>
        <v>0</v>
      </c>
      <c r="GF1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3" t="str">
        <f aca="false">IF(AND(Tasks[[#This Row],[_IsLeaf]]=1,N(Tasks[[#This Row],[_Days]])=0,Tasks[[#This Row],[_LeafProgress]]&lt;1),Tasks[[#This Row],[_ShownFcstFinish]]+Tasks[[#This Row],[_Row]]/100000,"")</f>
        <v/>
      </c>
      <c r="GH1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3" s="43" t="str">
        <f aca="false">IF(Tasks[[#This Row],[Task Name]]="","",LEFT(Tasks[[#This Row],[WBS]],FIND(".",Tasks[[#This Row],[WBS]]&amp;".")-1))</f>
        <v/>
      </c>
      <c r="GJ123" s="43" t="str">
        <f aca="false">IF(AND(Tasks[[#This Row],[Task Name]]&lt;&gt;"",Tasks[[#This Row],[_Level]]=1),Tasks[[#This Row],[_Row]],"")</f>
        <v/>
      </c>
      <c r="GK123" s="43" t="str">
        <f aca="false">IF(AND(Tasks[[#This Row],[_IsLeaf]]=1,N(Tasks[[#This Row],[_Days]])=0),Tasks[[#This Row],[Planned Finish]]+Tasks[[#This Row],[_Row]]/100000,"")</f>
        <v/>
      </c>
      <c r="GL123" s="43" t="str">
        <f aca="false">IF(AND(Tasks[[#This Row],[_IsLeaf]]=1,Tasks[[#This Row],[_LeafProgress]]&lt;1,OR(N(Tasks[[#This Row],[Finish Var]])&gt;0,Tasks[[#This Row],[Status]]="Late Start")),MAX(0,Tasks[[#This Row],[Finish Var]])+1-Tasks[[#This Row],[_Row]]/1000000,"")</f>
        <v/>
      </c>
      <c r="GM123" s="43" t="str">
        <f aca="false">IF(AND(Tasks[[#This Row],[_IsLeaf]]=1,N(Tasks[[#This Row],[Actual Start]])=0,Tasks[[#This Row],[_ShownFcstStart]]&gt;=StatusDate,Tasks[[#This Row],[_ShownFcstStart]]&lt;=LookaheadEnd),Tasks[[#This Row],[_ShownFcstStart]]+Tasks[[#This Row],[_Row]]/100000,"")</f>
        <v/>
      </c>
      <c r="GN123" s="43" t="str">
        <f aca="false">IF(AND(Tasks[[#This Row],[_IsLeaf]]=1,Tasks[[#This Row],[_LeafProgress]]&lt;1,Tasks[[#This Row],[_ShownFcstFinish]]&gt;=StatusDate,Tasks[[#This Row],[_ShownFcstFinish]]&lt;=LookaheadEnd),Tasks[[#This Row],[_ShownFcstFinish]]+Tasks[[#This Row],[_Row]]/100000,"")</f>
        <v/>
      </c>
      <c r="GO123" s="43" t="str">
        <f aca="false">IF(Tasks[[#This Row],[_LeafCritical]],Tasks[[#This Row],[_ShownFcstStart]]+Tasks[[#This Row],[_Row]]/100000,"")</f>
        <v/>
      </c>
      <c r="GP123" s="43" t="n">
        <f aca="false">Tasks[[#This Row],[_LeafWork]]*Tasks[[#This Row],[_LeafProgress]]</f>
        <v>0</v>
      </c>
      <c r="GQ123" s="91" t="str">
        <f aca="false">IF(AND(Tasks[[#This Row],[_IsLeaf]]=1,Tasks[[#This Row],[_LeafProgress]]&gt;=1),IF(N(Tasks[[#This Row],[Actual Finish]])&gt;0,Tasks[[#This Row],[Actual Finish]],Tasks[[#This Row],[_ShownFcstFinish]]),"")</f>
        <v/>
      </c>
      <c r="GR123" s="43" t="n">
        <f aca="false">IF(Tasks[[#This Row],[_IsLeaf]]=1,N(Tasks[[#This Row],[Story Points]]),0)</f>
        <v>0</v>
      </c>
      <c r="GS123" s="43" t="str">
        <f aca="false">""</f>
        <v/>
      </c>
      <c r="GT123" s="90" t="b">
        <f aca="false">IF(Tasks[[#This Row],[Task Name]]="",FALSE(),AND(Tasks[[#This Row],[_IsLeaf]]=1,N(Tasks[[#This Row],[_Days]])=0))</f>
        <v>0</v>
      </c>
      <c r="GU123" s="91" t="n">
        <f aca="false">IF(Tasks[[#This Row],[Task Name]]="",0,IF(AND(Tasks[[#This Row],[_IsLeaf]]=1,NOT(Tasks[[#This Row],[_IsMilestone]]),N(Tasks[[#This Row],[Progress]])&gt;0),Tasks[[#This Row],[Start]],0))</f>
        <v>0</v>
      </c>
      <c r="GV123" s="91" t="n">
        <f aca="false">IF(Tasks[[#This Row],[_DoneFrom]]=0,0,IF(Tasks[[#This Row],[Progress]]&gt;=1,Tasks[[#This Row],[Finish]],MAX(Tasks[[#This Row],[_DoneFrom]],Tasks[[#This Row],[Start]]+ROUND((Tasks[[#This Row],[Finish]]-Tasks[[#This Row],[Start]]+1)*Tasks[[#This Row],[Progress]],0)-1)))</f>
        <v>0</v>
      </c>
      <c r="GW123" s="91" t="n">
        <f aca="false">IF(Tasks[[#This Row],[Task Name]]="",0,IF(OR(NOT(Tasks[[#This Row],[_IsLeaf]]=1),Tasks[[#This Row],[_IsMilestone]],N(Tasks[[#This Row],[Progress]])&gt;=1),0,IF(Tasks[[#This Row],[_DoneTo]]&gt;0,Tasks[[#This Row],[_DoneTo]]+1,Tasks[[#This Row],[Start]])))</f>
        <v>0</v>
      </c>
      <c r="GX123" s="91" t="n">
        <f aca="false">IF(Tasks[[#This Row],[_RemFrom]]=0,0,Tasks[[#This Row],[Finish]])</f>
        <v>0</v>
      </c>
      <c r="GY123" s="90" t="b">
        <f aca="false">IF(Tasks[[#This Row],[Task Name]]="",FALSE(),OR(NOT(BaselineSet),N(Tasks[[#This Row],[Baseline Start]])&gt;0))</f>
        <v>0</v>
      </c>
      <c r="GZ12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92" t="str">
        <f aca="false">IF(Tasks[[#This Row],[_IsLeaf]]=1,Tasks[[#This Row],[_Row]],"")</f>
        <v/>
      </c>
      <c r="HD123" s="92" t="str">
        <f aca="false">IFERROR(INDEX(Tasks[UID],SMALL(Tasks[_PickKey],Tasks[[#This Row],[_Row]]))&amp;" "&amp;INDEX(Tasks[Task Name],SMALL(Tasks[_PickKey],Tasks[[#This Row],[_Row]])),"")</f>
        <v/>
      </c>
      <c r="HE123" s="43" t="str">
        <f aca="false">IF(Tasks[[#This Row],[Task Name]]="","",IF(Tasks[[#This Row],[_IsSummary]],NETWORKDAYS.INTL(Tasks[[#This Row],[Start]],Tasks[[#This Row],[Finish]],WorkWeek,Holidays),N(Tasks[[#This Row],[_Days]])))</f>
        <v/>
      </c>
      <c r="HF123" s="43" t="n">
        <f aca="false">IF(Tasks[[#This Row],[Expected]]="",0,((Tasks[[#This Row],[Pessimistic]]-Tasks[[#This Row],[Optimistic]])/6)^2)</f>
        <v>0</v>
      </c>
      <c r="HG123" s="43" t="n">
        <f aca="false">IF(Tasks[[#This Row],[Expected]]="",0,Tasks[[#This Row],[Expected]]-N(Tasks[[#This Row],[_Days]]))</f>
        <v>0</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4"/>
      <c r="U124" s="23"/>
      <c r="V124" s="84"/>
      <c r="W124" s="23"/>
      <c r="X124" s="84"/>
      <c r="Y124" s="23"/>
      <c r="Z124" s="84"/>
      <c r="AA124" s="23"/>
      <c r="AB124" s="23"/>
      <c r="AC124" s="7"/>
      <c r="AD124" s="7"/>
      <c r="AE124" s="63" t="str">
        <f aca="false">IF(Tasks[[#This Row],[Task Name]]="","",IF(Tasks[[#This Row],[_IsSummary]],MIN(INDEX(Tasks[_ShownFcstStart],Tasks[[#This Row],[_Row]]+1):INDEX(Tasks[_ShownFcstStart],Tasks[[#This Row],[_Row]]+Tasks[[#This Row],[_Descendants]])),Tasks[[#This Row],[_ShownFcstStart]]))</f>
        <v/>
      </c>
      <c r="AF124" s="63"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4" s="7"/>
      <c r="AK124" s="22"/>
      <c r="AL124" s="23"/>
      <c r="AM124" s="7"/>
      <c r="AN124" s="47"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3" t="str">
        <f aca="false">IF(Tasks[[#This Row],[Task Name]]="","",IF(N(Tasks[[#This Row],[Baseline Start]])&gt;0,Tasks[[#This Row],[Baseline Start]],Tasks[[#This Row],[_CalcStart]]))</f>
        <v/>
      </c>
      <c r="AR124" s="63" t="str">
        <f aca="false">IF(Tasks[[#This Row],[Task Name]]="","",IF(N(Tasks[[#This Row],[Baseline Finish]])&gt;0,Tasks[[#This Row],[Baseline Finish]],Tasks[[#This Row],[_CalcFinish]]))</f>
        <v/>
      </c>
      <c r="AS124" s="47" t="str">
        <f aca="false">IF(Tasks[[#This Row],[Task Name]]="","",IF(Tasks[[#This Row],[Start]]&gt;=Tasks[[#This Row],[Planned Start]],NETWORKDAYS.INTL(Tasks[[#This Row],[Planned Start]],Tasks[[#This Row],[Start]],WorkWeek,Holidays)-1,1-NETWORKDAYS.INTL(Tasks[[#This Row],[Start]],Tasks[[#This Row],[Planned Start]],WorkWeek,Holidays)))</f>
        <v/>
      </c>
      <c r="AT124" s="63" t="str">
        <f aca="false">IF(Tasks[[#This Row],[Task Name]]="","",IF(Tasks[[#This Row],[_IsSummary]],MIN(INDEX(Tasks[_LeafLateStart],Tasks[[#This Row],[_Row]]+1):INDEX(Tasks[_LeafLateStart],Tasks[[#This Row],[_Row]]+Tasks[[#This Row],[_Descendants]])),Tasks[[#This Row],[_LeafLateStart]]))</f>
        <v/>
      </c>
      <c r="AU124" s="63" t="str">
        <f aca="false">IF(Tasks[[#This Row],[Task Name]]="","",IF(Tasks[[#This Row],[_IsSummary]],MAX(INDEX(Tasks[_LeafLateFinish],Tasks[[#This Row],[_Row]]+1):INDEX(Tasks[_LeafLateFinish],Tasks[[#This Row],[_Row]]+Tasks[[#This Row],[_Descendants]])),Tasks[[#This Row],[_LeafLateFinish]]))</f>
        <v/>
      </c>
      <c r="AV124" s="47"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5"/>
      <c r="BA1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6"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7"/>
      <c r="BJ124" s="22"/>
      <c r="BK124" s="47" t="str">
        <f aca="false">IF(OR(Tasks[[#This Row],[Task Name]]="",Tasks[[#This Row],[Baseline Duration]]=""),"",Tasks[[#This Row],[_SpanDays]]-N(Tasks[[#This Row],[Baseline Duration]]))</f>
        <v/>
      </c>
      <c r="BL124" s="86" t="str">
        <f aca="false">IF(OR(Tasks[[#This Row],[Task Name]]="",Tasks[[#This Row],[Baseline Work]]=""),"",Tasks[[#This Row],[Work]]-N(Tasks[[#This Row],[Baseline Work]]))</f>
        <v/>
      </c>
      <c r="BM124" s="63" t="str">
        <f aca="false">IF(Tasks[[#This Row],[Task Name]]="","",IF(OR(TakeBaseline="Yes",N(Tasks[[#This Row],[Baseline Start]])=0),Tasks[[#This Row],[Start]],Tasks[[#This Row],[Baseline Start]]))</f>
        <v/>
      </c>
      <c r="BN124" s="63" t="str">
        <f aca="false">IF(Tasks[[#This Row],[Task Name]]="","",IF(OR(TakeBaseline="Yes",N(Tasks[[#This Row],[Baseline Finish]])=0),Tasks[[#This Row],[Finish]],Tasks[[#This Row],[Baseline Finish]]))</f>
        <v/>
      </c>
      <c r="BO124" s="21" t="str">
        <f aca="false">IF(Tasks[[#This Row],[Task Name]]="","",IF(OR(TakeBaseline="Yes",N(Tasks[[#This Row],[Baseline Duration]])=0),Tasks[[#This Row],[_SpanDays]],Tasks[[#This Row],[Baseline Duration]]))</f>
        <v/>
      </c>
      <c r="BP124" s="86" t="str">
        <f aca="false">IF(Tasks[[#This Row],[Task Name]]="","",IF(OR(TakeBaseline="Yes",N(Tasks[[#This Row],[Baseline Work]])=0),Tasks[[#This Row],[Work]],Tasks[[#This Row],[Baseline Work]]))</f>
        <v/>
      </c>
      <c r="BQ124" s="7"/>
      <c r="BR124" s="7"/>
      <c r="BS124" s="22"/>
      <c r="BT124" s="88"/>
      <c r="BU124" s="23"/>
      <c r="BV124" s="23"/>
      <c r="BW124" s="23"/>
      <c r="BX124" s="89" t="str">
        <f aca="false">IF(AND(Tasks[[#This Row],[_IsLeaf]]=1,ISNUMBER(Tasks[[#This Row],[Optimistic]]),ISNUMBER(Tasks[[#This Row],[Pessimistic]])),ROUND((Tasks[[#This Row],[Optimistic]]+4*N(Tasks[[#This Row],[_Days]])+Tasks[[#This Row],[Pessimistic]])/6,1),"")</f>
        <v/>
      </c>
      <c r="BY124" s="87"/>
      <c r="BZ124" s="87"/>
      <c r="CA124" s="22"/>
      <c r="CB124" s="43" t="str">
        <f aca="false">IF(Tasks[[#This Row],[Task Name]]="","",MAX(1,N(Tasks[[#This Row],[Level]])))</f>
        <v/>
      </c>
      <c r="CC124" s="43" t="n">
        <f aca="false">ROW()-ROW(Tasks[[#Headers],[ID]])</f>
        <v>119</v>
      </c>
      <c r="CD124" s="43" t="n">
        <f aca="false">IF(OR(Tasks[[#This Row],[Task Name]]="",Tasks[[#This Row],[_Level]]&lt;=1),0,IFERROR(LOOKUP(2,1/(Tasks[[#Headers],[_Level]]:Tasks[[#This Row],[_Level]]=Tasks[[#This Row],[_Level]]-1),ROW(Tasks[[#Headers],[_Level]]:Tasks[[#This Row],[_Level]])),0))</f>
        <v>0</v>
      </c>
      <c r="CE124" s="43" t="n">
        <f aca="false">IFERROR(N(INDEX(Tasks[_Level],Tasks[[#This Row],[_Row]]+1)),0)</f>
        <v>0</v>
      </c>
      <c r="CF124" s="90" t="b">
        <f aca="false">AND(Tasks[[#This Row],[Task Name]]&lt;&gt;"",Tasks[[#This Row],[_NextLevel]]&gt;Tasks[[#This Row],[_Level]])</f>
        <v>0</v>
      </c>
      <c r="CG124" s="43" t="n">
        <f aca="false">IF(Tasks[[#This Row],[_IsSummary]],COUNTIF(Tasks[WBS],Tasks[[#This Row],[WBS]]&amp;".*"),0)</f>
        <v>0</v>
      </c>
      <c r="CH124" s="43" t="n">
        <f aca="false">IF(AND(Tasks[[#This Row],[Task Name]]&lt;&gt;"",NOT(Tasks[[#This Row],[_IsSummary]])),1,0)</f>
        <v>0</v>
      </c>
      <c r="CI124" s="43" t="n">
        <f aca="false">IF(N(Tasks[[#This Row],[_Pred1UID]])=0,0,IFERROR(MATCH(Tasks[[#This Row],[_Pred1UID]],Tasks[UID],0),-1))</f>
        <v>0</v>
      </c>
      <c r="CJ124" s="43" t="n">
        <f aca="false">IF(N(Tasks[[#This Row],[_Pred2UID]])=0,0,IFERROR(MATCH(Tasks[[#This Row],[_Pred2UID]],Tasks[UID],0),-1))</f>
        <v>0</v>
      </c>
      <c r="CK124" s="43" t="n">
        <f aca="false">IF(N(Tasks[[#This Row],[_Pred3UID]])=0,0,IFERROR(MATCH(Tasks[[#This Row],[_Pred3UID]],Tasks[UID],0),-1))</f>
        <v>0</v>
      </c>
      <c r="CL124" s="43" t="n">
        <f aca="false">IF(N(Tasks[[#This Row],[_Pred4UID]])=0,0,IFERROR(MATCH(Tasks[[#This Row],[_Pred4UID]],Tasks[UID],0),-1))</f>
        <v>0</v>
      </c>
      <c r="CM1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4" s="91" t="n">
        <f aca="false">IF(OR(Tasks[[#This Row],[_ConstraintCode]]=2,Tasks[[#This Row],[_ConstraintCode]]=3,Tasks[[#This Row],[_ConstraintCode]]=4,Tasks[[#This Row],[_ConstraintCode]]=6),Tasks[[#This Row],[_ConstraintStart]],0)</f>
        <v>0</v>
      </c>
      <c r="CP124" s="91" t="n">
        <f aca="false">IF(OR(Tasks[[#This Row],[_ConstraintCode]]=2,Tasks[[#This Row],[_ConstraintCode]]=3,Tasks[[#This Row],[_ConstraintCode]]=5,Tasks[[#This Row],[_ConstraintCode]]=7),Tasks[[#This Row],[_ConstraintStart]],2958465)</f>
        <v>2958465</v>
      </c>
      <c r="CQ1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91" t="str">
        <f aca="false">IF(NOT(Tasks[[#This Row],[_IsLeaf]]=1),"",IF(N(Tasks[[#This Row],[_Days]])&lt;=0,Tasks[[#This Row],[_LeafCalcStart]],WORKDAY.INTL(Tasks[[#This Row],[_LeafCalcStart]],Tasks[[#This Row],[_Days]]-1,WorkWeek,Holidays)))</f>
        <v/>
      </c>
      <c r="CS1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3" t="str">
        <f aca="false">IF(Tasks[[#This Row],[_Predecessors]]="","",TRIM(MID(SUBSTITUTE(SUBSTITUTE(SUBSTITUTE(UPPER(Tasks[[#This Row],[_Predecessors]]),";",",")," ",""),",",REPT(" ",99)),1,99)))</f>
        <v/>
      </c>
      <c r="CV124" s="43" t="str">
        <f aca="false">IF(Tasks[[#This Row],[_Pred1Text]]="","",IFERROR(VALUE(LEFT(Tasks[[#This Row],[_Pred1Text]],MIN(FIND("F",Tasks[[#This Row],[_Pred1Text]]&amp;"F"),FIND("S",Tasks[[#This Row],[_Pred1Text]]&amp;"S"),FIND("+",Tasks[[#This Row],[_Pred1Text]]&amp;"+"),FIND("-",Tasks[[#This Row],[_Pred1Text]]&amp;"-"))-1)),""))</f>
        <v/>
      </c>
      <c r="CW1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3" t="str">
        <f aca="false">IF(Tasks[[#This Row],[_Pred1Text]]="","",TRIM(MID(SUBSTITUTE(SUBSTITUTE(SUBSTITUTE(UPPER(Tasks[[#This Row],[_Predecessors]]),";",",")," ",""),",",REPT(" ",99)),100,99)))</f>
        <v/>
      </c>
      <c r="CZ124" s="43" t="str">
        <f aca="false">IF(Tasks[[#This Row],[_Pred2Text]]="","",IFERROR(VALUE(LEFT(Tasks[[#This Row],[_Pred2Text]],MIN(FIND("F",Tasks[[#This Row],[_Pred2Text]]&amp;"F"),FIND("S",Tasks[[#This Row],[_Pred2Text]]&amp;"S"),FIND("+",Tasks[[#This Row],[_Pred2Text]]&amp;"+"),FIND("-",Tasks[[#This Row],[_Pred2Text]]&amp;"-"))-1)),""))</f>
        <v/>
      </c>
      <c r="DA1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3" t="str">
        <f aca="false">IF(Tasks[[#This Row],[_Pred2Text]]="","",TRIM(MID(SUBSTITUTE(SUBSTITUTE(SUBSTITUTE(UPPER(Tasks[[#This Row],[_Predecessors]]),";",",")," ",""),",",REPT(" ",99)),199,99)))</f>
        <v/>
      </c>
      <c r="DD124" s="43" t="str">
        <f aca="false">IF(Tasks[[#This Row],[_Pred3Text]]="","",IFERROR(VALUE(LEFT(Tasks[[#This Row],[_Pred3Text]],MIN(FIND("F",Tasks[[#This Row],[_Pred3Text]]&amp;"F"),FIND("S",Tasks[[#This Row],[_Pred3Text]]&amp;"S"),FIND("+",Tasks[[#This Row],[_Pred3Text]]&amp;"+"),FIND("-",Tasks[[#This Row],[_Pred3Text]]&amp;"-"))-1)),""))</f>
        <v/>
      </c>
      <c r="DE1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3" t="str">
        <f aca="false">IF(Tasks[[#This Row],[_Pred3Text]]="","",TRIM(MID(SUBSTITUTE(SUBSTITUTE(SUBSTITUTE(UPPER(Tasks[[#This Row],[_Predecessors]]),";",",")," ",""),",",REPT(" ",99)),298,99)))</f>
        <v/>
      </c>
      <c r="DH124" s="43" t="str">
        <f aca="false">IF(Tasks[[#This Row],[_Pred4Text]]="","",IFERROR(VALUE(LEFT(Tasks[[#This Row],[_Pred4Text]],MIN(FIND("F",Tasks[[#This Row],[_Pred4Text]]&amp;"F"),FIND("S",Tasks[[#This Row],[_Pred4Text]]&amp;"S"),FIND("+",Tasks[[#This Row],[_Pred4Text]]&amp;"+"),FIND("-",Tasks[[#This Row],[_Pred4Text]]&amp;"-"))-1)),""))</f>
        <v/>
      </c>
      <c r="DI1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3" t="str">
        <f aca="false">IF(OR(Tasks[[#This Row],[Task Name]]="",Tasks[[#This Row],[_Resources]]=""),"",TRIM(MID(SUBSTITUTE(Tasks[[#This Row],[_Resources]],",",REPT(" ",99)),1,99)))</f>
        <v/>
      </c>
      <c r="DL124" s="43" t="str">
        <f aca="false">IF(Tasks[[#This Row],[_Res1Text]]="","",TRIM(MID(SUBSTITUTE(Tasks[[#This Row],[_Resources]],",",REPT(" ",99)),100,99)))</f>
        <v/>
      </c>
      <c r="DM124" s="43" t="str">
        <f aca="false">IF(Tasks[[#This Row],[_Res2Text]]="","",TRIM(MID(SUBSTITUTE(Tasks[[#This Row],[_Resources]],",",REPT(" ",99)),199,99)))</f>
        <v/>
      </c>
      <c r="DN124" s="43" t="str">
        <f aca="false">IF(Tasks[[#This Row],[_Res3Text]]="","",TRIM(MID(SUBSTITUTE(Tasks[[#This Row],[_Resources]],",",REPT(" ",99)),298,99)))</f>
        <v/>
      </c>
      <c r="DO124" s="43" t="n">
        <f aca="false">IF(Tasks[[#This Row],[_Res1Text]]="",0,IFERROR(MATCH(TRIM(LEFT(Tasks[[#This Row],[_Res1Text]],FIND("[",Tasks[[#This Row],[_Res1Text]]&amp;"[")-1)),res_Name,0),IFERROR(MATCH(TRIM(LEFT(Tasks[[#This Row],[_Res1Text]],FIND("[",Tasks[[#This Row],[_Res1Text]]&amp;"[")-1)),res_Initials,0),0)))</f>
        <v>0</v>
      </c>
      <c r="DP124" s="43" t="n">
        <f aca="false">IF(Tasks[[#This Row],[_Res2Text]]="",0,IFERROR(MATCH(TRIM(LEFT(Tasks[[#This Row],[_Res2Text]],FIND("[",Tasks[[#This Row],[_Res2Text]]&amp;"[")-1)),res_Name,0),IFERROR(MATCH(TRIM(LEFT(Tasks[[#This Row],[_Res2Text]],FIND("[",Tasks[[#This Row],[_Res2Text]]&amp;"[")-1)),res_Initials,0),0)))</f>
        <v>0</v>
      </c>
      <c r="DQ124" s="43" t="n">
        <f aca="false">IF(Tasks[[#This Row],[_Res3Text]]="",0,IFERROR(MATCH(TRIM(LEFT(Tasks[[#This Row],[_Res3Text]],FIND("[",Tasks[[#This Row],[_Res3Text]]&amp;"[")-1)),res_Name,0),IFERROR(MATCH(TRIM(LEFT(Tasks[[#This Row],[_Res3Text]],FIND("[",Tasks[[#This Row],[_Res3Text]]&amp;"[")-1)),res_Initials,0),0)))</f>
        <v>0</v>
      </c>
      <c r="DR124" s="43" t="n">
        <f aca="false">IF(Tasks[[#This Row],[_Res4Text]]="",0,IFERROR(MATCH(TRIM(LEFT(Tasks[[#This Row],[_Res4Text]],FIND("[",Tasks[[#This Row],[_Res4Text]]&amp;"[")-1)),res_Name,0),IFERROR(MATCH(TRIM(LEFT(Tasks[[#This Row],[_Res4Text]],FIND("[",Tasks[[#This Row],[_Res4Text]]&amp;"[")-1)),res_Initials,0),0)))</f>
        <v>0</v>
      </c>
      <c r="DS124" s="43" t="str">
        <f aca="false">IF(Tasks[[#This Row],[_Res1Text]]="","",IF(Tasks[[#This Row],[_Res1Row]]&gt;0,INDEX(res_Name,Tasks[[#This Row],[_Res1Row]]),TRIM(LEFT(Tasks[[#This Row],[_Res1Text]],FIND("[",Tasks[[#This Row],[_Res1Text]]&amp;"[")-1))))</f>
        <v/>
      </c>
      <c r="DT1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3" t="n">
        <f aca="false">IF(NOT(Tasks[[#This Row],[_IsLeaf]]=1),0,(Tasks[[#This Row],[_Resource1]]&lt;&gt;"")+(Tasks[[#This Row],[_Res2]]&lt;&gt;"")+(Tasks[[#This Row],[_Res3]]&lt;&gt;"")+(Tasks[[#This Row],[_Res4]]&lt;&gt;""))</f>
        <v>0</v>
      </c>
      <c r="DV124" s="43" t="str">
        <f aca="false">IF(Tasks[[#This Row],[_Res2Text]]="","",IF(Tasks[[#This Row],[_Res2Row]]&gt;0,INDEX(res_Name,Tasks[[#This Row],[_Res2Row]]),TRIM(LEFT(Tasks[[#This Row],[_Res2Text]],FIND("[",Tasks[[#This Row],[_Res2Text]]&amp;"[")-1))))</f>
        <v/>
      </c>
      <c r="DW1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3" t="n">
        <f aca="false">IF(OR(NOT(Tasks[[#This Row],[_IsLeaf]]=1),Tasks[[#This Row],[_Res2Row]]=0),0,N(Tasks[[#This Row],[_Days]])*HoursPerDay*IF(Tasks[[#This Row],[_Res2Units]]="",DefaultUnits,Tasks[[#This Row],[_Res2Units]]))</f>
        <v>0</v>
      </c>
      <c r="DY124" s="43" t="n">
        <f aca="false">IF(AND(AND(Tasks[[#This Row],[_IsLeaf]]=1,Tasks[[#This Row],[_LeafTotalWork]]&gt;0),Tasks[[#This Row],[_Res2Work]]&gt;0),Tasks[[#This Row],[_Res2Work]]/(Tasks[[#This Row],[_FinishWorkday]]-Tasks[[#This Row],[_StartWorkday]]+1),0)</f>
        <v>0</v>
      </c>
      <c r="DZ124" s="43" t="n">
        <f aca="false">Tasks[[#This Row],[_Res2WorkPerWD]]*MAX(0,Tasks[[#This Row],[_StartWorkday]]-1)</f>
        <v>0</v>
      </c>
      <c r="EA124" s="43" t="n">
        <f aca="false">Tasks[[#This Row],[_Res2Work]]*Tasks[[#This Row],[_LeafProgress]]</f>
        <v>0</v>
      </c>
      <c r="EB124" s="43" t="str">
        <f aca="false">IF(Tasks[[#This Row],[_Res3Text]]="","",IF(Tasks[[#This Row],[_Res3Row]]&gt;0,INDEX(res_Name,Tasks[[#This Row],[_Res3Row]]),TRIM(LEFT(Tasks[[#This Row],[_Res3Text]],FIND("[",Tasks[[#This Row],[_Res3Text]]&amp;"[")-1))))</f>
        <v/>
      </c>
      <c r="EC1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3" t="n">
        <f aca="false">IF(OR(NOT(Tasks[[#This Row],[_IsLeaf]]=1),Tasks[[#This Row],[_Res3Row]]=0),0,N(Tasks[[#This Row],[_Days]])*HoursPerDay*IF(Tasks[[#This Row],[_Res3Units]]="",DefaultUnits,Tasks[[#This Row],[_Res3Units]]))</f>
        <v>0</v>
      </c>
      <c r="EE124" s="43" t="n">
        <f aca="false">IF(AND(AND(Tasks[[#This Row],[_IsLeaf]]=1,Tasks[[#This Row],[_LeafTotalWork]]&gt;0),Tasks[[#This Row],[_Res3Work]]&gt;0),Tasks[[#This Row],[_Res3Work]]/(Tasks[[#This Row],[_FinishWorkday]]-Tasks[[#This Row],[_StartWorkday]]+1),0)</f>
        <v>0</v>
      </c>
      <c r="EF124" s="43" t="n">
        <f aca="false">Tasks[[#This Row],[_Res3WorkPerWD]]*MAX(0,Tasks[[#This Row],[_StartWorkday]]-1)</f>
        <v>0</v>
      </c>
      <c r="EG124" s="43" t="n">
        <f aca="false">Tasks[[#This Row],[_Res3Work]]*Tasks[[#This Row],[_LeafProgress]]</f>
        <v>0</v>
      </c>
      <c r="EH124" s="43" t="str">
        <f aca="false">IF(Tasks[[#This Row],[_Res4Text]]="","",IF(Tasks[[#This Row],[_Res4Row]]&gt;0,INDEX(res_Name,Tasks[[#This Row],[_Res4Row]]),TRIM(LEFT(Tasks[[#This Row],[_Res4Text]],FIND("[",Tasks[[#This Row],[_Res4Text]]&amp;"[")-1))))</f>
        <v/>
      </c>
      <c r="EI1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3" t="n">
        <f aca="false">IF(OR(NOT(Tasks[[#This Row],[_IsLeaf]]=1),Tasks[[#This Row],[_Res4Row]]=0),0,N(Tasks[[#This Row],[_Days]])*HoursPerDay*IF(Tasks[[#This Row],[_Res4Units]]="",DefaultUnits,Tasks[[#This Row],[_Res4Units]]))</f>
        <v>0</v>
      </c>
      <c r="EK124" s="43" t="n">
        <f aca="false">IF(AND(AND(Tasks[[#This Row],[_IsLeaf]]=1,Tasks[[#This Row],[_LeafTotalWork]]&gt;0),Tasks[[#This Row],[_Res4Work]]&gt;0),Tasks[[#This Row],[_Res4Work]]/(Tasks[[#This Row],[_FinishWorkday]]-Tasks[[#This Row],[_StartWorkday]]+1),0)</f>
        <v>0</v>
      </c>
      <c r="EL124" s="43" t="n">
        <f aca="false">Tasks[[#This Row],[_Res4WorkPerWD]]*MAX(0,Tasks[[#This Row],[_StartWorkday]]-1)</f>
        <v>0</v>
      </c>
      <c r="EM124" s="43" t="n">
        <f aca="false">Tasks[[#This Row],[_Res4Work]]*Tasks[[#This Row],[_LeafProgress]]</f>
        <v>0</v>
      </c>
      <c r="EN124" s="43" t="n">
        <f aca="false">IF(ISNUMBER(Tasks[[#This Row],[% Complete]]),Tasks[[#This Row],[% Complete]],IF(Tasks[[#This Row],[Stage]]="",0,IFERROR(INDEX(stg_Pct,MATCH(Tasks[[#This Row],[Stage]],stg_Name,0)),0)))</f>
        <v>0</v>
      </c>
      <c r="EO124" s="43" t="n">
        <f aca="false">IF(NOT(Tasks[[#This Row],[_IsLeaf]]=1),0,IF(N(Tasks[[#This Row],[Actual Finish]])&gt;0,1,MIN(1,Tasks[[#This Row],[_Pct]])))</f>
        <v>0</v>
      </c>
      <c r="EP124" s="43" t="n">
        <f aca="false">IF(OR(NOT(Tasks[[#This Row],[_IsLeaf]]=1),Tasks[[#This Row],[_Res1Row]]=0),0,N(Tasks[[#This Row],[_Days]])*HoursPerDay*IF(Tasks[[#This Row],[_Units1]]="",DefaultUnits,Tasks[[#This Row],[_Units1]]))</f>
        <v>0</v>
      </c>
      <c r="EQ124" s="43" t="n">
        <f aca="false">Tasks[[#This Row],[_LeafWork]]+Tasks[[#This Row],[_Res2Work]]+Tasks[[#This Row],[_Res3Work]]+Tasks[[#This Row],[_Res4Work]]</f>
        <v>0</v>
      </c>
      <c r="ER1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3" t="n">
        <f aca="false">IF(NOT(Tasks[[#This Row],[_IsLeaf]]=1),0,MAX(_xlfn.MAXIFS(Tasks[_Row],Tasks[_Pred1UID],Tasks[[#This Row],[UID]]),_xlfn.MAXIFS(Tasks[_Row],Tasks[_Pred2UID],Tasks[[#This Row],[UID]]),_xlfn.MAXIFS(Tasks[_Row],Tasks[_Pred3UID],Tasks[[#This Row],[UID]]),_xlfn.MAXIFS(Tasks[_Row],Tasks[_Pred4UID],Tasks[[#This Row],[UID]])))</f>
        <v>0</v>
      </c>
      <c r="FA1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91" t="str">
        <f aca="false">IF(NOT(Tasks[[#This Row],[_IsLeaf]]=1),"",IF(N(Tasks[[#This Row],[_Days]])&lt;=0,Tasks[[#This Row],[_LeafLateFinish]],WORKDAY.INTL(Tasks[[#This Row],[_LeafLateFinish]],-(Tasks[[#This Row],[_Days]]-1),WorkWeek,Holidays)))</f>
        <v/>
      </c>
      <c r="FD1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4" s="90" t="b">
        <f aca="false">AND(Tasks[[#This Row],[_IsLeaf]]=1,Tasks[[#This Row],[_LeafProgress]]&lt;1,N(Tasks[[#This Row],[_LeafTotalSlack]])&lt;=CriticalSlackDays)</f>
        <v>0</v>
      </c>
      <c r="FF124" s="43" t="n">
        <f aca="false">IF(AND(Tasks[[#This Row],[_IsLeaf]]=1,Tasks[[#This Row],[_ConstraintCode]]=1,Tasks[[#This Row],[Mode]]&lt;&gt;"Manual",N(Tasks[[#This Row],[Actual Start]])=0),MAX(0,N(Tasks[[#This Row],[Free Slack]])),0)</f>
        <v>0</v>
      </c>
      <c r="FG124" s="91" t="str">
        <f aca="false">IF(NOT(Tasks[[#This Row],[_IsLeaf]]=1),"",IF(Tasks[[#This Row],[_AlapShift]]=0,Tasks[[#This Row],[_LeafCalcStart]],WORKDAY.INTL(Tasks[[#This Row],[_LeafCalcStart]],Tasks[[#This Row],[_AlapShift]],WorkWeek,Holidays)))</f>
        <v/>
      </c>
      <c r="FH124" s="91" t="str">
        <f aca="false">IF(NOT(Tasks[[#This Row],[_IsLeaf]]=1),"",IF(Tasks[[#This Row],[_AlapShift]]=0,Tasks[[#This Row],[_LeafCalcFinish]],WORKDAY.INTL(Tasks[[#This Row],[_LeafCalcFinish]],Tasks[[#This Row],[_AlapShift]],WorkWeek,Holidays)))</f>
        <v/>
      </c>
      <c r="FI124" s="91" t="str">
        <f aca="false">IF(NOT(Tasks[[#This Row],[_IsLeaf]]=1),"",IF(Tasks[[#This Row],[_AlapShift]]=0,Tasks[[#This Row],[_LeafFcstStart]],WORKDAY.INTL(Tasks[[#This Row],[_LeafFcstStart]],Tasks[[#This Row],[_AlapShift]],WorkWeek,Holidays)))</f>
        <v/>
      </c>
      <c r="FJ124" s="91" t="str">
        <f aca="false">IF(NOT(Tasks[[#This Row],[_IsLeaf]]=1),"",IF(Tasks[[#This Row],[_AlapShift]]=0,Tasks[[#This Row],[_LeafFcstFinish]],WORKDAY.INTL(Tasks[[#This Row],[_LeafFcstFinish]],Tasks[[#This Row],[_AlapShift]],WorkWeek,Holidays)))</f>
        <v/>
      </c>
      <c r="FK124" s="91" t="str">
        <f aca="false">IF(Tasks[[#This Row],[Task Name]]="","",IF(Tasks[[#This Row],[_IsSummary]],MIN(INDEX(Tasks[_ShownCalcStart],Tasks[[#This Row],[_Row]]+1):INDEX(Tasks[_ShownCalcStart],Tasks[[#This Row],[_Row]]+Tasks[[#This Row],[_Descendants]])),Tasks[[#This Row],[_ShownCalcStart]]))</f>
        <v/>
      </c>
      <c r="FL124" s="91" t="str">
        <f aca="false">IF(Tasks[[#This Row],[Task Name]]="","",IF(Tasks[[#This Row],[_IsSummary]],MAX(INDEX(Tasks[_ShownCalcFinish],Tasks[[#This Row],[_Row]]+1):INDEX(Tasks[_ShownCalcFinish],Tasks[[#This Row],[_Row]]+Tasks[[#This Row],[_Descendants]])),Tasks[[#This Row],[_ShownCalcFinish]]))</f>
        <v/>
      </c>
      <c r="FM1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4" s="43" t="n">
        <f aca="false">IF(AND(Tasks[[#This Row],[_IsLeaf]]=1,Tasks[[#This Row],[_LeafTotalWork]]&gt;0),NETWORKDAYS.INTL(ProjectStart,Tasks[[#This Row],[_ShownFcstStart]],WorkWeek,Holidays),0)</f>
        <v>0</v>
      </c>
      <c r="FZ124" s="43" t="n">
        <f aca="false">IF(AND(Tasks[[#This Row],[_IsLeaf]]=1,Tasks[[#This Row],[_LeafTotalWork]]&gt;0),MAX(Tasks[[#This Row],[_StartWorkday]],NETWORKDAYS.INTL(ProjectStart,Tasks[[#This Row],[_ShownFcstFinish]],WorkWeek,Holidays)),0)</f>
        <v>0</v>
      </c>
      <c r="GA124" s="43" t="n">
        <f aca="false">IF(AND(Tasks[[#This Row],[_IsLeaf]]=1,Tasks[[#This Row],[_LeafTotalWork]]&gt;0),Tasks[[#This Row],[_LeafWork]]/(Tasks[[#This Row],[_FinishWorkday]]-Tasks[[#This Row],[_StartWorkday]]+1),0)</f>
        <v>0</v>
      </c>
      <c r="GB124" s="43" t="n">
        <f aca="false">Tasks[[#This Row],[_WorkPerWorkday]]*(Tasks[[#This Row],[_StartWorkday]]-1)</f>
        <v>-0</v>
      </c>
      <c r="GC124" s="43" t="n">
        <f aca="false">IF(Tasks[[#This Row],[_IsLeaf]]=1,MAX(N(Tasks[[#This Row],[_Days]]),0.1),0)</f>
        <v>0</v>
      </c>
      <c r="GD124" s="43" t="n">
        <f aca="false">Tasks[[#This Row],[_WeightDur]]*Tasks[[#This Row],[_LeafProgress]]</f>
        <v>0</v>
      </c>
      <c r="GE124" s="43" t="n">
        <f aca="false">Tasks[[#This Row],[_WeightDur]]*Tasks[[#This Row],[_PlannedPct]]</f>
        <v>0</v>
      </c>
      <c r="GF1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3" t="str">
        <f aca="false">IF(AND(Tasks[[#This Row],[_IsLeaf]]=1,N(Tasks[[#This Row],[_Days]])=0,Tasks[[#This Row],[_LeafProgress]]&lt;1),Tasks[[#This Row],[_ShownFcstFinish]]+Tasks[[#This Row],[_Row]]/100000,"")</f>
        <v/>
      </c>
      <c r="GH1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4" s="43" t="str">
        <f aca="false">IF(Tasks[[#This Row],[Task Name]]="","",LEFT(Tasks[[#This Row],[WBS]],FIND(".",Tasks[[#This Row],[WBS]]&amp;".")-1))</f>
        <v/>
      </c>
      <c r="GJ124" s="43" t="str">
        <f aca="false">IF(AND(Tasks[[#This Row],[Task Name]]&lt;&gt;"",Tasks[[#This Row],[_Level]]=1),Tasks[[#This Row],[_Row]],"")</f>
        <v/>
      </c>
      <c r="GK124" s="43" t="str">
        <f aca="false">IF(AND(Tasks[[#This Row],[_IsLeaf]]=1,N(Tasks[[#This Row],[_Days]])=0),Tasks[[#This Row],[Planned Finish]]+Tasks[[#This Row],[_Row]]/100000,"")</f>
        <v/>
      </c>
      <c r="GL124" s="43" t="str">
        <f aca="false">IF(AND(Tasks[[#This Row],[_IsLeaf]]=1,Tasks[[#This Row],[_LeafProgress]]&lt;1,OR(N(Tasks[[#This Row],[Finish Var]])&gt;0,Tasks[[#This Row],[Status]]="Late Start")),MAX(0,Tasks[[#This Row],[Finish Var]])+1-Tasks[[#This Row],[_Row]]/1000000,"")</f>
        <v/>
      </c>
      <c r="GM124" s="43" t="str">
        <f aca="false">IF(AND(Tasks[[#This Row],[_IsLeaf]]=1,N(Tasks[[#This Row],[Actual Start]])=0,Tasks[[#This Row],[_ShownFcstStart]]&gt;=StatusDate,Tasks[[#This Row],[_ShownFcstStart]]&lt;=LookaheadEnd),Tasks[[#This Row],[_ShownFcstStart]]+Tasks[[#This Row],[_Row]]/100000,"")</f>
        <v/>
      </c>
      <c r="GN124" s="43" t="str">
        <f aca="false">IF(AND(Tasks[[#This Row],[_IsLeaf]]=1,Tasks[[#This Row],[_LeafProgress]]&lt;1,Tasks[[#This Row],[_ShownFcstFinish]]&gt;=StatusDate,Tasks[[#This Row],[_ShownFcstFinish]]&lt;=LookaheadEnd),Tasks[[#This Row],[_ShownFcstFinish]]+Tasks[[#This Row],[_Row]]/100000,"")</f>
        <v/>
      </c>
      <c r="GO124" s="43" t="str">
        <f aca="false">IF(Tasks[[#This Row],[_LeafCritical]],Tasks[[#This Row],[_ShownFcstStart]]+Tasks[[#This Row],[_Row]]/100000,"")</f>
        <v/>
      </c>
      <c r="GP124" s="43" t="n">
        <f aca="false">Tasks[[#This Row],[_LeafWork]]*Tasks[[#This Row],[_LeafProgress]]</f>
        <v>0</v>
      </c>
      <c r="GQ124" s="91" t="str">
        <f aca="false">IF(AND(Tasks[[#This Row],[_IsLeaf]]=1,Tasks[[#This Row],[_LeafProgress]]&gt;=1),IF(N(Tasks[[#This Row],[Actual Finish]])&gt;0,Tasks[[#This Row],[Actual Finish]],Tasks[[#This Row],[_ShownFcstFinish]]),"")</f>
        <v/>
      </c>
      <c r="GR124" s="43" t="n">
        <f aca="false">IF(Tasks[[#This Row],[_IsLeaf]]=1,N(Tasks[[#This Row],[Story Points]]),0)</f>
        <v>0</v>
      </c>
      <c r="GS124" s="43" t="str">
        <f aca="false">""</f>
        <v/>
      </c>
      <c r="GT124" s="90" t="b">
        <f aca="false">IF(Tasks[[#This Row],[Task Name]]="",FALSE(),AND(Tasks[[#This Row],[_IsLeaf]]=1,N(Tasks[[#This Row],[_Days]])=0))</f>
        <v>0</v>
      </c>
      <c r="GU124" s="91" t="n">
        <f aca="false">IF(Tasks[[#This Row],[Task Name]]="",0,IF(AND(Tasks[[#This Row],[_IsLeaf]]=1,NOT(Tasks[[#This Row],[_IsMilestone]]),N(Tasks[[#This Row],[Progress]])&gt;0),Tasks[[#This Row],[Start]],0))</f>
        <v>0</v>
      </c>
      <c r="GV124" s="91" t="n">
        <f aca="false">IF(Tasks[[#This Row],[_DoneFrom]]=0,0,IF(Tasks[[#This Row],[Progress]]&gt;=1,Tasks[[#This Row],[Finish]],MAX(Tasks[[#This Row],[_DoneFrom]],Tasks[[#This Row],[Start]]+ROUND((Tasks[[#This Row],[Finish]]-Tasks[[#This Row],[Start]]+1)*Tasks[[#This Row],[Progress]],0)-1)))</f>
        <v>0</v>
      </c>
      <c r="GW124" s="91" t="n">
        <f aca="false">IF(Tasks[[#This Row],[Task Name]]="",0,IF(OR(NOT(Tasks[[#This Row],[_IsLeaf]]=1),Tasks[[#This Row],[_IsMilestone]],N(Tasks[[#This Row],[Progress]])&gt;=1),0,IF(Tasks[[#This Row],[_DoneTo]]&gt;0,Tasks[[#This Row],[_DoneTo]]+1,Tasks[[#This Row],[Start]])))</f>
        <v>0</v>
      </c>
      <c r="GX124" s="91" t="n">
        <f aca="false">IF(Tasks[[#This Row],[_RemFrom]]=0,0,Tasks[[#This Row],[Finish]])</f>
        <v>0</v>
      </c>
      <c r="GY124" s="90" t="b">
        <f aca="false">IF(Tasks[[#This Row],[Task Name]]="",FALSE(),OR(NOT(BaselineSet),N(Tasks[[#This Row],[Baseline Start]])&gt;0))</f>
        <v>0</v>
      </c>
      <c r="GZ12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92" t="str">
        <f aca="false">IF(Tasks[[#This Row],[_IsLeaf]]=1,Tasks[[#This Row],[_Row]],"")</f>
        <v/>
      </c>
      <c r="HD124" s="92" t="str">
        <f aca="false">IFERROR(INDEX(Tasks[UID],SMALL(Tasks[_PickKey],Tasks[[#This Row],[_Row]]))&amp;" "&amp;INDEX(Tasks[Task Name],SMALL(Tasks[_PickKey],Tasks[[#This Row],[_Row]])),"")</f>
        <v/>
      </c>
      <c r="HE124" s="43" t="str">
        <f aca="false">IF(Tasks[[#This Row],[Task Name]]="","",IF(Tasks[[#This Row],[_IsSummary]],NETWORKDAYS.INTL(Tasks[[#This Row],[Start]],Tasks[[#This Row],[Finish]],WorkWeek,Holidays),N(Tasks[[#This Row],[_Days]])))</f>
        <v/>
      </c>
      <c r="HF124" s="43" t="n">
        <f aca="false">IF(Tasks[[#This Row],[Expected]]="",0,((Tasks[[#This Row],[Pessimistic]]-Tasks[[#This Row],[Optimistic]])/6)^2)</f>
        <v>0</v>
      </c>
      <c r="HG124" s="43" t="n">
        <f aca="false">IF(Tasks[[#This Row],[Expected]]="",0,Tasks[[#This Row],[Expected]]-N(Tasks[[#This Row],[_Days]]))</f>
        <v>0</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4"/>
      <c r="U125" s="23"/>
      <c r="V125" s="84"/>
      <c r="W125" s="23"/>
      <c r="X125" s="84"/>
      <c r="Y125" s="23"/>
      <c r="Z125" s="84"/>
      <c r="AA125" s="23"/>
      <c r="AB125" s="23"/>
      <c r="AC125" s="7"/>
      <c r="AD125" s="7"/>
      <c r="AE125" s="63" t="str">
        <f aca="false">IF(Tasks[[#This Row],[Task Name]]="","",IF(Tasks[[#This Row],[_IsSummary]],MIN(INDEX(Tasks[_ShownFcstStart],Tasks[[#This Row],[_Row]]+1):INDEX(Tasks[_ShownFcstStart],Tasks[[#This Row],[_Row]]+Tasks[[#This Row],[_Descendants]])),Tasks[[#This Row],[_ShownFcstStart]]))</f>
        <v/>
      </c>
      <c r="AF125" s="63"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5" s="7"/>
      <c r="AK125" s="22"/>
      <c r="AL125" s="23"/>
      <c r="AM125" s="7"/>
      <c r="AN125" s="47"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3" t="str">
        <f aca="false">IF(Tasks[[#This Row],[Task Name]]="","",IF(N(Tasks[[#This Row],[Baseline Start]])&gt;0,Tasks[[#This Row],[Baseline Start]],Tasks[[#This Row],[_CalcStart]]))</f>
        <v/>
      </c>
      <c r="AR125" s="63" t="str">
        <f aca="false">IF(Tasks[[#This Row],[Task Name]]="","",IF(N(Tasks[[#This Row],[Baseline Finish]])&gt;0,Tasks[[#This Row],[Baseline Finish]],Tasks[[#This Row],[_CalcFinish]]))</f>
        <v/>
      </c>
      <c r="AS125" s="47" t="str">
        <f aca="false">IF(Tasks[[#This Row],[Task Name]]="","",IF(Tasks[[#This Row],[Start]]&gt;=Tasks[[#This Row],[Planned Start]],NETWORKDAYS.INTL(Tasks[[#This Row],[Planned Start]],Tasks[[#This Row],[Start]],WorkWeek,Holidays)-1,1-NETWORKDAYS.INTL(Tasks[[#This Row],[Start]],Tasks[[#This Row],[Planned Start]],WorkWeek,Holidays)))</f>
        <v/>
      </c>
      <c r="AT125" s="63" t="str">
        <f aca="false">IF(Tasks[[#This Row],[Task Name]]="","",IF(Tasks[[#This Row],[_IsSummary]],MIN(INDEX(Tasks[_LeafLateStart],Tasks[[#This Row],[_Row]]+1):INDEX(Tasks[_LeafLateStart],Tasks[[#This Row],[_Row]]+Tasks[[#This Row],[_Descendants]])),Tasks[[#This Row],[_LeafLateStart]]))</f>
        <v/>
      </c>
      <c r="AU125" s="63" t="str">
        <f aca="false">IF(Tasks[[#This Row],[Task Name]]="","",IF(Tasks[[#This Row],[_IsSummary]],MAX(INDEX(Tasks[_LeafLateFinish],Tasks[[#This Row],[_Row]]+1):INDEX(Tasks[_LeafLateFinish],Tasks[[#This Row],[_Row]]+Tasks[[#This Row],[_Descendants]])),Tasks[[#This Row],[_LeafLateFinish]]))</f>
        <v/>
      </c>
      <c r="AV125" s="47"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5"/>
      <c r="BA1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6"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7"/>
      <c r="BJ125" s="22"/>
      <c r="BK125" s="47" t="str">
        <f aca="false">IF(OR(Tasks[[#This Row],[Task Name]]="",Tasks[[#This Row],[Baseline Duration]]=""),"",Tasks[[#This Row],[_SpanDays]]-N(Tasks[[#This Row],[Baseline Duration]]))</f>
        <v/>
      </c>
      <c r="BL125" s="86" t="str">
        <f aca="false">IF(OR(Tasks[[#This Row],[Task Name]]="",Tasks[[#This Row],[Baseline Work]]=""),"",Tasks[[#This Row],[Work]]-N(Tasks[[#This Row],[Baseline Work]]))</f>
        <v/>
      </c>
      <c r="BM125" s="63" t="str">
        <f aca="false">IF(Tasks[[#This Row],[Task Name]]="","",IF(OR(TakeBaseline="Yes",N(Tasks[[#This Row],[Baseline Start]])=0),Tasks[[#This Row],[Start]],Tasks[[#This Row],[Baseline Start]]))</f>
        <v/>
      </c>
      <c r="BN125" s="63" t="str">
        <f aca="false">IF(Tasks[[#This Row],[Task Name]]="","",IF(OR(TakeBaseline="Yes",N(Tasks[[#This Row],[Baseline Finish]])=0),Tasks[[#This Row],[Finish]],Tasks[[#This Row],[Baseline Finish]]))</f>
        <v/>
      </c>
      <c r="BO125" s="21" t="str">
        <f aca="false">IF(Tasks[[#This Row],[Task Name]]="","",IF(OR(TakeBaseline="Yes",N(Tasks[[#This Row],[Baseline Duration]])=0),Tasks[[#This Row],[_SpanDays]],Tasks[[#This Row],[Baseline Duration]]))</f>
        <v/>
      </c>
      <c r="BP125" s="86" t="str">
        <f aca="false">IF(Tasks[[#This Row],[Task Name]]="","",IF(OR(TakeBaseline="Yes",N(Tasks[[#This Row],[Baseline Work]])=0),Tasks[[#This Row],[Work]],Tasks[[#This Row],[Baseline Work]]))</f>
        <v/>
      </c>
      <c r="BQ125" s="7"/>
      <c r="BR125" s="7"/>
      <c r="BS125" s="22"/>
      <c r="BT125" s="88"/>
      <c r="BU125" s="23"/>
      <c r="BV125" s="23"/>
      <c r="BW125" s="23"/>
      <c r="BX125" s="89" t="str">
        <f aca="false">IF(AND(Tasks[[#This Row],[_IsLeaf]]=1,ISNUMBER(Tasks[[#This Row],[Optimistic]]),ISNUMBER(Tasks[[#This Row],[Pessimistic]])),ROUND((Tasks[[#This Row],[Optimistic]]+4*N(Tasks[[#This Row],[_Days]])+Tasks[[#This Row],[Pessimistic]])/6,1),"")</f>
        <v/>
      </c>
      <c r="BY125" s="87"/>
      <c r="BZ125" s="87"/>
      <c r="CA125" s="22"/>
      <c r="CB125" s="43" t="str">
        <f aca="false">IF(Tasks[[#This Row],[Task Name]]="","",MAX(1,N(Tasks[[#This Row],[Level]])))</f>
        <v/>
      </c>
      <c r="CC125" s="43" t="n">
        <f aca="false">ROW()-ROW(Tasks[[#Headers],[ID]])</f>
        <v>120</v>
      </c>
      <c r="CD125" s="43" t="n">
        <f aca="false">IF(OR(Tasks[[#This Row],[Task Name]]="",Tasks[[#This Row],[_Level]]&lt;=1),0,IFERROR(LOOKUP(2,1/(Tasks[[#Headers],[_Level]]:Tasks[[#This Row],[_Level]]=Tasks[[#This Row],[_Level]]-1),ROW(Tasks[[#Headers],[_Level]]:Tasks[[#This Row],[_Level]])),0))</f>
        <v>0</v>
      </c>
      <c r="CE125" s="43" t="n">
        <f aca="false">IFERROR(N(INDEX(Tasks[_Level],Tasks[[#This Row],[_Row]]+1)),0)</f>
        <v>0</v>
      </c>
      <c r="CF125" s="90" t="b">
        <f aca="false">AND(Tasks[[#This Row],[Task Name]]&lt;&gt;"",Tasks[[#This Row],[_NextLevel]]&gt;Tasks[[#This Row],[_Level]])</f>
        <v>0</v>
      </c>
      <c r="CG125" s="43" t="n">
        <f aca="false">IF(Tasks[[#This Row],[_IsSummary]],COUNTIF(Tasks[WBS],Tasks[[#This Row],[WBS]]&amp;".*"),0)</f>
        <v>0</v>
      </c>
      <c r="CH125" s="43" t="n">
        <f aca="false">IF(AND(Tasks[[#This Row],[Task Name]]&lt;&gt;"",NOT(Tasks[[#This Row],[_IsSummary]])),1,0)</f>
        <v>0</v>
      </c>
      <c r="CI125" s="43" t="n">
        <f aca="false">IF(N(Tasks[[#This Row],[_Pred1UID]])=0,0,IFERROR(MATCH(Tasks[[#This Row],[_Pred1UID]],Tasks[UID],0),-1))</f>
        <v>0</v>
      </c>
      <c r="CJ125" s="43" t="n">
        <f aca="false">IF(N(Tasks[[#This Row],[_Pred2UID]])=0,0,IFERROR(MATCH(Tasks[[#This Row],[_Pred2UID]],Tasks[UID],0),-1))</f>
        <v>0</v>
      </c>
      <c r="CK125" s="43" t="n">
        <f aca="false">IF(N(Tasks[[#This Row],[_Pred3UID]])=0,0,IFERROR(MATCH(Tasks[[#This Row],[_Pred3UID]],Tasks[UID],0),-1))</f>
        <v>0</v>
      </c>
      <c r="CL125" s="43" t="n">
        <f aca="false">IF(N(Tasks[[#This Row],[_Pred4UID]])=0,0,IFERROR(MATCH(Tasks[[#This Row],[_Pred4UID]],Tasks[UID],0),-1))</f>
        <v>0</v>
      </c>
      <c r="CM1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5" s="91" t="n">
        <f aca="false">IF(OR(Tasks[[#This Row],[_ConstraintCode]]=2,Tasks[[#This Row],[_ConstraintCode]]=3,Tasks[[#This Row],[_ConstraintCode]]=4,Tasks[[#This Row],[_ConstraintCode]]=6),Tasks[[#This Row],[_ConstraintStart]],0)</f>
        <v>0</v>
      </c>
      <c r="CP125" s="91" t="n">
        <f aca="false">IF(OR(Tasks[[#This Row],[_ConstraintCode]]=2,Tasks[[#This Row],[_ConstraintCode]]=3,Tasks[[#This Row],[_ConstraintCode]]=5,Tasks[[#This Row],[_ConstraintCode]]=7),Tasks[[#This Row],[_ConstraintStart]],2958465)</f>
        <v>2958465</v>
      </c>
      <c r="CQ1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91" t="str">
        <f aca="false">IF(NOT(Tasks[[#This Row],[_IsLeaf]]=1),"",IF(N(Tasks[[#This Row],[_Days]])&lt;=0,Tasks[[#This Row],[_LeafCalcStart]],WORKDAY.INTL(Tasks[[#This Row],[_LeafCalcStart]],Tasks[[#This Row],[_Days]]-1,WorkWeek,Holidays)))</f>
        <v/>
      </c>
      <c r="CS1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3" t="str">
        <f aca="false">IF(Tasks[[#This Row],[_Predecessors]]="","",TRIM(MID(SUBSTITUTE(SUBSTITUTE(SUBSTITUTE(UPPER(Tasks[[#This Row],[_Predecessors]]),";",",")," ",""),",",REPT(" ",99)),1,99)))</f>
        <v/>
      </c>
      <c r="CV125" s="43" t="str">
        <f aca="false">IF(Tasks[[#This Row],[_Pred1Text]]="","",IFERROR(VALUE(LEFT(Tasks[[#This Row],[_Pred1Text]],MIN(FIND("F",Tasks[[#This Row],[_Pred1Text]]&amp;"F"),FIND("S",Tasks[[#This Row],[_Pred1Text]]&amp;"S"),FIND("+",Tasks[[#This Row],[_Pred1Text]]&amp;"+"),FIND("-",Tasks[[#This Row],[_Pred1Text]]&amp;"-"))-1)),""))</f>
        <v/>
      </c>
      <c r="CW1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3" t="str">
        <f aca="false">IF(Tasks[[#This Row],[_Pred1Text]]="","",TRIM(MID(SUBSTITUTE(SUBSTITUTE(SUBSTITUTE(UPPER(Tasks[[#This Row],[_Predecessors]]),";",",")," ",""),",",REPT(" ",99)),100,99)))</f>
        <v/>
      </c>
      <c r="CZ125" s="43" t="str">
        <f aca="false">IF(Tasks[[#This Row],[_Pred2Text]]="","",IFERROR(VALUE(LEFT(Tasks[[#This Row],[_Pred2Text]],MIN(FIND("F",Tasks[[#This Row],[_Pred2Text]]&amp;"F"),FIND("S",Tasks[[#This Row],[_Pred2Text]]&amp;"S"),FIND("+",Tasks[[#This Row],[_Pred2Text]]&amp;"+"),FIND("-",Tasks[[#This Row],[_Pred2Text]]&amp;"-"))-1)),""))</f>
        <v/>
      </c>
      <c r="DA1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3" t="str">
        <f aca="false">IF(Tasks[[#This Row],[_Pred2Text]]="","",TRIM(MID(SUBSTITUTE(SUBSTITUTE(SUBSTITUTE(UPPER(Tasks[[#This Row],[_Predecessors]]),";",",")," ",""),",",REPT(" ",99)),199,99)))</f>
        <v/>
      </c>
      <c r="DD125" s="43" t="str">
        <f aca="false">IF(Tasks[[#This Row],[_Pred3Text]]="","",IFERROR(VALUE(LEFT(Tasks[[#This Row],[_Pred3Text]],MIN(FIND("F",Tasks[[#This Row],[_Pred3Text]]&amp;"F"),FIND("S",Tasks[[#This Row],[_Pred3Text]]&amp;"S"),FIND("+",Tasks[[#This Row],[_Pred3Text]]&amp;"+"),FIND("-",Tasks[[#This Row],[_Pred3Text]]&amp;"-"))-1)),""))</f>
        <v/>
      </c>
      <c r="DE1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3" t="str">
        <f aca="false">IF(Tasks[[#This Row],[_Pred3Text]]="","",TRIM(MID(SUBSTITUTE(SUBSTITUTE(SUBSTITUTE(UPPER(Tasks[[#This Row],[_Predecessors]]),";",",")," ",""),",",REPT(" ",99)),298,99)))</f>
        <v/>
      </c>
      <c r="DH125" s="43" t="str">
        <f aca="false">IF(Tasks[[#This Row],[_Pred4Text]]="","",IFERROR(VALUE(LEFT(Tasks[[#This Row],[_Pred4Text]],MIN(FIND("F",Tasks[[#This Row],[_Pred4Text]]&amp;"F"),FIND("S",Tasks[[#This Row],[_Pred4Text]]&amp;"S"),FIND("+",Tasks[[#This Row],[_Pred4Text]]&amp;"+"),FIND("-",Tasks[[#This Row],[_Pred4Text]]&amp;"-"))-1)),""))</f>
        <v/>
      </c>
      <c r="DI1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3" t="str">
        <f aca="false">IF(OR(Tasks[[#This Row],[Task Name]]="",Tasks[[#This Row],[_Resources]]=""),"",TRIM(MID(SUBSTITUTE(Tasks[[#This Row],[_Resources]],",",REPT(" ",99)),1,99)))</f>
        <v/>
      </c>
      <c r="DL125" s="43" t="str">
        <f aca="false">IF(Tasks[[#This Row],[_Res1Text]]="","",TRIM(MID(SUBSTITUTE(Tasks[[#This Row],[_Resources]],",",REPT(" ",99)),100,99)))</f>
        <v/>
      </c>
      <c r="DM125" s="43" t="str">
        <f aca="false">IF(Tasks[[#This Row],[_Res2Text]]="","",TRIM(MID(SUBSTITUTE(Tasks[[#This Row],[_Resources]],",",REPT(" ",99)),199,99)))</f>
        <v/>
      </c>
      <c r="DN125" s="43" t="str">
        <f aca="false">IF(Tasks[[#This Row],[_Res3Text]]="","",TRIM(MID(SUBSTITUTE(Tasks[[#This Row],[_Resources]],",",REPT(" ",99)),298,99)))</f>
        <v/>
      </c>
      <c r="DO125" s="43" t="n">
        <f aca="false">IF(Tasks[[#This Row],[_Res1Text]]="",0,IFERROR(MATCH(TRIM(LEFT(Tasks[[#This Row],[_Res1Text]],FIND("[",Tasks[[#This Row],[_Res1Text]]&amp;"[")-1)),res_Name,0),IFERROR(MATCH(TRIM(LEFT(Tasks[[#This Row],[_Res1Text]],FIND("[",Tasks[[#This Row],[_Res1Text]]&amp;"[")-1)),res_Initials,0),0)))</f>
        <v>0</v>
      </c>
      <c r="DP125" s="43" t="n">
        <f aca="false">IF(Tasks[[#This Row],[_Res2Text]]="",0,IFERROR(MATCH(TRIM(LEFT(Tasks[[#This Row],[_Res2Text]],FIND("[",Tasks[[#This Row],[_Res2Text]]&amp;"[")-1)),res_Name,0),IFERROR(MATCH(TRIM(LEFT(Tasks[[#This Row],[_Res2Text]],FIND("[",Tasks[[#This Row],[_Res2Text]]&amp;"[")-1)),res_Initials,0),0)))</f>
        <v>0</v>
      </c>
      <c r="DQ125" s="43" t="n">
        <f aca="false">IF(Tasks[[#This Row],[_Res3Text]]="",0,IFERROR(MATCH(TRIM(LEFT(Tasks[[#This Row],[_Res3Text]],FIND("[",Tasks[[#This Row],[_Res3Text]]&amp;"[")-1)),res_Name,0),IFERROR(MATCH(TRIM(LEFT(Tasks[[#This Row],[_Res3Text]],FIND("[",Tasks[[#This Row],[_Res3Text]]&amp;"[")-1)),res_Initials,0),0)))</f>
        <v>0</v>
      </c>
      <c r="DR125" s="43" t="n">
        <f aca="false">IF(Tasks[[#This Row],[_Res4Text]]="",0,IFERROR(MATCH(TRIM(LEFT(Tasks[[#This Row],[_Res4Text]],FIND("[",Tasks[[#This Row],[_Res4Text]]&amp;"[")-1)),res_Name,0),IFERROR(MATCH(TRIM(LEFT(Tasks[[#This Row],[_Res4Text]],FIND("[",Tasks[[#This Row],[_Res4Text]]&amp;"[")-1)),res_Initials,0),0)))</f>
        <v>0</v>
      </c>
      <c r="DS125" s="43" t="str">
        <f aca="false">IF(Tasks[[#This Row],[_Res1Text]]="","",IF(Tasks[[#This Row],[_Res1Row]]&gt;0,INDEX(res_Name,Tasks[[#This Row],[_Res1Row]]),TRIM(LEFT(Tasks[[#This Row],[_Res1Text]],FIND("[",Tasks[[#This Row],[_Res1Text]]&amp;"[")-1))))</f>
        <v/>
      </c>
      <c r="DT1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3" t="n">
        <f aca="false">IF(NOT(Tasks[[#This Row],[_IsLeaf]]=1),0,(Tasks[[#This Row],[_Resource1]]&lt;&gt;"")+(Tasks[[#This Row],[_Res2]]&lt;&gt;"")+(Tasks[[#This Row],[_Res3]]&lt;&gt;"")+(Tasks[[#This Row],[_Res4]]&lt;&gt;""))</f>
        <v>0</v>
      </c>
      <c r="DV125" s="43" t="str">
        <f aca="false">IF(Tasks[[#This Row],[_Res2Text]]="","",IF(Tasks[[#This Row],[_Res2Row]]&gt;0,INDEX(res_Name,Tasks[[#This Row],[_Res2Row]]),TRIM(LEFT(Tasks[[#This Row],[_Res2Text]],FIND("[",Tasks[[#This Row],[_Res2Text]]&amp;"[")-1))))</f>
        <v/>
      </c>
      <c r="DW1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3" t="n">
        <f aca="false">IF(OR(NOT(Tasks[[#This Row],[_IsLeaf]]=1),Tasks[[#This Row],[_Res2Row]]=0),0,N(Tasks[[#This Row],[_Days]])*HoursPerDay*IF(Tasks[[#This Row],[_Res2Units]]="",DefaultUnits,Tasks[[#This Row],[_Res2Units]]))</f>
        <v>0</v>
      </c>
      <c r="DY125" s="43" t="n">
        <f aca="false">IF(AND(AND(Tasks[[#This Row],[_IsLeaf]]=1,Tasks[[#This Row],[_LeafTotalWork]]&gt;0),Tasks[[#This Row],[_Res2Work]]&gt;0),Tasks[[#This Row],[_Res2Work]]/(Tasks[[#This Row],[_FinishWorkday]]-Tasks[[#This Row],[_StartWorkday]]+1),0)</f>
        <v>0</v>
      </c>
      <c r="DZ125" s="43" t="n">
        <f aca="false">Tasks[[#This Row],[_Res2WorkPerWD]]*MAX(0,Tasks[[#This Row],[_StartWorkday]]-1)</f>
        <v>0</v>
      </c>
      <c r="EA125" s="43" t="n">
        <f aca="false">Tasks[[#This Row],[_Res2Work]]*Tasks[[#This Row],[_LeafProgress]]</f>
        <v>0</v>
      </c>
      <c r="EB125" s="43" t="str">
        <f aca="false">IF(Tasks[[#This Row],[_Res3Text]]="","",IF(Tasks[[#This Row],[_Res3Row]]&gt;0,INDEX(res_Name,Tasks[[#This Row],[_Res3Row]]),TRIM(LEFT(Tasks[[#This Row],[_Res3Text]],FIND("[",Tasks[[#This Row],[_Res3Text]]&amp;"[")-1))))</f>
        <v/>
      </c>
      <c r="EC1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3" t="n">
        <f aca="false">IF(OR(NOT(Tasks[[#This Row],[_IsLeaf]]=1),Tasks[[#This Row],[_Res3Row]]=0),0,N(Tasks[[#This Row],[_Days]])*HoursPerDay*IF(Tasks[[#This Row],[_Res3Units]]="",DefaultUnits,Tasks[[#This Row],[_Res3Units]]))</f>
        <v>0</v>
      </c>
      <c r="EE125" s="43" t="n">
        <f aca="false">IF(AND(AND(Tasks[[#This Row],[_IsLeaf]]=1,Tasks[[#This Row],[_LeafTotalWork]]&gt;0),Tasks[[#This Row],[_Res3Work]]&gt;0),Tasks[[#This Row],[_Res3Work]]/(Tasks[[#This Row],[_FinishWorkday]]-Tasks[[#This Row],[_StartWorkday]]+1),0)</f>
        <v>0</v>
      </c>
      <c r="EF125" s="43" t="n">
        <f aca="false">Tasks[[#This Row],[_Res3WorkPerWD]]*MAX(0,Tasks[[#This Row],[_StartWorkday]]-1)</f>
        <v>0</v>
      </c>
      <c r="EG125" s="43" t="n">
        <f aca="false">Tasks[[#This Row],[_Res3Work]]*Tasks[[#This Row],[_LeafProgress]]</f>
        <v>0</v>
      </c>
      <c r="EH125" s="43" t="str">
        <f aca="false">IF(Tasks[[#This Row],[_Res4Text]]="","",IF(Tasks[[#This Row],[_Res4Row]]&gt;0,INDEX(res_Name,Tasks[[#This Row],[_Res4Row]]),TRIM(LEFT(Tasks[[#This Row],[_Res4Text]],FIND("[",Tasks[[#This Row],[_Res4Text]]&amp;"[")-1))))</f>
        <v/>
      </c>
      <c r="EI1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3" t="n">
        <f aca="false">IF(OR(NOT(Tasks[[#This Row],[_IsLeaf]]=1),Tasks[[#This Row],[_Res4Row]]=0),0,N(Tasks[[#This Row],[_Days]])*HoursPerDay*IF(Tasks[[#This Row],[_Res4Units]]="",DefaultUnits,Tasks[[#This Row],[_Res4Units]]))</f>
        <v>0</v>
      </c>
      <c r="EK125" s="43" t="n">
        <f aca="false">IF(AND(AND(Tasks[[#This Row],[_IsLeaf]]=1,Tasks[[#This Row],[_LeafTotalWork]]&gt;0),Tasks[[#This Row],[_Res4Work]]&gt;0),Tasks[[#This Row],[_Res4Work]]/(Tasks[[#This Row],[_FinishWorkday]]-Tasks[[#This Row],[_StartWorkday]]+1),0)</f>
        <v>0</v>
      </c>
      <c r="EL125" s="43" t="n">
        <f aca="false">Tasks[[#This Row],[_Res4WorkPerWD]]*MAX(0,Tasks[[#This Row],[_StartWorkday]]-1)</f>
        <v>0</v>
      </c>
      <c r="EM125" s="43" t="n">
        <f aca="false">Tasks[[#This Row],[_Res4Work]]*Tasks[[#This Row],[_LeafProgress]]</f>
        <v>0</v>
      </c>
      <c r="EN125" s="43" t="n">
        <f aca="false">IF(ISNUMBER(Tasks[[#This Row],[% Complete]]),Tasks[[#This Row],[% Complete]],IF(Tasks[[#This Row],[Stage]]="",0,IFERROR(INDEX(stg_Pct,MATCH(Tasks[[#This Row],[Stage]],stg_Name,0)),0)))</f>
        <v>0</v>
      </c>
      <c r="EO125" s="43" t="n">
        <f aca="false">IF(NOT(Tasks[[#This Row],[_IsLeaf]]=1),0,IF(N(Tasks[[#This Row],[Actual Finish]])&gt;0,1,MIN(1,Tasks[[#This Row],[_Pct]])))</f>
        <v>0</v>
      </c>
      <c r="EP125" s="43" t="n">
        <f aca="false">IF(OR(NOT(Tasks[[#This Row],[_IsLeaf]]=1),Tasks[[#This Row],[_Res1Row]]=0),0,N(Tasks[[#This Row],[_Days]])*HoursPerDay*IF(Tasks[[#This Row],[_Units1]]="",DefaultUnits,Tasks[[#This Row],[_Units1]]))</f>
        <v>0</v>
      </c>
      <c r="EQ125" s="43" t="n">
        <f aca="false">Tasks[[#This Row],[_LeafWork]]+Tasks[[#This Row],[_Res2Work]]+Tasks[[#This Row],[_Res3Work]]+Tasks[[#This Row],[_Res4Work]]</f>
        <v>0</v>
      </c>
      <c r="ER1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3" t="n">
        <f aca="false">IF(NOT(Tasks[[#This Row],[_IsLeaf]]=1),0,MAX(_xlfn.MAXIFS(Tasks[_Row],Tasks[_Pred1UID],Tasks[[#This Row],[UID]]),_xlfn.MAXIFS(Tasks[_Row],Tasks[_Pred2UID],Tasks[[#This Row],[UID]]),_xlfn.MAXIFS(Tasks[_Row],Tasks[_Pred3UID],Tasks[[#This Row],[UID]]),_xlfn.MAXIFS(Tasks[_Row],Tasks[_Pred4UID],Tasks[[#This Row],[UID]])))</f>
        <v>0</v>
      </c>
      <c r="FA1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91" t="str">
        <f aca="false">IF(NOT(Tasks[[#This Row],[_IsLeaf]]=1),"",IF(N(Tasks[[#This Row],[_Days]])&lt;=0,Tasks[[#This Row],[_LeafLateFinish]],WORKDAY.INTL(Tasks[[#This Row],[_LeafLateFinish]],-(Tasks[[#This Row],[_Days]]-1),WorkWeek,Holidays)))</f>
        <v/>
      </c>
      <c r="FD1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5" s="90" t="b">
        <f aca="false">AND(Tasks[[#This Row],[_IsLeaf]]=1,Tasks[[#This Row],[_LeafProgress]]&lt;1,N(Tasks[[#This Row],[_LeafTotalSlack]])&lt;=CriticalSlackDays)</f>
        <v>0</v>
      </c>
      <c r="FF125" s="43" t="n">
        <f aca="false">IF(AND(Tasks[[#This Row],[_IsLeaf]]=1,Tasks[[#This Row],[_ConstraintCode]]=1,Tasks[[#This Row],[Mode]]&lt;&gt;"Manual",N(Tasks[[#This Row],[Actual Start]])=0),MAX(0,N(Tasks[[#This Row],[Free Slack]])),0)</f>
        <v>0</v>
      </c>
      <c r="FG125" s="91" t="str">
        <f aca="false">IF(NOT(Tasks[[#This Row],[_IsLeaf]]=1),"",IF(Tasks[[#This Row],[_AlapShift]]=0,Tasks[[#This Row],[_LeafCalcStart]],WORKDAY.INTL(Tasks[[#This Row],[_LeafCalcStart]],Tasks[[#This Row],[_AlapShift]],WorkWeek,Holidays)))</f>
        <v/>
      </c>
      <c r="FH125" s="91" t="str">
        <f aca="false">IF(NOT(Tasks[[#This Row],[_IsLeaf]]=1),"",IF(Tasks[[#This Row],[_AlapShift]]=0,Tasks[[#This Row],[_LeafCalcFinish]],WORKDAY.INTL(Tasks[[#This Row],[_LeafCalcFinish]],Tasks[[#This Row],[_AlapShift]],WorkWeek,Holidays)))</f>
        <v/>
      </c>
      <c r="FI125" s="91" t="str">
        <f aca="false">IF(NOT(Tasks[[#This Row],[_IsLeaf]]=1),"",IF(Tasks[[#This Row],[_AlapShift]]=0,Tasks[[#This Row],[_LeafFcstStart]],WORKDAY.INTL(Tasks[[#This Row],[_LeafFcstStart]],Tasks[[#This Row],[_AlapShift]],WorkWeek,Holidays)))</f>
        <v/>
      </c>
      <c r="FJ125" s="91" t="str">
        <f aca="false">IF(NOT(Tasks[[#This Row],[_IsLeaf]]=1),"",IF(Tasks[[#This Row],[_AlapShift]]=0,Tasks[[#This Row],[_LeafFcstFinish]],WORKDAY.INTL(Tasks[[#This Row],[_LeafFcstFinish]],Tasks[[#This Row],[_AlapShift]],WorkWeek,Holidays)))</f>
        <v/>
      </c>
      <c r="FK125" s="91" t="str">
        <f aca="false">IF(Tasks[[#This Row],[Task Name]]="","",IF(Tasks[[#This Row],[_IsSummary]],MIN(INDEX(Tasks[_ShownCalcStart],Tasks[[#This Row],[_Row]]+1):INDEX(Tasks[_ShownCalcStart],Tasks[[#This Row],[_Row]]+Tasks[[#This Row],[_Descendants]])),Tasks[[#This Row],[_ShownCalcStart]]))</f>
        <v/>
      </c>
      <c r="FL125" s="91" t="str">
        <f aca="false">IF(Tasks[[#This Row],[Task Name]]="","",IF(Tasks[[#This Row],[_IsSummary]],MAX(INDEX(Tasks[_ShownCalcFinish],Tasks[[#This Row],[_Row]]+1):INDEX(Tasks[_ShownCalcFinish],Tasks[[#This Row],[_Row]]+Tasks[[#This Row],[_Descendants]])),Tasks[[#This Row],[_ShownCalcFinish]]))</f>
        <v/>
      </c>
      <c r="FM1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5" s="43" t="n">
        <f aca="false">IF(AND(Tasks[[#This Row],[_IsLeaf]]=1,Tasks[[#This Row],[_LeafTotalWork]]&gt;0),NETWORKDAYS.INTL(ProjectStart,Tasks[[#This Row],[_ShownFcstStart]],WorkWeek,Holidays),0)</f>
        <v>0</v>
      </c>
      <c r="FZ125" s="43" t="n">
        <f aca="false">IF(AND(Tasks[[#This Row],[_IsLeaf]]=1,Tasks[[#This Row],[_LeafTotalWork]]&gt;0),MAX(Tasks[[#This Row],[_StartWorkday]],NETWORKDAYS.INTL(ProjectStart,Tasks[[#This Row],[_ShownFcstFinish]],WorkWeek,Holidays)),0)</f>
        <v>0</v>
      </c>
      <c r="GA125" s="43" t="n">
        <f aca="false">IF(AND(Tasks[[#This Row],[_IsLeaf]]=1,Tasks[[#This Row],[_LeafTotalWork]]&gt;0),Tasks[[#This Row],[_LeafWork]]/(Tasks[[#This Row],[_FinishWorkday]]-Tasks[[#This Row],[_StartWorkday]]+1),0)</f>
        <v>0</v>
      </c>
      <c r="GB125" s="43" t="n">
        <f aca="false">Tasks[[#This Row],[_WorkPerWorkday]]*(Tasks[[#This Row],[_StartWorkday]]-1)</f>
        <v>-0</v>
      </c>
      <c r="GC125" s="43" t="n">
        <f aca="false">IF(Tasks[[#This Row],[_IsLeaf]]=1,MAX(N(Tasks[[#This Row],[_Days]]),0.1),0)</f>
        <v>0</v>
      </c>
      <c r="GD125" s="43" t="n">
        <f aca="false">Tasks[[#This Row],[_WeightDur]]*Tasks[[#This Row],[_LeafProgress]]</f>
        <v>0</v>
      </c>
      <c r="GE125" s="43" t="n">
        <f aca="false">Tasks[[#This Row],[_WeightDur]]*Tasks[[#This Row],[_PlannedPct]]</f>
        <v>0</v>
      </c>
      <c r="GF1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3" t="str">
        <f aca="false">IF(AND(Tasks[[#This Row],[_IsLeaf]]=1,N(Tasks[[#This Row],[_Days]])=0,Tasks[[#This Row],[_LeafProgress]]&lt;1),Tasks[[#This Row],[_ShownFcstFinish]]+Tasks[[#This Row],[_Row]]/100000,"")</f>
        <v/>
      </c>
      <c r="GH1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5" s="43" t="str">
        <f aca="false">IF(Tasks[[#This Row],[Task Name]]="","",LEFT(Tasks[[#This Row],[WBS]],FIND(".",Tasks[[#This Row],[WBS]]&amp;".")-1))</f>
        <v/>
      </c>
      <c r="GJ125" s="43" t="str">
        <f aca="false">IF(AND(Tasks[[#This Row],[Task Name]]&lt;&gt;"",Tasks[[#This Row],[_Level]]=1),Tasks[[#This Row],[_Row]],"")</f>
        <v/>
      </c>
      <c r="GK125" s="43" t="str">
        <f aca="false">IF(AND(Tasks[[#This Row],[_IsLeaf]]=1,N(Tasks[[#This Row],[_Days]])=0),Tasks[[#This Row],[Planned Finish]]+Tasks[[#This Row],[_Row]]/100000,"")</f>
        <v/>
      </c>
      <c r="GL125" s="43" t="str">
        <f aca="false">IF(AND(Tasks[[#This Row],[_IsLeaf]]=1,Tasks[[#This Row],[_LeafProgress]]&lt;1,OR(N(Tasks[[#This Row],[Finish Var]])&gt;0,Tasks[[#This Row],[Status]]="Late Start")),MAX(0,Tasks[[#This Row],[Finish Var]])+1-Tasks[[#This Row],[_Row]]/1000000,"")</f>
        <v/>
      </c>
      <c r="GM125" s="43" t="str">
        <f aca="false">IF(AND(Tasks[[#This Row],[_IsLeaf]]=1,N(Tasks[[#This Row],[Actual Start]])=0,Tasks[[#This Row],[_ShownFcstStart]]&gt;=StatusDate,Tasks[[#This Row],[_ShownFcstStart]]&lt;=LookaheadEnd),Tasks[[#This Row],[_ShownFcstStart]]+Tasks[[#This Row],[_Row]]/100000,"")</f>
        <v/>
      </c>
      <c r="GN125" s="43" t="str">
        <f aca="false">IF(AND(Tasks[[#This Row],[_IsLeaf]]=1,Tasks[[#This Row],[_LeafProgress]]&lt;1,Tasks[[#This Row],[_ShownFcstFinish]]&gt;=StatusDate,Tasks[[#This Row],[_ShownFcstFinish]]&lt;=LookaheadEnd),Tasks[[#This Row],[_ShownFcstFinish]]+Tasks[[#This Row],[_Row]]/100000,"")</f>
        <v/>
      </c>
      <c r="GO125" s="43" t="str">
        <f aca="false">IF(Tasks[[#This Row],[_LeafCritical]],Tasks[[#This Row],[_ShownFcstStart]]+Tasks[[#This Row],[_Row]]/100000,"")</f>
        <v/>
      </c>
      <c r="GP125" s="43" t="n">
        <f aca="false">Tasks[[#This Row],[_LeafWork]]*Tasks[[#This Row],[_LeafProgress]]</f>
        <v>0</v>
      </c>
      <c r="GQ125" s="91" t="str">
        <f aca="false">IF(AND(Tasks[[#This Row],[_IsLeaf]]=1,Tasks[[#This Row],[_LeafProgress]]&gt;=1),IF(N(Tasks[[#This Row],[Actual Finish]])&gt;0,Tasks[[#This Row],[Actual Finish]],Tasks[[#This Row],[_ShownFcstFinish]]),"")</f>
        <v/>
      </c>
      <c r="GR125" s="43" t="n">
        <f aca="false">IF(Tasks[[#This Row],[_IsLeaf]]=1,N(Tasks[[#This Row],[Story Points]]),0)</f>
        <v>0</v>
      </c>
      <c r="GS125" s="43" t="str">
        <f aca="false">""</f>
        <v/>
      </c>
      <c r="GT125" s="90" t="b">
        <f aca="false">IF(Tasks[[#This Row],[Task Name]]="",FALSE(),AND(Tasks[[#This Row],[_IsLeaf]]=1,N(Tasks[[#This Row],[_Days]])=0))</f>
        <v>0</v>
      </c>
      <c r="GU125" s="91" t="n">
        <f aca="false">IF(Tasks[[#This Row],[Task Name]]="",0,IF(AND(Tasks[[#This Row],[_IsLeaf]]=1,NOT(Tasks[[#This Row],[_IsMilestone]]),N(Tasks[[#This Row],[Progress]])&gt;0),Tasks[[#This Row],[Start]],0))</f>
        <v>0</v>
      </c>
      <c r="GV125" s="91" t="n">
        <f aca="false">IF(Tasks[[#This Row],[_DoneFrom]]=0,0,IF(Tasks[[#This Row],[Progress]]&gt;=1,Tasks[[#This Row],[Finish]],MAX(Tasks[[#This Row],[_DoneFrom]],Tasks[[#This Row],[Start]]+ROUND((Tasks[[#This Row],[Finish]]-Tasks[[#This Row],[Start]]+1)*Tasks[[#This Row],[Progress]],0)-1)))</f>
        <v>0</v>
      </c>
      <c r="GW125" s="91" t="n">
        <f aca="false">IF(Tasks[[#This Row],[Task Name]]="",0,IF(OR(NOT(Tasks[[#This Row],[_IsLeaf]]=1),Tasks[[#This Row],[_IsMilestone]],N(Tasks[[#This Row],[Progress]])&gt;=1),0,IF(Tasks[[#This Row],[_DoneTo]]&gt;0,Tasks[[#This Row],[_DoneTo]]+1,Tasks[[#This Row],[Start]])))</f>
        <v>0</v>
      </c>
      <c r="GX125" s="91" t="n">
        <f aca="false">IF(Tasks[[#This Row],[_RemFrom]]=0,0,Tasks[[#This Row],[Finish]])</f>
        <v>0</v>
      </c>
      <c r="GY125" s="90" t="b">
        <f aca="false">IF(Tasks[[#This Row],[Task Name]]="",FALSE(),OR(NOT(BaselineSet),N(Tasks[[#This Row],[Baseline Start]])&gt;0))</f>
        <v>0</v>
      </c>
      <c r="GZ12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92" t="str">
        <f aca="false">IF(Tasks[[#This Row],[_IsLeaf]]=1,Tasks[[#This Row],[_Row]],"")</f>
        <v/>
      </c>
      <c r="HD125" s="92" t="str">
        <f aca="false">IFERROR(INDEX(Tasks[UID],SMALL(Tasks[_PickKey],Tasks[[#This Row],[_Row]]))&amp;" "&amp;INDEX(Tasks[Task Name],SMALL(Tasks[_PickKey],Tasks[[#This Row],[_Row]])),"")</f>
        <v/>
      </c>
      <c r="HE125" s="43" t="str">
        <f aca="false">IF(Tasks[[#This Row],[Task Name]]="","",IF(Tasks[[#This Row],[_IsSummary]],NETWORKDAYS.INTL(Tasks[[#This Row],[Start]],Tasks[[#This Row],[Finish]],WorkWeek,Holidays),N(Tasks[[#This Row],[_Days]])))</f>
        <v/>
      </c>
      <c r="HF125" s="43" t="n">
        <f aca="false">IF(Tasks[[#This Row],[Expected]]="",0,((Tasks[[#This Row],[Pessimistic]]-Tasks[[#This Row],[Optimistic]])/6)^2)</f>
        <v>0</v>
      </c>
      <c r="HG125" s="43" t="n">
        <f aca="false">IF(Tasks[[#This Row],[Expected]]="",0,Tasks[[#This Row],[Expected]]-N(Tasks[[#This Row],[_Days]]))</f>
        <v>0</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4"/>
      <c r="U126" s="23"/>
      <c r="V126" s="84"/>
      <c r="W126" s="23"/>
      <c r="X126" s="84"/>
      <c r="Y126" s="23"/>
      <c r="Z126" s="84"/>
      <c r="AA126" s="23"/>
      <c r="AB126" s="23"/>
      <c r="AC126" s="7"/>
      <c r="AD126" s="7"/>
      <c r="AE126" s="63" t="str">
        <f aca="false">IF(Tasks[[#This Row],[Task Name]]="","",IF(Tasks[[#This Row],[_IsSummary]],MIN(INDEX(Tasks[_ShownFcstStart],Tasks[[#This Row],[_Row]]+1):INDEX(Tasks[_ShownFcstStart],Tasks[[#This Row],[_Row]]+Tasks[[#This Row],[_Descendants]])),Tasks[[#This Row],[_ShownFcstStart]]))</f>
        <v/>
      </c>
      <c r="AF126" s="63"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6" s="7"/>
      <c r="AK126" s="22"/>
      <c r="AL126" s="23"/>
      <c r="AM126" s="7"/>
      <c r="AN126" s="47"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3" t="str">
        <f aca="false">IF(Tasks[[#This Row],[Task Name]]="","",IF(N(Tasks[[#This Row],[Baseline Start]])&gt;0,Tasks[[#This Row],[Baseline Start]],Tasks[[#This Row],[_CalcStart]]))</f>
        <v/>
      </c>
      <c r="AR126" s="63" t="str">
        <f aca="false">IF(Tasks[[#This Row],[Task Name]]="","",IF(N(Tasks[[#This Row],[Baseline Finish]])&gt;0,Tasks[[#This Row],[Baseline Finish]],Tasks[[#This Row],[_CalcFinish]]))</f>
        <v/>
      </c>
      <c r="AS126" s="47" t="str">
        <f aca="false">IF(Tasks[[#This Row],[Task Name]]="","",IF(Tasks[[#This Row],[Start]]&gt;=Tasks[[#This Row],[Planned Start]],NETWORKDAYS.INTL(Tasks[[#This Row],[Planned Start]],Tasks[[#This Row],[Start]],WorkWeek,Holidays)-1,1-NETWORKDAYS.INTL(Tasks[[#This Row],[Start]],Tasks[[#This Row],[Planned Start]],WorkWeek,Holidays)))</f>
        <v/>
      </c>
      <c r="AT126" s="63" t="str">
        <f aca="false">IF(Tasks[[#This Row],[Task Name]]="","",IF(Tasks[[#This Row],[_IsSummary]],MIN(INDEX(Tasks[_LeafLateStart],Tasks[[#This Row],[_Row]]+1):INDEX(Tasks[_LeafLateStart],Tasks[[#This Row],[_Row]]+Tasks[[#This Row],[_Descendants]])),Tasks[[#This Row],[_LeafLateStart]]))</f>
        <v/>
      </c>
      <c r="AU126" s="63" t="str">
        <f aca="false">IF(Tasks[[#This Row],[Task Name]]="","",IF(Tasks[[#This Row],[_IsSummary]],MAX(INDEX(Tasks[_LeafLateFinish],Tasks[[#This Row],[_Row]]+1):INDEX(Tasks[_LeafLateFinish],Tasks[[#This Row],[_Row]]+Tasks[[#This Row],[_Descendants]])),Tasks[[#This Row],[_LeafLateFinish]]))</f>
        <v/>
      </c>
      <c r="AV126" s="47"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5"/>
      <c r="BA1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6"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7"/>
      <c r="BJ126" s="22"/>
      <c r="BK126" s="47" t="str">
        <f aca="false">IF(OR(Tasks[[#This Row],[Task Name]]="",Tasks[[#This Row],[Baseline Duration]]=""),"",Tasks[[#This Row],[_SpanDays]]-N(Tasks[[#This Row],[Baseline Duration]]))</f>
        <v/>
      </c>
      <c r="BL126" s="86" t="str">
        <f aca="false">IF(OR(Tasks[[#This Row],[Task Name]]="",Tasks[[#This Row],[Baseline Work]]=""),"",Tasks[[#This Row],[Work]]-N(Tasks[[#This Row],[Baseline Work]]))</f>
        <v/>
      </c>
      <c r="BM126" s="63" t="str">
        <f aca="false">IF(Tasks[[#This Row],[Task Name]]="","",IF(OR(TakeBaseline="Yes",N(Tasks[[#This Row],[Baseline Start]])=0),Tasks[[#This Row],[Start]],Tasks[[#This Row],[Baseline Start]]))</f>
        <v/>
      </c>
      <c r="BN126" s="63" t="str">
        <f aca="false">IF(Tasks[[#This Row],[Task Name]]="","",IF(OR(TakeBaseline="Yes",N(Tasks[[#This Row],[Baseline Finish]])=0),Tasks[[#This Row],[Finish]],Tasks[[#This Row],[Baseline Finish]]))</f>
        <v/>
      </c>
      <c r="BO126" s="21" t="str">
        <f aca="false">IF(Tasks[[#This Row],[Task Name]]="","",IF(OR(TakeBaseline="Yes",N(Tasks[[#This Row],[Baseline Duration]])=0),Tasks[[#This Row],[_SpanDays]],Tasks[[#This Row],[Baseline Duration]]))</f>
        <v/>
      </c>
      <c r="BP126" s="86" t="str">
        <f aca="false">IF(Tasks[[#This Row],[Task Name]]="","",IF(OR(TakeBaseline="Yes",N(Tasks[[#This Row],[Baseline Work]])=0),Tasks[[#This Row],[Work]],Tasks[[#This Row],[Baseline Work]]))</f>
        <v/>
      </c>
      <c r="BQ126" s="7"/>
      <c r="BR126" s="7"/>
      <c r="BS126" s="22"/>
      <c r="BT126" s="88"/>
      <c r="BU126" s="23"/>
      <c r="BV126" s="23"/>
      <c r="BW126" s="23"/>
      <c r="BX126" s="89" t="str">
        <f aca="false">IF(AND(Tasks[[#This Row],[_IsLeaf]]=1,ISNUMBER(Tasks[[#This Row],[Optimistic]]),ISNUMBER(Tasks[[#This Row],[Pessimistic]])),ROUND((Tasks[[#This Row],[Optimistic]]+4*N(Tasks[[#This Row],[_Days]])+Tasks[[#This Row],[Pessimistic]])/6,1),"")</f>
        <v/>
      </c>
      <c r="BY126" s="87"/>
      <c r="BZ126" s="87"/>
      <c r="CA126" s="22"/>
      <c r="CB126" s="43" t="str">
        <f aca="false">IF(Tasks[[#This Row],[Task Name]]="","",MAX(1,N(Tasks[[#This Row],[Level]])))</f>
        <v/>
      </c>
      <c r="CC126" s="43" t="n">
        <f aca="false">ROW()-ROW(Tasks[[#Headers],[ID]])</f>
        <v>121</v>
      </c>
      <c r="CD126" s="43" t="n">
        <f aca="false">IF(OR(Tasks[[#This Row],[Task Name]]="",Tasks[[#This Row],[_Level]]&lt;=1),0,IFERROR(LOOKUP(2,1/(Tasks[[#Headers],[_Level]]:Tasks[[#This Row],[_Level]]=Tasks[[#This Row],[_Level]]-1),ROW(Tasks[[#Headers],[_Level]]:Tasks[[#This Row],[_Level]])),0))</f>
        <v>0</v>
      </c>
      <c r="CE126" s="43" t="n">
        <f aca="false">IFERROR(N(INDEX(Tasks[_Level],Tasks[[#This Row],[_Row]]+1)),0)</f>
        <v>0</v>
      </c>
      <c r="CF126" s="90" t="b">
        <f aca="false">AND(Tasks[[#This Row],[Task Name]]&lt;&gt;"",Tasks[[#This Row],[_NextLevel]]&gt;Tasks[[#This Row],[_Level]])</f>
        <v>0</v>
      </c>
      <c r="CG126" s="43" t="n">
        <f aca="false">IF(Tasks[[#This Row],[_IsSummary]],COUNTIF(Tasks[WBS],Tasks[[#This Row],[WBS]]&amp;".*"),0)</f>
        <v>0</v>
      </c>
      <c r="CH126" s="43" t="n">
        <f aca="false">IF(AND(Tasks[[#This Row],[Task Name]]&lt;&gt;"",NOT(Tasks[[#This Row],[_IsSummary]])),1,0)</f>
        <v>0</v>
      </c>
      <c r="CI126" s="43" t="n">
        <f aca="false">IF(N(Tasks[[#This Row],[_Pred1UID]])=0,0,IFERROR(MATCH(Tasks[[#This Row],[_Pred1UID]],Tasks[UID],0),-1))</f>
        <v>0</v>
      </c>
      <c r="CJ126" s="43" t="n">
        <f aca="false">IF(N(Tasks[[#This Row],[_Pred2UID]])=0,0,IFERROR(MATCH(Tasks[[#This Row],[_Pred2UID]],Tasks[UID],0),-1))</f>
        <v>0</v>
      </c>
      <c r="CK126" s="43" t="n">
        <f aca="false">IF(N(Tasks[[#This Row],[_Pred3UID]])=0,0,IFERROR(MATCH(Tasks[[#This Row],[_Pred3UID]],Tasks[UID],0),-1))</f>
        <v>0</v>
      </c>
      <c r="CL126" s="43" t="n">
        <f aca="false">IF(N(Tasks[[#This Row],[_Pred4UID]])=0,0,IFERROR(MATCH(Tasks[[#This Row],[_Pred4UID]],Tasks[UID],0),-1))</f>
        <v>0</v>
      </c>
      <c r="CM1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6" s="91" t="n">
        <f aca="false">IF(OR(Tasks[[#This Row],[_ConstraintCode]]=2,Tasks[[#This Row],[_ConstraintCode]]=3,Tasks[[#This Row],[_ConstraintCode]]=4,Tasks[[#This Row],[_ConstraintCode]]=6),Tasks[[#This Row],[_ConstraintStart]],0)</f>
        <v>0</v>
      </c>
      <c r="CP126" s="91" t="n">
        <f aca="false">IF(OR(Tasks[[#This Row],[_ConstraintCode]]=2,Tasks[[#This Row],[_ConstraintCode]]=3,Tasks[[#This Row],[_ConstraintCode]]=5,Tasks[[#This Row],[_ConstraintCode]]=7),Tasks[[#This Row],[_ConstraintStart]],2958465)</f>
        <v>2958465</v>
      </c>
      <c r="CQ1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91" t="str">
        <f aca="false">IF(NOT(Tasks[[#This Row],[_IsLeaf]]=1),"",IF(N(Tasks[[#This Row],[_Days]])&lt;=0,Tasks[[#This Row],[_LeafCalcStart]],WORKDAY.INTL(Tasks[[#This Row],[_LeafCalcStart]],Tasks[[#This Row],[_Days]]-1,WorkWeek,Holidays)))</f>
        <v/>
      </c>
      <c r="CS1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3" t="str">
        <f aca="false">IF(Tasks[[#This Row],[_Predecessors]]="","",TRIM(MID(SUBSTITUTE(SUBSTITUTE(SUBSTITUTE(UPPER(Tasks[[#This Row],[_Predecessors]]),";",",")," ",""),",",REPT(" ",99)),1,99)))</f>
        <v/>
      </c>
      <c r="CV126" s="43" t="str">
        <f aca="false">IF(Tasks[[#This Row],[_Pred1Text]]="","",IFERROR(VALUE(LEFT(Tasks[[#This Row],[_Pred1Text]],MIN(FIND("F",Tasks[[#This Row],[_Pred1Text]]&amp;"F"),FIND("S",Tasks[[#This Row],[_Pred1Text]]&amp;"S"),FIND("+",Tasks[[#This Row],[_Pred1Text]]&amp;"+"),FIND("-",Tasks[[#This Row],[_Pred1Text]]&amp;"-"))-1)),""))</f>
        <v/>
      </c>
      <c r="CW1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3" t="str">
        <f aca="false">IF(Tasks[[#This Row],[_Pred1Text]]="","",TRIM(MID(SUBSTITUTE(SUBSTITUTE(SUBSTITUTE(UPPER(Tasks[[#This Row],[_Predecessors]]),";",",")," ",""),",",REPT(" ",99)),100,99)))</f>
        <v/>
      </c>
      <c r="CZ126" s="43" t="str">
        <f aca="false">IF(Tasks[[#This Row],[_Pred2Text]]="","",IFERROR(VALUE(LEFT(Tasks[[#This Row],[_Pred2Text]],MIN(FIND("F",Tasks[[#This Row],[_Pred2Text]]&amp;"F"),FIND("S",Tasks[[#This Row],[_Pred2Text]]&amp;"S"),FIND("+",Tasks[[#This Row],[_Pred2Text]]&amp;"+"),FIND("-",Tasks[[#This Row],[_Pred2Text]]&amp;"-"))-1)),""))</f>
        <v/>
      </c>
      <c r="DA1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3" t="str">
        <f aca="false">IF(Tasks[[#This Row],[_Pred2Text]]="","",TRIM(MID(SUBSTITUTE(SUBSTITUTE(SUBSTITUTE(UPPER(Tasks[[#This Row],[_Predecessors]]),";",",")," ",""),",",REPT(" ",99)),199,99)))</f>
        <v/>
      </c>
      <c r="DD126" s="43" t="str">
        <f aca="false">IF(Tasks[[#This Row],[_Pred3Text]]="","",IFERROR(VALUE(LEFT(Tasks[[#This Row],[_Pred3Text]],MIN(FIND("F",Tasks[[#This Row],[_Pred3Text]]&amp;"F"),FIND("S",Tasks[[#This Row],[_Pred3Text]]&amp;"S"),FIND("+",Tasks[[#This Row],[_Pred3Text]]&amp;"+"),FIND("-",Tasks[[#This Row],[_Pred3Text]]&amp;"-"))-1)),""))</f>
        <v/>
      </c>
      <c r="DE1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3" t="str">
        <f aca="false">IF(Tasks[[#This Row],[_Pred3Text]]="","",TRIM(MID(SUBSTITUTE(SUBSTITUTE(SUBSTITUTE(UPPER(Tasks[[#This Row],[_Predecessors]]),";",",")," ",""),",",REPT(" ",99)),298,99)))</f>
        <v/>
      </c>
      <c r="DH126" s="43" t="str">
        <f aca="false">IF(Tasks[[#This Row],[_Pred4Text]]="","",IFERROR(VALUE(LEFT(Tasks[[#This Row],[_Pred4Text]],MIN(FIND("F",Tasks[[#This Row],[_Pred4Text]]&amp;"F"),FIND("S",Tasks[[#This Row],[_Pred4Text]]&amp;"S"),FIND("+",Tasks[[#This Row],[_Pred4Text]]&amp;"+"),FIND("-",Tasks[[#This Row],[_Pred4Text]]&amp;"-"))-1)),""))</f>
        <v/>
      </c>
      <c r="DI1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3" t="str">
        <f aca="false">IF(OR(Tasks[[#This Row],[Task Name]]="",Tasks[[#This Row],[_Resources]]=""),"",TRIM(MID(SUBSTITUTE(Tasks[[#This Row],[_Resources]],",",REPT(" ",99)),1,99)))</f>
        <v/>
      </c>
      <c r="DL126" s="43" t="str">
        <f aca="false">IF(Tasks[[#This Row],[_Res1Text]]="","",TRIM(MID(SUBSTITUTE(Tasks[[#This Row],[_Resources]],",",REPT(" ",99)),100,99)))</f>
        <v/>
      </c>
      <c r="DM126" s="43" t="str">
        <f aca="false">IF(Tasks[[#This Row],[_Res2Text]]="","",TRIM(MID(SUBSTITUTE(Tasks[[#This Row],[_Resources]],",",REPT(" ",99)),199,99)))</f>
        <v/>
      </c>
      <c r="DN126" s="43" t="str">
        <f aca="false">IF(Tasks[[#This Row],[_Res3Text]]="","",TRIM(MID(SUBSTITUTE(Tasks[[#This Row],[_Resources]],",",REPT(" ",99)),298,99)))</f>
        <v/>
      </c>
      <c r="DO126" s="43" t="n">
        <f aca="false">IF(Tasks[[#This Row],[_Res1Text]]="",0,IFERROR(MATCH(TRIM(LEFT(Tasks[[#This Row],[_Res1Text]],FIND("[",Tasks[[#This Row],[_Res1Text]]&amp;"[")-1)),res_Name,0),IFERROR(MATCH(TRIM(LEFT(Tasks[[#This Row],[_Res1Text]],FIND("[",Tasks[[#This Row],[_Res1Text]]&amp;"[")-1)),res_Initials,0),0)))</f>
        <v>0</v>
      </c>
      <c r="DP126" s="43" t="n">
        <f aca="false">IF(Tasks[[#This Row],[_Res2Text]]="",0,IFERROR(MATCH(TRIM(LEFT(Tasks[[#This Row],[_Res2Text]],FIND("[",Tasks[[#This Row],[_Res2Text]]&amp;"[")-1)),res_Name,0),IFERROR(MATCH(TRIM(LEFT(Tasks[[#This Row],[_Res2Text]],FIND("[",Tasks[[#This Row],[_Res2Text]]&amp;"[")-1)),res_Initials,0),0)))</f>
        <v>0</v>
      </c>
      <c r="DQ126" s="43" t="n">
        <f aca="false">IF(Tasks[[#This Row],[_Res3Text]]="",0,IFERROR(MATCH(TRIM(LEFT(Tasks[[#This Row],[_Res3Text]],FIND("[",Tasks[[#This Row],[_Res3Text]]&amp;"[")-1)),res_Name,0),IFERROR(MATCH(TRIM(LEFT(Tasks[[#This Row],[_Res3Text]],FIND("[",Tasks[[#This Row],[_Res3Text]]&amp;"[")-1)),res_Initials,0),0)))</f>
        <v>0</v>
      </c>
      <c r="DR126" s="43" t="n">
        <f aca="false">IF(Tasks[[#This Row],[_Res4Text]]="",0,IFERROR(MATCH(TRIM(LEFT(Tasks[[#This Row],[_Res4Text]],FIND("[",Tasks[[#This Row],[_Res4Text]]&amp;"[")-1)),res_Name,0),IFERROR(MATCH(TRIM(LEFT(Tasks[[#This Row],[_Res4Text]],FIND("[",Tasks[[#This Row],[_Res4Text]]&amp;"[")-1)),res_Initials,0),0)))</f>
        <v>0</v>
      </c>
      <c r="DS126" s="43" t="str">
        <f aca="false">IF(Tasks[[#This Row],[_Res1Text]]="","",IF(Tasks[[#This Row],[_Res1Row]]&gt;0,INDEX(res_Name,Tasks[[#This Row],[_Res1Row]]),TRIM(LEFT(Tasks[[#This Row],[_Res1Text]],FIND("[",Tasks[[#This Row],[_Res1Text]]&amp;"[")-1))))</f>
        <v/>
      </c>
      <c r="DT1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3" t="n">
        <f aca="false">IF(NOT(Tasks[[#This Row],[_IsLeaf]]=1),0,(Tasks[[#This Row],[_Resource1]]&lt;&gt;"")+(Tasks[[#This Row],[_Res2]]&lt;&gt;"")+(Tasks[[#This Row],[_Res3]]&lt;&gt;"")+(Tasks[[#This Row],[_Res4]]&lt;&gt;""))</f>
        <v>0</v>
      </c>
      <c r="DV126" s="43" t="str">
        <f aca="false">IF(Tasks[[#This Row],[_Res2Text]]="","",IF(Tasks[[#This Row],[_Res2Row]]&gt;0,INDEX(res_Name,Tasks[[#This Row],[_Res2Row]]),TRIM(LEFT(Tasks[[#This Row],[_Res2Text]],FIND("[",Tasks[[#This Row],[_Res2Text]]&amp;"[")-1))))</f>
        <v/>
      </c>
      <c r="DW1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3" t="n">
        <f aca="false">IF(OR(NOT(Tasks[[#This Row],[_IsLeaf]]=1),Tasks[[#This Row],[_Res2Row]]=0),0,N(Tasks[[#This Row],[_Days]])*HoursPerDay*IF(Tasks[[#This Row],[_Res2Units]]="",DefaultUnits,Tasks[[#This Row],[_Res2Units]]))</f>
        <v>0</v>
      </c>
      <c r="DY126" s="43" t="n">
        <f aca="false">IF(AND(AND(Tasks[[#This Row],[_IsLeaf]]=1,Tasks[[#This Row],[_LeafTotalWork]]&gt;0),Tasks[[#This Row],[_Res2Work]]&gt;0),Tasks[[#This Row],[_Res2Work]]/(Tasks[[#This Row],[_FinishWorkday]]-Tasks[[#This Row],[_StartWorkday]]+1),0)</f>
        <v>0</v>
      </c>
      <c r="DZ126" s="43" t="n">
        <f aca="false">Tasks[[#This Row],[_Res2WorkPerWD]]*MAX(0,Tasks[[#This Row],[_StartWorkday]]-1)</f>
        <v>0</v>
      </c>
      <c r="EA126" s="43" t="n">
        <f aca="false">Tasks[[#This Row],[_Res2Work]]*Tasks[[#This Row],[_LeafProgress]]</f>
        <v>0</v>
      </c>
      <c r="EB126" s="43" t="str">
        <f aca="false">IF(Tasks[[#This Row],[_Res3Text]]="","",IF(Tasks[[#This Row],[_Res3Row]]&gt;0,INDEX(res_Name,Tasks[[#This Row],[_Res3Row]]),TRIM(LEFT(Tasks[[#This Row],[_Res3Text]],FIND("[",Tasks[[#This Row],[_Res3Text]]&amp;"[")-1))))</f>
        <v/>
      </c>
      <c r="EC1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3" t="n">
        <f aca="false">IF(OR(NOT(Tasks[[#This Row],[_IsLeaf]]=1),Tasks[[#This Row],[_Res3Row]]=0),0,N(Tasks[[#This Row],[_Days]])*HoursPerDay*IF(Tasks[[#This Row],[_Res3Units]]="",DefaultUnits,Tasks[[#This Row],[_Res3Units]]))</f>
        <v>0</v>
      </c>
      <c r="EE126" s="43" t="n">
        <f aca="false">IF(AND(AND(Tasks[[#This Row],[_IsLeaf]]=1,Tasks[[#This Row],[_LeafTotalWork]]&gt;0),Tasks[[#This Row],[_Res3Work]]&gt;0),Tasks[[#This Row],[_Res3Work]]/(Tasks[[#This Row],[_FinishWorkday]]-Tasks[[#This Row],[_StartWorkday]]+1),0)</f>
        <v>0</v>
      </c>
      <c r="EF126" s="43" t="n">
        <f aca="false">Tasks[[#This Row],[_Res3WorkPerWD]]*MAX(0,Tasks[[#This Row],[_StartWorkday]]-1)</f>
        <v>0</v>
      </c>
      <c r="EG126" s="43" t="n">
        <f aca="false">Tasks[[#This Row],[_Res3Work]]*Tasks[[#This Row],[_LeafProgress]]</f>
        <v>0</v>
      </c>
      <c r="EH126" s="43" t="str">
        <f aca="false">IF(Tasks[[#This Row],[_Res4Text]]="","",IF(Tasks[[#This Row],[_Res4Row]]&gt;0,INDEX(res_Name,Tasks[[#This Row],[_Res4Row]]),TRIM(LEFT(Tasks[[#This Row],[_Res4Text]],FIND("[",Tasks[[#This Row],[_Res4Text]]&amp;"[")-1))))</f>
        <v/>
      </c>
      <c r="EI1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3" t="n">
        <f aca="false">IF(OR(NOT(Tasks[[#This Row],[_IsLeaf]]=1),Tasks[[#This Row],[_Res4Row]]=0),0,N(Tasks[[#This Row],[_Days]])*HoursPerDay*IF(Tasks[[#This Row],[_Res4Units]]="",DefaultUnits,Tasks[[#This Row],[_Res4Units]]))</f>
        <v>0</v>
      </c>
      <c r="EK126" s="43" t="n">
        <f aca="false">IF(AND(AND(Tasks[[#This Row],[_IsLeaf]]=1,Tasks[[#This Row],[_LeafTotalWork]]&gt;0),Tasks[[#This Row],[_Res4Work]]&gt;0),Tasks[[#This Row],[_Res4Work]]/(Tasks[[#This Row],[_FinishWorkday]]-Tasks[[#This Row],[_StartWorkday]]+1),0)</f>
        <v>0</v>
      </c>
      <c r="EL126" s="43" t="n">
        <f aca="false">Tasks[[#This Row],[_Res4WorkPerWD]]*MAX(0,Tasks[[#This Row],[_StartWorkday]]-1)</f>
        <v>0</v>
      </c>
      <c r="EM126" s="43" t="n">
        <f aca="false">Tasks[[#This Row],[_Res4Work]]*Tasks[[#This Row],[_LeafProgress]]</f>
        <v>0</v>
      </c>
      <c r="EN126" s="43" t="n">
        <f aca="false">IF(ISNUMBER(Tasks[[#This Row],[% Complete]]),Tasks[[#This Row],[% Complete]],IF(Tasks[[#This Row],[Stage]]="",0,IFERROR(INDEX(stg_Pct,MATCH(Tasks[[#This Row],[Stage]],stg_Name,0)),0)))</f>
        <v>0</v>
      </c>
      <c r="EO126" s="43" t="n">
        <f aca="false">IF(NOT(Tasks[[#This Row],[_IsLeaf]]=1),0,IF(N(Tasks[[#This Row],[Actual Finish]])&gt;0,1,MIN(1,Tasks[[#This Row],[_Pct]])))</f>
        <v>0</v>
      </c>
      <c r="EP126" s="43" t="n">
        <f aca="false">IF(OR(NOT(Tasks[[#This Row],[_IsLeaf]]=1),Tasks[[#This Row],[_Res1Row]]=0),0,N(Tasks[[#This Row],[_Days]])*HoursPerDay*IF(Tasks[[#This Row],[_Units1]]="",DefaultUnits,Tasks[[#This Row],[_Units1]]))</f>
        <v>0</v>
      </c>
      <c r="EQ126" s="43" t="n">
        <f aca="false">Tasks[[#This Row],[_LeafWork]]+Tasks[[#This Row],[_Res2Work]]+Tasks[[#This Row],[_Res3Work]]+Tasks[[#This Row],[_Res4Work]]</f>
        <v>0</v>
      </c>
      <c r="ER1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3" t="n">
        <f aca="false">IF(NOT(Tasks[[#This Row],[_IsLeaf]]=1),0,MAX(_xlfn.MAXIFS(Tasks[_Row],Tasks[_Pred1UID],Tasks[[#This Row],[UID]]),_xlfn.MAXIFS(Tasks[_Row],Tasks[_Pred2UID],Tasks[[#This Row],[UID]]),_xlfn.MAXIFS(Tasks[_Row],Tasks[_Pred3UID],Tasks[[#This Row],[UID]]),_xlfn.MAXIFS(Tasks[_Row],Tasks[_Pred4UID],Tasks[[#This Row],[UID]])))</f>
        <v>0</v>
      </c>
      <c r="FA1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91" t="str">
        <f aca="false">IF(NOT(Tasks[[#This Row],[_IsLeaf]]=1),"",IF(N(Tasks[[#This Row],[_Days]])&lt;=0,Tasks[[#This Row],[_LeafLateFinish]],WORKDAY.INTL(Tasks[[#This Row],[_LeafLateFinish]],-(Tasks[[#This Row],[_Days]]-1),WorkWeek,Holidays)))</f>
        <v/>
      </c>
      <c r="FD1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6" s="90" t="b">
        <f aca="false">AND(Tasks[[#This Row],[_IsLeaf]]=1,Tasks[[#This Row],[_LeafProgress]]&lt;1,N(Tasks[[#This Row],[_LeafTotalSlack]])&lt;=CriticalSlackDays)</f>
        <v>0</v>
      </c>
      <c r="FF126" s="43" t="n">
        <f aca="false">IF(AND(Tasks[[#This Row],[_IsLeaf]]=1,Tasks[[#This Row],[_ConstraintCode]]=1,Tasks[[#This Row],[Mode]]&lt;&gt;"Manual",N(Tasks[[#This Row],[Actual Start]])=0),MAX(0,N(Tasks[[#This Row],[Free Slack]])),0)</f>
        <v>0</v>
      </c>
      <c r="FG126" s="91" t="str">
        <f aca="false">IF(NOT(Tasks[[#This Row],[_IsLeaf]]=1),"",IF(Tasks[[#This Row],[_AlapShift]]=0,Tasks[[#This Row],[_LeafCalcStart]],WORKDAY.INTL(Tasks[[#This Row],[_LeafCalcStart]],Tasks[[#This Row],[_AlapShift]],WorkWeek,Holidays)))</f>
        <v/>
      </c>
      <c r="FH126" s="91" t="str">
        <f aca="false">IF(NOT(Tasks[[#This Row],[_IsLeaf]]=1),"",IF(Tasks[[#This Row],[_AlapShift]]=0,Tasks[[#This Row],[_LeafCalcFinish]],WORKDAY.INTL(Tasks[[#This Row],[_LeafCalcFinish]],Tasks[[#This Row],[_AlapShift]],WorkWeek,Holidays)))</f>
        <v/>
      </c>
      <c r="FI126" s="91" t="str">
        <f aca="false">IF(NOT(Tasks[[#This Row],[_IsLeaf]]=1),"",IF(Tasks[[#This Row],[_AlapShift]]=0,Tasks[[#This Row],[_LeafFcstStart]],WORKDAY.INTL(Tasks[[#This Row],[_LeafFcstStart]],Tasks[[#This Row],[_AlapShift]],WorkWeek,Holidays)))</f>
        <v/>
      </c>
      <c r="FJ126" s="91" t="str">
        <f aca="false">IF(NOT(Tasks[[#This Row],[_IsLeaf]]=1),"",IF(Tasks[[#This Row],[_AlapShift]]=0,Tasks[[#This Row],[_LeafFcstFinish]],WORKDAY.INTL(Tasks[[#This Row],[_LeafFcstFinish]],Tasks[[#This Row],[_AlapShift]],WorkWeek,Holidays)))</f>
        <v/>
      </c>
      <c r="FK126" s="91" t="str">
        <f aca="false">IF(Tasks[[#This Row],[Task Name]]="","",IF(Tasks[[#This Row],[_IsSummary]],MIN(INDEX(Tasks[_ShownCalcStart],Tasks[[#This Row],[_Row]]+1):INDEX(Tasks[_ShownCalcStart],Tasks[[#This Row],[_Row]]+Tasks[[#This Row],[_Descendants]])),Tasks[[#This Row],[_ShownCalcStart]]))</f>
        <v/>
      </c>
      <c r="FL126" s="91" t="str">
        <f aca="false">IF(Tasks[[#This Row],[Task Name]]="","",IF(Tasks[[#This Row],[_IsSummary]],MAX(INDEX(Tasks[_ShownCalcFinish],Tasks[[#This Row],[_Row]]+1):INDEX(Tasks[_ShownCalcFinish],Tasks[[#This Row],[_Row]]+Tasks[[#This Row],[_Descendants]])),Tasks[[#This Row],[_ShownCalcFinish]]))</f>
        <v/>
      </c>
      <c r="FM1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6" s="43" t="n">
        <f aca="false">IF(AND(Tasks[[#This Row],[_IsLeaf]]=1,Tasks[[#This Row],[_LeafTotalWork]]&gt;0),NETWORKDAYS.INTL(ProjectStart,Tasks[[#This Row],[_ShownFcstStart]],WorkWeek,Holidays),0)</f>
        <v>0</v>
      </c>
      <c r="FZ126" s="43" t="n">
        <f aca="false">IF(AND(Tasks[[#This Row],[_IsLeaf]]=1,Tasks[[#This Row],[_LeafTotalWork]]&gt;0),MAX(Tasks[[#This Row],[_StartWorkday]],NETWORKDAYS.INTL(ProjectStart,Tasks[[#This Row],[_ShownFcstFinish]],WorkWeek,Holidays)),0)</f>
        <v>0</v>
      </c>
      <c r="GA126" s="43" t="n">
        <f aca="false">IF(AND(Tasks[[#This Row],[_IsLeaf]]=1,Tasks[[#This Row],[_LeafTotalWork]]&gt;0),Tasks[[#This Row],[_LeafWork]]/(Tasks[[#This Row],[_FinishWorkday]]-Tasks[[#This Row],[_StartWorkday]]+1),0)</f>
        <v>0</v>
      </c>
      <c r="GB126" s="43" t="n">
        <f aca="false">Tasks[[#This Row],[_WorkPerWorkday]]*(Tasks[[#This Row],[_StartWorkday]]-1)</f>
        <v>-0</v>
      </c>
      <c r="GC126" s="43" t="n">
        <f aca="false">IF(Tasks[[#This Row],[_IsLeaf]]=1,MAX(N(Tasks[[#This Row],[_Days]]),0.1),0)</f>
        <v>0</v>
      </c>
      <c r="GD126" s="43" t="n">
        <f aca="false">Tasks[[#This Row],[_WeightDur]]*Tasks[[#This Row],[_LeafProgress]]</f>
        <v>0</v>
      </c>
      <c r="GE126" s="43" t="n">
        <f aca="false">Tasks[[#This Row],[_WeightDur]]*Tasks[[#This Row],[_PlannedPct]]</f>
        <v>0</v>
      </c>
      <c r="GF1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3" t="str">
        <f aca="false">IF(AND(Tasks[[#This Row],[_IsLeaf]]=1,N(Tasks[[#This Row],[_Days]])=0,Tasks[[#This Row],[_LeafProgress]]&lt;1),Tasks[[#This Row],[_ShownFcstFinish]]+Tasks[[#This Row],[_Row]]/100000,"")</f>
        <v/>
      </c>
      <c r="GH1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6" s="43" t="str">
        <f aca="false">IF(Tasks[[#This Row],[Task Name]]="","",LEFT(Tasks[[#This Row],[WBS]],FIND(".",Tasks[[#This Row],[WBS]]&amp;".")-1))</f>
        <v/>
      </c>
      <c r="GJ126" s="43" t="str">
        <f aca="false">IF(AND(Tasks[[#This Row],[Task Name]]&lt;&gt;"",Tasks[[#This Row],[_Level]]=1),Tasks[[#This Row],[_Row]],"")</f>
        <v/>
      </c>
      <c r="GK126" s="43" t="str">
        <f aca="false">IF(AND(Tasks[[#This Row],[_IsLeaf]]=1,N(Tasks[[#This Row],[_Days]])=0),Tasks[[#This Row],[Planned Finish]]+Tasks[[#This Row],[_Row]]/100000,"")</f>
        <v/>
      </c>
      <c r="GL126" s="43" t="str">
        <f aca="false">IF(AND(Tasks[[#This Row],[_IsLeaf]]=1,Tasks[[#This Row],[_LeafProgress]]&lt;1,OR(N(Tasks[[#This Row],[Finish Var]])&gt;0,Tasks[[#This Row],[Status]]="Late Start")),MAX(0,Tasks[[#This Row],[Finish Var]])+1-Tasks[[#This Row],[_Row]]/1000000,"")</f>
        <v/>
      </c>
      <c r="GM126" s="43" t="str">
        <f aca="false">IF(AND(Tasks[[#This Row],[_IsLeaf]]=1,N(Tasks[[#This Row],[Actual Start]])=0,Tasks[[#This Row],[_ShownFcstStart]]&gt;=StatusDate,Tasks[[#This Row],[_ShownFcstStart]]&lt;=LookaheadEnd),Tasks[[#This Row],[_ShownFcstStart]]+Tasks[[#This Row],[_Row]]/100000,"")</f>
        <v/>
      </c>
      <c r="GN126" s="43" t="str">
        <f aca="false">IF(AND(Tasks[[#This Row],[_IsLeaf]]=1,Tasks[[#This Row],[_LeafProgress]]&lt;1,Tasks[[#This Row],[_ShownFcstFinish]]&gt;=StatusDate,Tasks[[#This Row],[_ShownFcstFinish]]&lt;=LookaheadEnd),Tasks[[#This Row],[_ShownFcstFinish]]+Tasks[[#This Row],[_Row]]/100000,"")</f>
        <v/>
      </c>
      <c r="GO126" s="43" t="str">
        <f aca="false">IF(Tasks[[#This Row],[_LeafCritical]],Tasks[[#This Row],[_ShownFcstStart]]+Tasks[[#This Row],[_Row]]/100000,"")</f>
        <v/>
      </c>
      <c r="GP126" s="43" t="n">
        <f aca="false">Tasks[[#This Row],[_LeafWork]]*Tasks[[#This Row],[_LeafProgress]]</f>
        <v>0</v>
      </c>
      <c r="GQ126" s="91" t="str">
        <f aca="false">IF(AND(Tasks[[#This Row],[_IsLeaf]]=1,Tasks[[#This Row],[_LeafProgress]]&gt;=1),IF(N(Tasks[[#This Row],[Actual Finish]])&gt;0,Tasks[[#This Row],[Actual Finish]],Tasks[[#This Row],[_ShownFcstFinish]]),"")</f>
        <v/>
      </c>
      <c r="GR126" s="43" t="n">
        <f aca="false">IF(Tasks[[#This Row],[_IsLeaf]]=1,N(Tasks[[#This Row],[Story Points]]),0)</f>
        <v>0</v>
      </c>
      <c r="GS126" s="43" t="str">
        <f aca="false">""</f>
        <v/>
      </c>
      <c r="GT126" s="90" t="b">
        <f aca="false">IF(Tasks[[#This Row],[Task Name]]="",FALSE(),AND(Tasks[[#This Row],[_IsLeaf]]=1,N(Tasks[[#This Row],[_Days]])=0))</f>
        <v>0</v>
      </c>
      <c r="GU126" s="91" t="n">
        <f aca="false">IF(Tasks[[#This Row],[Task Name]]="",0,IF(AND(Tasks[[#This Row],[_IsLeaf]]=1,NOT(Tasks[[#This Row],[_IsMilestone]]),N(Tasks[[#This Row],[Progress]])&gt;0),Tasks[[#This Row],[Start]],0))</f>
        <v>0</v>
      </c>
      <c r="GV126" s="91" t="n">
        <f aca="false">IF(Tasks[[#This Row],[_DoneFrom]]=0,0,IF(Tasks[[#This Row],[Progress]]&gt;=1,Tasks[[#This Row],[Finish]],MAX(Tasks[[#This Row],[_DoneFrom]],Tasks[[#This Row],[Start]]+ROUND((Tasks[[#This Row],[Finish]]-Tasks[[#This Row],[Start]]+1)*Tasks[[#This Row],[Progress]],0)-1)))</f>
        <v>0</v>
      </c>
      <c r="GW126" s="91" t="n">
        <f aca="false">IF(Tasks[[#This Row],[Task Name]]="",0,IF(OR(NOT(Tasks[[#This Row],[_IsLeaf]]=1),Tasks[[#This Row],[_IsMilestone]],N(Tasks[[#This Row],[Progress]])&gt;=1),0,IF(Tasks[[#This Row],[_DoneTo]]&gt;0,Tasks[[#This Row],[_DoneTo]]+1,Tasks[[#This Row],[Start]])))</f>
        <v>0</v>
      </c>
      <c r="GX126" s="91" t="n">
        <f aca="false">IF(Tasks[[#This Row],[_RemFrom]]=0,0,Tasks[[#This Row],[Finish]])</f>
        <v>0</v>
      </c>
      <c r="GY126" s="90" t="b">
        <f aca="false">IF(Tasks[[#This Row],[Task Name]]="",FALSE(),OR(NOT(BaselineSet),N(Tasks[[#This Row],[Baseline Start]])&gt;0))</f>
        <v>0</v>
      </c>
      <c r="GZ12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92" t="str">
        <f aca="false">IF(Tasks[[#This Row],[_IsLeaf]]=1,Tasks[[#This Row],[_Row]],"")</f>
        <v/>
      </c>
      <c r="HD126" s="92" t="str">
        <f aca="false">IFERROR(INDEX(Tasks[UID],SMALL(Tasks[_PickKey],Tasks[[#This Row],[_Row]]))&amp;" "&amp;INDEX(Tasks[Task Name],SMALL(Tasks[_PickKey],Tasks[[#This Row],[_Row]])),"")</f>
        <v/>
      </c>
      <c r="HE126" s="43" t="str">
        <f aca="false">IF(Tasks[[#This Row],[Task Name]]="","",IF(Tasks[[#This Row],[_IsSummary]],NETWORKDAYS.INTL(Tasks[[#This Row],[Start]],Tasks[[#This Row],[Finish]],WorkWeek,Holidays),N(Tasks[[#This Row],[_Days]])))</f>
        <v/>
      </c>
      <c r="HF126" s="43" t="n">
        <f aca="false">IF(Tasks[[#This Row],[Expected]]="",0,((Tasks[[#This Row],[Pessimistic]]-Tasks[[#This Row],[Optimistic]])/6)^2)</f>
        <v>0</v>
      </c>
      <c r="HG126" s="43" t="n">
        <f aca="false">IF(Tasks[[#This Row],[Expected]]="",0,Tasks[[#This Row],[Expected]]-N(Tasks[[#This Row],[_Days]]))</f>
        <v>0</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4"/>
      <c r="U127" s="23"/>
      <c r="V127" s="84"/>
      <c r="W127" s="23"/>
      <c r="X127" s="84"/>
      <c r="Y127" s="23"/>
      <c r="Z127" s="84"/>
      <c r="AA127" s="23"/>
      <c r="AB127" s="23"/>
      <c r="AC127" s="7"/>
      <c r="AD127" s="7"/>
      <c r="AE127" s="63" t="str">
        <f aca="false">IF(Tasks[[#This Row],[Task Name]]="","",IF(Tasks[[#This Row],[_IsSummary]],MIN(INDEX(Tasks[_ShownFcstStart],Tasks[[#This Row],[_Row]]+1):INDEX(Tasks[_ShownFcstStart],Tasks[[#This Row],[_Row]]+Tasks[[#This Row],[_Descendants]])),Tasks[[#This Row],[_ShownFcstStart]]))</f>
        <v/>
      </c>
      <c r="AF127" s="63"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7" s="7"/>
      <c r="AK127" s="22"/>
      <c r="AL127" s="23"/>
      <c r="AM127" s="7"/>
      <c r="AN127" s="47"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3" t="str">
        <f aca="false">IF(Tasks[[#This Row],[Task Name]]="","",IF(N(Tasks[[#This Row],[Baseline Start]])&gt;0,Tasks[[#This Row],[Baseline Start]],Tasks[[#This Row],[_CalcStart]]))</f>
        <v/>
      </c>
      <c r="AR127" s="63" t="str">
        <f aca="false">IF(Tasks[[#This Row],[Task Name]]="","",IF(N(Tasks[[#This Row],[Baseline Finish]])&gt;0,Tasks[[#This Row],[Baseline Finish]],Tasks[[#This Row],[_CalcFinish]]))</f>
        <v/>
      </c>
      <c r="AS127" s="47" t="str">
        <f aca="false">IF(Tasks[[#This Row],[Task Name]]="","",IF(Tasks[[#This Row],[Start]]&gt;=Tasks[[#This Row],[Planned Start]],NETWORKDAYS.INTL(Tasks[[#This Row],[Planned Start]],Tasks[[#This Row],[Start]],WorkWeek,Holidays)-1,1-NETWORKDAYS.INTL(Tasks[[#This Row],[Start]],Tasks[[#This Row],[Planned Start]],WorkWeek,Holidays)))</f>
        <v/>
      </c>
      <c r="AT127" s="63" t="str">
        <f aca="false">IF(Tasks[[#This Row],[Task Name]]="","",IF(Tasks[[#This Row],[_IsSummary]],MIN(INDEX(Tasks[_LeafLateStart],Tasks[[#This Row],[_Row]]+1):INDEX(Tasks[_LeafLateStart],Tasks[[#This Row],[_Row]]+Tasks[[#This Row],[_Descendants]])),Tasks[[#This Row],[_LeafLateStart]]))</f>
        <v/>
      </c>
      <c r="AU127" s="63" t="str">
        <f aca="false">IF(Tasks[[#This Row],[Task Name]]="","",IF(Tasks[[#This Row],[_IsSummary]],MAX(INDEX(Tasks[_LeafLateFinish],Tasks[[#This Row],[_Row]]+1):INDEX(Tasks[_LeafLateFinish],Tasks[[#This Row],[_Row]]+Tasks[[#This Row],[_Descendants]])),Tasks[[#This Row],[_LeafLateFinish]]))</f>
        <v/>
      </c>
      <c r="AV127" s="47"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5"/>
      <c r="BA1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6"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7"/>
      <c r="BJ127" s="22"/>
      <c r="BK127" s="47" t="str">
        <f aca="false">IF(OR(Tasks[[#This Row],[Task Name]]="",Tasks[[#This Row],[Baseline Duration]]=""),"",Tasks[[#This Row],[_SpanDays]]-N(Tasks[[#This Row],[Baseline Duration]]))</f>
        <v/>
      </c>
      <c r="BL127" s="86" t="str">
        <f aca="false">IF(OR(Tasks[[#This Row],[Task Name]]="",Tasks[[#This Row],[Baseline Work]]=""),"",Tasks[[#This Row],[Work]]-N(Tasks[[#This Row],[Baseline Work]]))</f>
        <v/>
      </c>
      <c r="BM127" s="63" t="str">
        <f aca="false">IF(Tasks[[#This Row],[Task Name]]="","",IF(OR(TakeBaseline="Yes",N(Tasks[[#This Row],[Baseline Start]])=0),Tasks[[#This Row],[Start]],Tasks[[#This Row],[Baseline Start]]))</f>
        <v/>
      </c>
      <c r="BN127" s="63" t="str">
        <f aca="false">IF(Tasks[[#This Row],[Task Name]]="","",IF(OR(TakeBaseline="Yes",N(Tasks[[#This Row],[Baseline Finish]])=0),Tasks[[#This Row],[Finish]],Tasks[[#This Row],[Baseline Finish]]))</f>
        <v/>
      </c>
      <c r="BO127" s="21" t="str">
        <f aca="false">IF(Tasks[[#This Row],[Task Name]]="","",IF(OR(TakeBaseline="Yes",N(Tasks[[#This Row],[Baseline Duration]])=0),Tasks[[#This Row],[_SpanDays]],Tasks[[#This Row],[Baseline Duration]]))</f>
        <v/>
      </c>
      <c r="BP127" s="86" t="str">
        <f aca="false">IF(Tasks[[#This Row],[Task Name]]="","",IF(OR(TakeBaseline="Yes",N(Tasks[[#This Row],[Baseline Work]])=0),Tasks[[#This Row],[Work]],Tasks[[#This Row],[Baseline Work]]))</f>
        <v/>
      </c>
      <c r="BQ127" s="7"/>
      <c r="BR127" s="7"/>
      <c r="BS127" s="22"/>
      <c r="BT127" s="88"/>
      <c r="BU127" s="23"/>
      <c r="BV127" s="23"/>
      <c r="BW127" s="23"/>
      <c r="BX127" s="89" t="str">
        <f aca="false">IF(AND(Tasks[[#This Row],[_IsLeaf]]=1,ISNUMBER(Tasks[[#This Row],[Optimistic]]),ISNUMBER(Tasks[[#This Row],[Pessimistic]])),ROUND((Tasks[[#This Row],[Optimistic]]+4*N(Tasks[[#This Row],[_Days]])+Tasks[[#This Row],[Pessimistic]])/6,1),"")</f>
        <v/>
      </c>
      <c r="BY127" s="87"/>
      <c r="BZ127" s="87"/>
      <c r="CA127" s="22"/>
      <c r="CB127" s="43" t="str">
        <f aca="false">IF(Tasks[[#This Row],[Task Name]]="","",MAX(1,N(Tasks[[#This Row],[Level]])))</f>
        <v/>
      </c>
      <c r="CC127" s="43" t="n">
        <f aca="false">ROW()-ROW(Tasks[[#Headers],[ID]])</f>
        <v>122</v>
      </c>
      <c r="CD127" s="43" t="n">
        <f aca="false">IF(OR(Tasks[[#This Row],[Task Name]]="",Tasks[[#This Row],[_Level]]&lt;=1),0,IFERROR(LOOKUP(2,1/(Tasks[[#Headers],[_Level]]:Tasks[[#This Row],[_Level]]=Tasks[[#This Row],[_Level]]-1),ROW(Tasks[[#Headers],[_Level]]:Tasks[[#This Row],[_Level]])),0))</f>
        <v>0</v>
      </c>
      <c r="CE127" s="43" t="n">
        <f aca="false">IFERROR(N(INDEX(Tasks[_Level],Tasks[[#This Row],[_Row]]+1)),0)</f>
        <v>0</v>
      </c>
      <c r="CF127" s="90" t="b">
        <f aca="false">AND(Tasks[[#This Row],[Task Name]]&lt;&gt;"",Tasks[[#This Row],[_NextLevel]]&gt;Tasks[[#This Row],[_Level]])</f>
        <v>0</v>
      </c>
      <c r="CG127" s="43" t="n">
        <f aca="false">IF(Tasks[[#This Row],[_IsSummary]],COUNTIF(Tasks[WBS],Tasks[[#This Row],[WBS]]&amp;".*"),0)</f>
        <v>0</v>
      </c>
      <c r="CH127" s="43" t="n">
        <f aca="false">IF(AND(Tasks[[#This Row],[Task Name]]&lt;&gt;"",NOT(Tasks[[#This Row],[_IsSummary]])),1,0)</f>
        <v>0</v>
      </c>
      <c r="CI127" s="43" t="n">
        <f aca="false">IF(N(Tasks[[#This Row],[_Pred1UID]])=0,0,IFERROR(MATCH(Tasks[[#This Row],[_Pred1UID]],Tasks[UID],0),-1))</f>
        <v>0</v>
      </c>
      <c r="CJ127" s="43" t="n">
        <f aca="false">IF(N(Tasks[[#This Row],[_Pred2UID]])=0,0,IFERROR(MATCH(Tasks[[#This Row],[_Pred2UID]],Tasks[UID],0),-1))</f>
        <v>0</v>
      </c>
      <c r="CK127" s="43" t="n">
        <f aca="false">IF(N(Tasks[[#This Row],[_Pred3UID]])=0,0,IFERROR(MATCH(Tasks[[#This Row],[_Pred3UID]],Tasks[UID],0),-1))</f>
        <v>0</v>
      </c>
      <c r="CL127" s="43" t="n">
        <f aca="false">IF(N(Tasks[[#This Row],[_Pred4UID]])=0,0,IFERROR(MATCH(Tasks[[#This Row],[_Pred4UID]],Tasks[UID],0),-1))</f>
        <v>0</v>
      </c>
      <c r="CM1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7" s="91" t="n">
        <f aca="false">IF(OR(Tasks[[#This Row],[_ConstraintCode]]=2,Tasks[[#This Row],[_ConstraintCode]]=3,Tasks[[#This Row],[_ConstraintCode]]=4,Tasks[[#This Row],[_ConstraintCode]]=6),Tasks[[#This Row],[_ConstraintStart]],0)</f>
        <v>0</v>
      </c>
      <c r="CP127" s="91" t="n">
        <f aca="false">IF(OR(Tasks[[#This Row],[_ConstraintCode]]=2,Tasks[[#This Row],[_ConstraintCode]]=3,Tasks[[#This Row],[_ConstraintCode]]=5,Tasks[[#This Row],[_ConstraintCode]]=7),Tasks[[#This Row],[_ConstraintStart]],2958465)</f>
        <v>2958465</v>
      </c>
      <c r="CQ1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91" t="str">
        <f aca="false">IF(NOT(Tasks[[#This Row],[_IsLeaf]]=1),"",IF(N(Tasks[[#This Row],[_Days]])&lt;=0,Tasks[[#This Row],[_LeafCalcStart]],WORKDAY.INTL(Tasks[[#This Row],[_LeafCalcStart]],Tasks[[#This Row],[_Days]]-1,WorkWeek,Holidays)))</f>
        <v/>
      </c>
      <c r="CS1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3" t="str">
        <f aca="false">IF(Tasks[[#This Row],[_Predecessors]]="","",TRIM(MID(SUBSTITUTE(SUBSTITUTE(SUBSTITUTE(UPPER(Tasks[[#This Row],[_Predecessors]]),";",",")," ",""),",",REPT(" ",99)),1,99)))</f>
        <v/>
      </c>
      <c r="CV127" s="43" t="str">
        <f aca="false">IF(Tasks[[#This Row],[_Pred1Text]]="","",IFERROR(VALUE(LEFT(Tasks[[#This Row],[_Pred1Text]],MIN(FIND("F",Tasks[[#This Row],[_Pred1Text]]&amp;"F"),FIND("S",Tasks[[#This Row],[_Pred1Text]]&amp;"S"),FIND("+",Tasks[[#This Row],[_Pred1Text]]&amp;"+"),FIND("-",Tasks[[#This Row],[_Pred1Text]]&amp;"-"))-1)),""))</f>
        <v/>
      </c>
      <c r="CW1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3" t="str">
        <f aca="false">IF(Tasks[[#This Row],[_Pred1Text]]="","",TRIM(MID(SUBSTITUTE(SUBSTITUTE(SUBSTITUTE(UPPER(Tasks[[#This Row],[_Predecessors]]),";",",")," ",""),",",REPT(" ",99)),100,99)))</f>
        <v/>
      </c>
      <c r="CZ127" s="43" t="str">
        <f aca="false">IF(Tasks[[#This Row],[_Pred2Text]]="","",IFERROR(VALUE(LEFT(Tasks[[#This Row],[_Pred2Text]],MIN(FIND("F",Tasks[[#This Row],[_Pred2Text]]&amp;"F"),FIND("S",Tasks[[#This Row],[_Pred2Text]]&amp;"S"),FIND("+",Tasks[[#This Row],[_Pred2Text]]&amp;"+"),FIND("-",Tasks[[#This Row],[_Pred2Text]]&amp;"-"))-1)),""))</f>
        <v/>
      </c>
      <c r="DA1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3" t="str">
        <f aca="false">IF(Tasks[[#This Row],[_Pred2Text]]="","",TRIM(MID(SUBSTITUTE(SUBSTITUTE(SUBSTITUTE(UPPER(Tasks[[#This Row],[_Predecessors]]),";",",")," ",""),",",REPT(" ",99)),199,99)))</f>
        <v/>
      </c>
      <c r="DD127" s="43" t="str">
        <f aca="false">IF(Tasks[[#This Row],[_Pred3Text]]="","",IFERROR(VALUE(LEFT(Tasks[[#This Row],[_Pred3Text]],MIN(FIND("F",Tasks[[#This Row],[_Pred3Text]]&amp;"F"),FIND("S",Tasks[[#This Row],[_Pred3Text]]&amp;"S"),FIND("+",Tasks[[#This Row],[_Pred3Text]]&amp;"+"),FIND("-",Tasks[[#This Row],[_Pred3Text]]&amp;"-"))-1)),""))</f>
        <v/>
      </c>
      <c r="DE1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3" t="str">
        <f aca="false">IF(Tasks[[#This Row],[_Pred3Text]]="","",TRIM(MID(SUBSTITUTE(SUBSTITUTE(SUBSTITUTE(UPPER(Tasks[[#This Row],[_Predecessors]]),";",",")," ",""),",",REPT(" ",99)),298,99)))</f>
        <v/>
      </c>
      <c r="DH127" s="43" t="str">
        <f aca="false">IF(Tasks[[#This Row],[_Pred4Text]]="","",IFERROR(VALUE(LEFT(Tasks[[#This Row],[_Pred4Text]],MIN(FIND("F",Tasks[[#This Row],[_Pred4Text]]&amp;"F"),FIND("S",Tasks[[#This Row],[_Pred4Text]]&amp;"S"),FIND("+",Tasks[[#This Row],[_Pred4Text]]&amp;"+"),FIND("-",Tasks[[#This Row],[_Pred4Text]]&amp;"-"))-1)),""))</f>
        <v/>
      </c>
      <c r="DI1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3" t="str">
        <f aca="false">IF(OR(Tasks[[#This Row],[Task Name]]="",Tasks[[#This Row],[_Resources]]=""),"",TRIM(MID(SUBSTITUTE(Tasks[[#This Row],[_Resources]],",",REPT(" ",99)),1,99)))</f>
        <v/>
      </c>
      <c r="DL127" s="43" t="str">
        <f aca="false">IF(Tasks[[#This Row],[_Res1Text]]="","",TRIM(MID(SUBSTITUTE(Tasks[[#This Row],[_Resources]],",",REPT(" ",99)),100,99)))</f>
        <v/>
      </c>
      <c r="DM127" s="43" t="str">
        <f aca="false">IF(Tasks[[#This Row],[_Res2Text]]="","",TRIM(MID(SUBSTITUTE(Tasks[[#This Row],[_Resources]],",",REPT(" ",99)),199,99)))</f>
        <v/>
      </c>
      <c r="DN127" s="43" t="str">
        <f aca="false">IF(Tasks[[#This Row],[_Res3Text]]="","",TRIM(MID(SUBSTITUTE(Tasks[[#This Row],[_Resources]],",",REPT(" ",99)),298,99)))</f>
        <v/>
      </c>
      <c r="DO127" s="43" t="n">
        <f aca="false">IF(Tasks[[#This Row],[_Res1Text]]="",0,IFERROR(MATCH(TRIM(LEFT(Tasks[[#This Row],[_Res1Text]],FIND("[",Tasks[[#This Row],[_Res1Text]]&amp;"[")-1)),res_Name,0),IFERROR(MATCH(TRIM(LEFT(Tasks[[#This Row],[_Res1Text]],FIND("[",Tasks[[#This Row],[_Res1Text]]&amp;"[")-1)),res_Initials,0),0)))</f>
        <v>0</v>
      </c>
      <c r="DP127" s="43" t="n">
        <f aca="false">IF(Tasks[[#This Row],[_Res2Text]]="",0,IFERROR(MATCH(TRIM(LEFT(Tasks[[#This Row],[_Res2Text]],FIND("[",Tasks[[#This Row],[_Res2Text]]&amp;"[")-1)),res_Name,0),IFERROR(MATCH(TRIM(LEFT(Tasks[[#This Row],[_Res2Text]],FIND("[",Tasks[[#This Row],[_Res2Text]]&amp;"[")-1)),res_Initials,0),0)))</f>
        <v>0</v>
      </c>
      <c r="DQ127" s="43" t="n">
        <f aca="false">IF(Tasks[[#This Row],[_Res3Text]]="",0,IFERROR(MATCH(TRIM(LEFT(Tasks[[#This Row],[_Res3Text]],FIND("[",Tasks[[#This Row],[_Res3Text]]&amp;"[")-1)),res_Name,0),IFERROR(MATCH(TRIM(LEFT(Tasks[[#This Row],[_Res3Text]],FIND("[",Tasks[[#This Row],[_Res3Text]]&amp;"[")-1)),res_Initials,0),0)))</f>
        <v>0</v>
      </c>
      <c r="DR127" s="43" t="n">
        <f aca="false">IF(Tasks[[#This Row],[_Res4Text]]="",0,IFERROR(MATCH(TRIM(LEFT(Tasks[[#This Row],[_Res4Text]],FIND("[",Tasks[[#This Row],[_Res4Text]]&amp;"[")-1)),res_Name,0),IFERROR(MATCH(TRIM(LEFT(Tasks[[#This Row],[_Res4Text]],FIND("[",Tasks[[#This Row],[_Res4Text]]&amp;"[")-1)),res_Initials,0),0)))</f>
        <v>0</v>
      </c>
      <c r="DS127" s="43" t="str">
        <f aca="false">IF(Tasks[[#This Row],[_Res1Text]]="","",IF(Tasks[[#This Row],[_Res1Row]]&gt;0,INDEX(res_Name,Tasks[[#This Row],[_Res1Row]]),TRIM(LEFT(Tasks[[#This Row],[_Res1Text]],FIND("[",Tasks[[#This Row],[_Res1Text]]&amp;"[")-1))))</f>
        <v/>
      </c>
      <c r="DT1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3" t="n">
        <f aca="false">IF(NOT(Tasks[[#This Row],[_IsLeaf]]=1),0,(Tasks[[#This Row],[_Resource1]]&lt;&gt;"")+(Tasks[[#This Row],[_Res2]]&lt;&gt;"")+(Tasks[[#This Row],[_Res3]]&lt;&gt;"")+(Tasks[[#This Row],[_Res4]]&lt;&gt;""))</f>
        <v>0</v>
      </c>
      <c r="DV127" s="43" t="str">
        <f aca="false">IF(Tasks[[#This Row],[_Res2Text]]="","",IF(Tasks[[#This Row],[_Res2Row]]&gt;0,INDEX(res_Name,Tasks[[#This Row],[_Res2Row]]),TRIM(LEFT(Tasks[[#This Row],[_Res2Text]],FIND("[",Tasks[[#This Row],[_Res2Text]]&amp;"[")-1))))</f>
        <v/>
      </c>
      <c r="DW1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3" t="n">
        <f aca="false">IF(OR(NOT(Tasks[[#This Row],[_IsLeaf]]=1),Tasks[[#This Row],[_Res2Row]]=0),0,N(Tasks[[#This Row],[_Days]])*HoursPerDay*IF(Tasks[[#This Row],[_Res2Units]]="",DefaultUnits,Tasks[[#This Row],[_Res2Units]]))</f>
        <v>0</v>
      </c>
      <c r="DY127" s="43" t="n">
        <f aca="false">IF(AND(AND(Tasks[[#This Row],[_IsLeaf]]=1,Tasks[[#This Row],[_LeafTotalWork]]&gt;0),Tasks[[#This Row],[_Res2Work]]&gt;0),Tasks[[#This Row],[_Res2Work]]/(Tasks[[#This Row],[_FinishWorkday]]-Tasks[[#This Row],[_StartWorkday]]+1),0)</f>
        <v>0</v>
      </c>
      <c r="DZ127" s="43" t="n">
        <f aca="false">Tasks[[#This Row],[_Res2WorkPerWD]]*MAX(0,Tasks[[#This Row],[_StartWorkday]]-1)</f>
        <v>0</v>
      </c>
      <c r="EA127" s="43" t="n">
        <f aca="false">Tasks[[#This Row],[_Res2Work]]*Tasks[[#This Row],[_LeafProgress]]</f>
        <v>0</v>
      </c>
      <c r="EB127" s="43" t="str">
        <f aca="false">IF(Tasks[[#This Row],[_Res3Text]]="","",IF(Tasks[[#This Row],[_Res3Row]]&gt;0,INDEX(res_Name,Tasks[[#This Row],[_Res3Row]]),TRIM(LEFT(Tasks[[#This Row],[_Res3Text]],FIND("[",Tasks[[#This Row],[_Res3Text]]&amp;"[")-1))))</f>
        <v/>
      </c>
      <c r="EC1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3" t="n">
        <f aca="false">IF(OR(NOT(Tasks[[#This Row],[_IsLeaf]]=1),Tasks[[#This Row],[_Res3Row]]=0),0,N(Tasks[[#This Row],[_Days]])*HoursPerDay*IF(Tasks[[#This Row],[_Res3Units]]="",DefaultUnits,Tasks[[#This Row],[_Res3Units]]))</f>
        <v>0</v>
      </c>
      <c r="EE127" s="43" t="n">
        <f aca="false">IF(AND(AND(Tasks[[#This Row],[_IsLeaf]]=1,Tasks[[#This Row],[_LeafTotalWork]]&gt;0),Tasks[[#This Row],[_Res3Work]]&gt;0),Tasks[[#This Row],[_Res3Work]]/(Tasks[[#This Row],[_FinishWorkday]]-Tasks[[#This Row],[_StartWorkday]]+1),0)</f>
        <v>0</v>
      </c>
      <c r="EF127" s="43" t="n">
        <f aca="false">Tasks[[#This Row],[_Res3WorkPerWD]]*MAX(0,Tasks[[#This Row],[_StartWorkday]]-1)</f>
        <v>0</v>
      </c>
      <c r="EG127" s="43" t="n">
        <f aca="false">Tasks[[#This Row],[_Res3Work]]*Tasks[[#This Row],[_LeafProgress]]</f>
        <v>0</v>
      </c>
      <c r="EH127" s="43" t="str">
        <f aca="false">IF(Tasks[[#This Row],[_Res4Text]]="","",IF(Tasks[[#This Row],[_Res4Row]]&gt;0,INDEX(res_Name,Tasks[[#This Row],[_Res4Row]]),TRIM(LEFT(Tasks[[#This Row],[_Res4Text]],FIND("[",Tasks[[#This Row],[_Res4Text]]&amp;"[")-1))))</f>
        <v/>
      </c>
      <c r="EI1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3" t="n">
        <f aca="false">IF(OR(NOT(Tasks[[#This Row],[_IsLeaf]]=1),Tasks[[#This Row],[_Res4Row]]=0),0,N(Tasks[[#This Row],[_Days]])*HoursPerDay*IF(Tasks[[#This Row],[_Res4Units]]="",DefaultUnits,Tasks[[#This Row],[_Res4Units]]))</f>
        <v>0</v>
      </c>
      <c r="EK127" s="43" t="n">
        <f aca="false">IF(AND(AND(Tasks[[#This Row],[_IsLeaf]]=1,Tasks[[#This Row],[_LeafTotalWork]]&gt;0),Tasks[[#This Row],[_Res4Work]]&gt;0),Tasks[[#This Row],[_Res4Work]]/(Tasks[[#This Row],[_FinishWorkday]]-Tasks[[#This Row],[_StartWorkday]]+1),0)</f>
        <v>0</v>
      </c>
      <c r="EL127" s="43" t="n">
        <f aca="false">Tasks[[#This Row],[_Res4WorkPerWD]]*MAX(0,Tasks[[#This Row],[_StartWorkday]]-1)</f>
        <v>0</v>
      </c>
      <c r="EM127" s="43" t="n">
        <f aca="false">Tasks[[#This Row],[_Res4Work]]*Tasks[[#This Row],[_LeafProgress]]</f>
        <v>0</v>
      </c>
      <c r="EN127" s="43" t="n">
        <f aca="false">IF(ISNUMBER(Tasks[[#This Row],[% Complete]]),Tasks[[#This Row],[% Complete]],IF(Tasks[[#This Row],[Stage]]="",0,IFERROR(INDEX(stg_Pct,MATCH(Tasks[[#This Row],[Stage]],stg_Name,0)),0)))</f>
        <v>0</v>
      </c>
      <c r="EO127" s="43" t="n">
        <f aca="false">IF(NOT(Tasks[[#This Row],[_IsLeaf]]=1),0,IF(N(Tasks[[#This Row],[Actual Finish]])&gt;0,1,MIN(1,Tasks[[#This Row],[_Pct]])))</f>
        <v>0</v>
      </c>
      <c r="EP127" s="43" t="n">
        <f aca="false">IF(OR(NOT(Tasks[[#This Row],[_IsLeaf]]=1),Tasks[[#This Row],[_Res1Row]]=0),0,N(Tasks[[#This Row],[_Days]])*HoursPerDay*IF(Tasks[[#This Row],[_Units1]]="",DefaultUnits,Tasks[[#This Row],[_Units1]]))</f>
        <v>0</v>
      </c>
      <c r="EQ127" s="43" t="n">
        <f aca="false">Tasks[[#This Row],[_LeafWork]]+Tasks[[#This Row],[_Res2Work]]+Tasks[[#This Row],[_Res3Work]]+Tasks[[#This Row],[_Res4Work]]</f>
        <v>0</v>
      </c>
      <c r="ER1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3" t="n">
        <f aca="false">IF(NOT(Tasks[[#This Row],[_IsLeaf]]=1),0,MAX(_xlfn.MAXIFS(Tasks[_Row],Tasks[_Pred1UID],Tasks[[#This Row],[UID]]),_xlfn.MAXIFS(Tasks[_Row],Tasks[_Pred2UID],Tasks[[#This Row],[UID]]),_xlfn.MAXIFS(Tasks[_Row],Tasks[_Pred3UID],Tasks[[#This Row],[UID]]),_xlfn.MAXIFS(Tasks[_Row],Tasks[_Pred4UID],Tasks[[#This Row],[UID]])))</f>
        <v>0</v>
      </c>
      <c r="FA1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91" t="str">
        <f aca="false">IF(NOT(Tasks[[#This Row],[_IsLeaf]]=1),"",IF(N(Tasks[[#This Row],[_Days]])&lt;=0,Tasks[[#This Row],[_LeafLateFinish]],WORKDAY.INTL(Tasks[[#This Row],[_LeafLateFinish]],-(Tasks[[#This Row],[_Days]]-1),WorkWeek,Holidays)))</f>
        <v/>
      </c>
      <c r="FD1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7" s="90" t="b">
        <f aca="false">AND(Tasks[[#This Row],[_IsLeaf]]=1,Tasks[[#This Row],[_LeafProgress]]&lt;1,N(Tasks[[#This Row],[_LeafTotalSlack]])&lt;=CriticalSlackDays)</f>
        <v>0</v>
      </c>
      <c r="FF127" s="43" t="n">
        <f aca="false">IF(AND(Tasks[[#This Row],[_IsLeaf]]=1,Tasks[[#This Row],[_ConstraintCode]]=1,Tasks[[#This Row],[Mode]]&lt;&gt;"Manual",N(Tasks[[#This Row],[Actual Start]])=0),MAX(0,N(Tasks[[#This Row],[Free Slack]])),0)</f>
        <v>0</v>
      </c>
      <c r="FG127" s="91" t="str">
        <f aca="false">IF(NOT(Tasks[[#This Row],[_IsLeaf]]=1),"",IF(Tasks[[#This Row],[_AlapShift]]=0,Tasks[[#This Row],[_LeafCalcStart]],WORKDAY.INTL(Tasks[[#This Row],[_LeafCalcStart]],Tasks[[#This Row],[_AlapShift]],WorkWeek,Holidays)))</f>
        <v/>
      </c>
      <c r="FH127" s="91" t="str">
        <f aca="false">IF(NOT(Tasks[[#This Row],[_IsLeaf]]=1),"",IF(Tasks[[#This Row],[_AlapShift]]=0,Tasks[[#This Row],[_LeafCalcFinish]],WORKDAY.INTL(Tasks[[#This Row],[_LeafCalcFinish]],Tasks[[#This Row],[_AlapShift]],WorkWeek,Holidays)))</f>
        <v/>
      </c>
      <c r="FI127" s="91" t="str">
        <f aca="false">IF(NOT(Tasks[[#This Row],[_IsLeaf]]=1),"",IF(Tasks[[#This Row],[_AlapShift]]=0,Tasks[[#This Row],[_LeafFcstStart]],WORKDAY.INTL(Tasks[[#This Row],[_LeafFcstStart]],Tasks[[#This Row],[_AlapShift]],WorkWeek,Holidays)))</f>
        <v/>
      </c>
      <c r="FJ127" s="91" t="str">
        <f aca="false">IF(NOT(Tasks[[#This Row],[_IsLeaf]]=1),"",IF(Tasks[[#This Row],[_AlapShift]]=0,Tasks[[#This Row],[_LeafFcstFinish]],WORKDAY.INTL(Tasks[[#This Row],[_LeafFcstFinish]],Tasks[[#This Row],[_AlapShift]],WorkWeek,Holidays)))</f>
        <v/>
      </c>
      <c r="FK127" s="91" t="str">
        <f aca="false">IF(Tasks[[#This Row],[Task Name]]="","",IF(Tasks[[#This Row],[_IsSummary]],MIN(INDEX(Tasks[_ShownCalcStart],Tasks[[#This Row],[_Row]]+1):INDEX(Tasks[_ShownCalcStart],Tasks[[#This Row],[_Row]]+Tasks[[#This Row],[_Descendants]])),Tasks[[#This Row],[_ShownCalcStart]]))</f>
        <v/>
      </c>
      <c r="FL127" s="91" t="str">
        <f aca="false">IF(Tasks[[#This Row],[Task Name]]="","",IF(Tasks[[#This Row],[_IsSummary]],MAX(INDEX(Tasks[_ShownCalcFinish],Tasks[[#This Row],[_Row]]+1):INDEX(Tasks[_ShownCalcFinish],Tasks[[#This Row],[_Row]]+Tasks[[#This Row],[_Descendants]])),Tasks[[#This Row],[_ShownCalcFinish]]))</f>
        <v/>
      </c>
      <c r="FM1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7" s="43" t="n">
        <f aca="false">IF(AND(Tasks[[#This Row],[_IsLeaf]]=1,Tasks[[#This Row],[_LeafTotalWork]]&gt;0),NETWORKDAYS.INTL(ProjectStart,Tasks[[#This Row],[_ShownFcstStart]],WorkWeek,Holidays),0)</f>
        <v>0</v>
      </c>
      <c r="FZ127" s="43" t="n">
        <f aca="false">IF(AND(Tasks[[#This Row],[_IsLeaf]]=1,Tasks[[#This Row],[_LeafTotalWork]]&gt;0),MAX(Tasks[[#This Row],[_StartWorkday]],NETWORKDAYS.INTL(ProjectStart,Tasks[[#This Row],[_ShownFcstFinish]],WorkWeek,Holidays)),0)</f>
        <v>0</v>
      </c>
      <c r="GA127" s="43" t="n">
        <f aca="false">IF(AND(Tasks[[#This Row],[_IsLeaf]]=1,Tasks[[#This Row],[_LeafTotalWork]]&gt;0),Tasks[[#This Row],[_LeafWork]]/(Tasks[[#This Row],[_FinishWorkday]]-Tasks[[#This Row],[_StartWorkday]]+1),0)</f>
        <v>0</v>
      </c>
      <c r="GB127" s="43" t="n">
        <f aca="false">Tasks[[#This Row],[_WorkPerWorkday]]*(Tasks[[#This Row],[_StartWorkday]]-1)</f>
        <v>-0</v>
      </c>
      <c r="GC127" s="43" t="n">
        <f aca="false">IF(Tasks[[#This Row],[_IsLeaf]]=1,MAX(N(Tasks[[#This Row],[_Days]]),0.1),0)</f>
        <v>0</v>
      </c>
      <c r="GD127" s="43" t="n">
        <f aca="false">Tasks[[#This Row],[_WeightDur]]*Tasks[[#This Row],[_LeafProgress]]</f>
        <v>0</v>
      </c>
      <c r="GE127" s="43" t="n">
        <f aca="false">Tasks[[#This Row],[_WeightDur]]*Tasks[[#This Row],[_PlannedPct]]</f>
        <v>0</v>
      </c>
      <c r="GF1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3" t="str">
        <f aca="false">IF(AND(Tasks[[#This Row],[_IsLeaf]]=1,N(Tasks[[#This Row],[_Days]])=0,Tasks[[#This Row],[_LeafProgress]]&lt;1),Tasks[[#This Row],[_ShownFcstFinish]]+Tasks[[#This Row],[_Row]]/100000,"")</f>
        <v/>
      </c>
      <c r="GH1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7" s="43" t="str">
        <f aca="false">IF(Tasks[[#This Row],[Task Name]]="","",LEFT(Tasks[[#This Row],[WBS]],FIND(".",Tasks[[#This Row],[WBS]]&amp;".")-1))</f>
        <v/>
      </c>
      <c r="GJ127" s="43" t="str">
        <f aca="false">IF(AND(Tasks[[#This Row],[Task Name]]&lt;&gt;"",Tasks[[#This Row],[_Level]]=1),Tasks[[#This Row],[_Row]],"")</f>
        <v/>
      </c>
      <c r="GK127" s="43" t="str">
        <f aca="false">IF(AND(Tasks[[#This Row],[_IsLeaf]]=1,N(Tasks[[#This Row],[_Days]])=0),Tasks[[#This Row],[Planned Finish]]+Tasks[[#This Row],[_Row]]/100000,"")</f>
        <v/>
      </c>
      <c r="GL127" s="43" t="str">
        <f aca="false">IF(AND(Tasks[[#This Row],[_IsLeaf]]=1,Tasks[[#This Row],[_LeafProgress]]&lt;1,OR(N(Tasks[[#This Row],[Finish Var]])&gt;0,Tasks[[#This Row],[Status]]="Late Start")),MAX(0,Tasks[[#This Row],[Finish Var]])+1-Tasks[[#This Row],[_Row]]/1000000,"")</f>
        <v/>
      </c>
      <c r="GM127" s="43" t="str">
        <f aca="false">IF(AND(Tasks[[#This Row],[_IsLeaf]]=1,N(Tasks[[#This Row],[Actual Start]])=0,Tasks[[#This Row],[_ShownFcstStart]]&gt;=StatusDate,Tasks[[#This Row],[_ShownFcstStart]]&lt;=LookaheadEnd),Tasks[[#This Row],[_ShownFcstStart]]+Tasks[[#This Row],[_Row]]/100000,"")</f>
        <v/>
      </c>
      <c r="GN127" s="43" t="str">
        <f aca="false">IF(AND(Tasks[[#This Row],[_IsLeaf]]=1,Tasks[[#This Row],[_LeafProgress]]&lt;1,Tasks[[#This Row],[_ShownFcstFinish]]&gt;=StatusDate,Tasks[[#This Row],[_ShownFcstFinish]]&lt;=LookaheadEnd),Tasks[[#This Row],[_ShownFcstFinish]]+Tasks[[#This Row],[_Row]]/100000,"")</f>
        <v/>
      </c>
      <c r="GO127" s="43" t="str">
        <f aca="false">IF(Tasks[[#This Row],[_LeafCritical]],Tasks[[#This Row],[_ShownFcstStart]]+Tasks[[#This Row],[_Row]]/100000,"")</f>
        <v/>
      </c>
      <c r="GP127" s="43" t="n">
        <f aca="false">Tasks[[#This Row],[_LeafWork]]*Tasks[[#This Row],[_LeafProgress]]</f>
        <v>0</v>
      </c>
      <c r="GQ127" s="91" t="str">
        <f aca="false">IF(AND(Tasks[[#This Row],[_IsLeaf]]=1,Tasks[[#This Row],[_LeafProgress]]&gt;=1),IF(N(Tasks[[#This Row],[Actual Finish]])&gt;0,Tasks[[#This Row],[Actual Finish]],Tasks[[#This Row],[_ShownFcstFinish]]),"")</f>
        <v/>
      </c>
      <c r="GR127" s="43" t="n">
        <f aca="false">IF(Tasks[[#This Row],[_IsLeaf]]=1,N(Tasks[[#This Row],[Story Points]]),0)</f>
        <v>0</v>
      </c>
      <c r="GS127" s="43" t="str">
        <f aca="false">""</f>
        <v/>
      </c>
      <c r="GT127" s="90" t="b">
        <f aca="false">IF(Tasks[[#This Row],[Task Name]]="",FALSE(),AND(Tasks[[#This Row],[_IsLeaf]]=1,N(Tasks[[#This Row],[_Days]])=0))</f>
        <v>0</v>
      </c>
      <c r="GU127" s="91" t="n">
        <f aca="false">IF(Tasks[[#This Row],[Task Name]]="",0,IF(AND(Tasks[[#This Row],[_IsLeaf]]=1,NOT(Tasks[[#This Row],[_IsMilestone]]),N(Tasks[[#This Row],[Progress]])&gt;0),Tasks[[#This Row],[Start]],0))</f>
        <v>0</v>
      </c>
      <c r="GV127" s="91" t="n">
        <f aca="false">IF(Tasks[[#This Row],[_DoneFrom]]=0,0,IF(Tasks[[#This Row],[Progress]]&gt;=1,Tasks[[#This Row],[Finish]],MAX(Tasks[[#This Row],[_DoneFrom]],Tasks[[#This Row],[Start]]+ROUND((Tasks[[#This Row],[Finish]]-Tasks[[#This Row],[Start]]+1)*Tasks[[#This Row],[Progress]],0)-1)))</f>
        <v>0</v>
      </c>
      <c r="GW127" s="91" t="n">
        <f aca="false">IF(Tasks[[#This Row],[Task Name]]="",0,IF(OR(NOT(Tasks[[#This Row],[_IsLeaf]]=1),Tasks[[#This Row],[_IsMilestone]],N(Tasks[[#This Row],[Progress]])&gt;=1),0,IF(Tasks[[#This Row],[_DoneTo]]&gt;0,Tasks[[#This Row],[_DoneTo]]+1,Tasks[[#This Row],[Start]])))</f>
        <v>0</v>
      </c>
      <c r="GX127" s="91" t="n">
        <f aca="false">IF(Tasks[[#This Row],[_RemFrom]]=0,0,Tasks[[#This Row],[Finish]])</f>
        <v>0</v>
      </c>
      <c r="GY127" s="90" t="b">
        <f aca="false">IF(Tasks[[#This Row],[Task Name]]="",FALSE(),OR(NOT(BaselineSet),N(Tasks[[#This Row],[Baseline Start]])&gt;0))</f>
        <v>0</v>
      </c>
      <c r="GZ12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92" t="str">
        <f aca="false">IF(Tasks[[#This Row],[_IsLeaf]]=1,Tasks[[#This Row],[_Row]],"")</f>
        <v/>
      </c>
      <c r="HD127" s="92" t="str">
        <f aca="false">IFERROR(INDEX(Tasks[UID],SMALL(Tasks[_PickKey],Tasks[[#This Row],[_Row]]))&amp;" "&amp;INDEX(Tasks[Task Name],SMALL(Tasks[_PickKey],Tasks[[#This Row],[_Row]])),"")</f>
        <v/>
      </c>
      <c r="HE127" s="43" t="str">
        <f aca="false">IF(Tasks[[#This Row],[Task Name]]="","",IF(Tasks[[#This Row],[_IsSummary]],NETWORKDAYS.INTL(Tasks[[#This Row],[Start]],Tasks[[#This Row],[Finish]],WorkWeek,Holidays),N(Tasks[[#This Row],[_Days]])))</f>
        <v/>
      </c>
      <c r="HF127" s="43" t="n">
        <f aca="false">IF(Tasks[[#This Row],[Expected]]="",0,((Tasks[[#This Row],[Pessimistic]]-Tasks[[#This Row],[Optimistic]])/6)^2)</f>
        <v>0</v>
      </c>
      <c r="HG127" s="43" t="n">
        <f aca="false">IF(Tasks[[#This Row],[Expected]]="",0,Tasks[[#This Row],[Expected]]-N(Tasks[[#This Row],[_Days]]))</f>
        <v>0</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4"/>
      <c r="U128" s="23"/>
      <c r="V128" s="84"/>
      <c r="W128" s="23"/>
      <c r="X128" s="84"/>
      <c r="Y128" s="23"/>
      <c r="Z128" s="84"/>
      <c r="AA128" s="23"/>
      <c r="AB128" s="23"/>
      <c r="AC128" s="7"/>
      <c r="AD128" s="7"/>
      <c r="AE128" s="63" t="str">
        <f aca="false">IF(Tasks[[#This Row],[Task Name]]="","",IF(Tasks[[#This Row],[_IsSummary]],MIN(INDEX(Tasks[_ShownFcstStart],Tasks[[#This Row],[_Row]]+1):INDEX(Tasks[_ShownFcstStart],Tasks[[#This Row],[_Row]]+Tasks[[#This Row],[_Descendants]])),Tasks[[#This Row],[_ShownFcstStart]]))</f>
        <v/>
      </c>
      <c r="AF128" s="63"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8" s="7"/>
      <c r="AK128" s="22"/>
      <c r="AL128" s="23"/>
      <c r="AM128" s="7"/>
      <c r="AN128" s="47"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3" t="str">
        <f aca="false">IF(Tasks[[#This Row],[Task Name]]="","",IF(N(Tasks[[#This Row],[Baseline Start]])&gt;0,Tasks[[#This Row],[Baseline Start]],Tasks[[#This Row],[_CalcStart]]))</f>
        <v/>
      </c>
      <c r="AR128" s="63" t="str">
        <f aca="false">IF(Tasks[[#This Row],[Task Name]]="","",IF(N(Tasks[[#This Row],[Baseline Finish]])&gt;0,Tasks[[#This Row],[Baseline Finish]],Tasks[[#This Row],[_CalcFinish]]))</f>
        <v/>
      </c>
      <c r="AS128" s="47" t="str">
        <f aca="false">IF(Tasks[[#This Row],[Task Name]]="","",IF(Tasks[[#This Row],[Start]]&gt;=Tasks[[#This Row],[Planned Start]],NETWORKDAYS.INTL(Tasks[[#This Row],[Planned Start]],Tasks[[#This Row],[Start]],WorkWeek,Holidays)-1,1-NETWORKDAYS.INTL(Tasks[[#This Row],[Start]],Tasks[[#This Row],[Planned Start]],WorkWeek,Holidays)))</f>
        <v/>
      </c>
      <c r="AT128" s="63" t="str">
        <f aca="false">IF(Tasks[[#This Row],[Task Name]]="","",IF(Tasks[[#This Row],[_IsSummary]],MIN(INDEX(Tasks[_LeafLateStart],Tasks[[#This Row],[_Row]]+1):INDEX(Tasks[_LeafLateStart],Tasks[[#This Row],[_Row]]+Tasks[[#This Row],[_Descendants]])),Tasks[[#This Row],[_LeafLateStart]]))</f>
        <v/>
      </c>
      <c r="AU128" s="63" t="str">
        <f aca="false">IF(Tasks[[#This Row],[Task Name]]="","",IF(Tasks[[#This Row],[_IsSummary]],MAX(INDEX(Tasks[_LeafLateFinish],Tasks[[#This Row],[_Row]]+1):INDEX(Tasks[_LeafLateFinish],Tasks[[#This Row],[_Row]]+Tasks[[#This Row],[_Descendants]])),Tasks[[#This Row],[_LeafLateFinish]]))</f>
        <v/>
      </c>
      <c r="AV128" s="47"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5"/>
      <c r="BA1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6"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7"/>
      <c r="BJ128" s="22"/>
      <c r="BK128" s="47" t="str">
        <f aca="false">IF(OR(Tasks[[#This Row],[Task Name]]="",Tasks[[#This Row],[Baseline Duration]]=""),"",Tasks[[#This Row],[_SpanDays]]-N(Tasks[[#This Row],[Baseline Duration]]))</f>
        <v/>
      </c>
      <c r="BL128" s="86" t="str">
        <f aca="false">IF(OR(Tasks[[#This Row],[Task Name]]="",Tasks[[#This Row],[Baseline Work]]=""),"",Tasks[[#This Row],[Work]]-N(Tasks[[#This Row],[Baseline Work]]))</f>
        <v/>
      </c>
      <c r="BM128" s="63" t="str">
        <f aca="false">IF(Tasks[[#This Row],[Task Name]]="","",IF(OR(TakeBaseline="Yes",N(Tasks[[#This Row],[Baseline Start]])=0),Tasks[[#This Row],[Start]],Tasks[[#This Row],[Baseline Start]]))</f>
        <v/>
      </c>
      <c r="BN128" s="63" t="str">
        <f aca="false">IF(Tasks[[#This Row],[Task Name]]="","",IF(OR(TakeBaseline="Yes",N(Tasks[[#This Row],[Baseline Finish]])=0),Tasks[[#This Row],[Finish]],Tasks[[#This Row],[Baseline Finish]]))</f>
        <v/>
      </c>
      <c r="BO128" s="21" t="str">
        <f aca="false">IF(Tasks[[#This Row],[Task Name]]="","",IF(OR(TakeBaseline="Yes",N(Tasks[[#This Row],[Baseline Duration]])=0),Tasks[[#This Row],[_SpanDays]],Tasks[[#This Row],[Baseline Duration]]))</f>
        <v/>
      </c>
      <c r="BP128" s="86" t="str">
        <f aca="false">IF(Tasks[[#This Row],[Task Name]]="","",IF(OR(TakeBaseline="Yes",N(Tasks[[#This Row],[Baseline Work]])=0),Tasks[[#This Row],[Work]],Tasks[[#This Row],[Baseline Work]]))</f>
        <v/>
      </c>
      <c r="BQ128" s="7"/>
      <c r="BR128" s="7"/>
      <c r="BS128" s="22"/>
      <c r="BT128" s="88"/>
      <c r="BU128" s="23"/>
      <c r="BV128" s="23"/>
      <c r="BW128" s="23"/>
      <c r="BX128" s="89" t="str">
        <f aca="false">IF(AND(Tasks[[#This Row],[_IsLeaf]]=1,ISNUMBER(Tasks[[#This Row],[Optimistic]]),ISNUMBER(Tasks[[#This Row],[Pessimistic]])),ROUND((Tasks[[#This Row],[Optimistic]]+4*N(Tasks[[#This Row],[_Days]])+Tasks[[#This Row],[Pessimistic]])/6,1),"")</f>
        <v/>
      </c>
      <c r="BY128" s="87"/>
      <c r="BZ128" s="87"/>
      <c r="CA128" s="22"/>
      <c r="CB128" s="43" t="str">
        <f aca="false">IF(Tasks[[#This Row],[Task Name]]="","",MAX(1,N(Tasks[[#This Row],[Level]])))</f>
        <v/>
      </c>
      <c r="CC128" s="43" t="n">
        <f aca="false">ROW()-ROW(Tasks[[#Headers],[ID]])</f>
        <v>123</v>
      </c>
      <c r="CD128" s="43" t="n">
        <f aca="false">IF(OR(Tasks[[#This Row],[Task Name]]="",Tasks[[#This Row],[_Level]]&lt;=1),0,IFERROR(LOOKUP(2,1/(Tasks[[#Headers],[_Level]]:Tasks[[#This Row],[_Level]]=Tasks[[#This Row],[_Level]]-1),ROW(Tasks[[#Headers],[_Level]]:Tasks[[#This Row],[_Level]])),0))</f>
        <v>0</v>
      </c>
      <c r="CE128" s="43" t="n">
        <f aca="false">IFERROR(N(INDEX(Tasks[_Level],Tasks[[#This Row],[_Row]]+1)),0)</f>
        <v>0</v>
      </c>
      <c r="CF128" s="90" t="b">
        <f aca="false">AND(Tasks[[#This Row],[Task Name]]&lt;&gt;"",Tasks[[#This Row],[_NextLevel]]&gt;Tasks[[#This Row],[_Level]])</f>
        <v>0</v>
      </c>
      <c r="CG128" s="43" t="n">
        <f aca="false">IF(Tasks[[#This Row],[_IsSummary]],COUNTIF(Tasks[WBS],Tasks[[#This Row],[WBS]]&amp;".*"),0)</f>
        <v>0</v>
      </c>
      <c r="CH128" s="43" t="n">
        <f aca="false">IF(AND(Tasks[[#This Row],[Task Name]]&lt;&gt;"",NOT(Tasks[[#This Row],[_IsSummary]])),1,0)</f>
        <v>0</v>
      </c>
      <c r="CI128" s="43" t="n">
        <f aca="false">IF(N(Tasks[[#This Row],[_Pred1UID]])=0,0,IFERROR(MATCH(Tasks[[#This Row],[_Pred1UID]],Tasks[UID],0),-1))</f>
        <v>0</v>
      </c>
      <c r="CJ128" s="43" t="n">
        <f aca="false">IF(N(Tasks[[#This Row],[_Pred2UID]])=0,0,IFERROR(MATCH(Tasks[[#This Row],[_Pred2UID]],Tasks[UID],0),-1))</f>
        <v>0</v>
      </c>
      <c r="CK128" s="43" t="n">
        <f aca="false">IF(N(Tasks[[#This Row],[_Pred3UID]])=0,0,IFERROR(MATCH(Tasks[[#This Row],[_Pred3UID]],Tasks[UID],0),-1))</f>
        <v>0</v>
      </c>
      <c r="CL128" s="43" t="n">
        <f aca="false">IF(N(Tasks[[#This Row],[_Pred4UID]])=0,0,IFERROR(MATCH(Tasks[[#This Row],[_Pred4UID]],Tasks[UID],0),-1))</f>
        <v>0</v>
      </c>
      <c r="CM1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8" s="91" t="n">
        <f aca="false">IF(OR(Tasks[[#This Row],[_ConstraintCode]]=2,Tasks[[#This Row],[_ConstraintCode]]=3,Tasks[[#This Row],[_ConstraintCode]]=4,Tasks[[#This Row],[_ConstraintCode]]=6),Tasks[[#This Row],[_ConstraintStart]],0)</f>
        <v>0</v>
      </c>
      <c r="CP128" s="91" t="n">
        <f aca="false">IF(OR(Tasks[[#This Row],[_ConstraintCode]]=2,Tasks[[#This Row],[_ConstraintCode]]=3,Tasks[[#This Row],[_ConstraintCode]]=5,Tasks[[#This Row],[_ConstraintCode]]=7),Tasks[[#This Row],[_ConstraintStart]],2958465)</f>
        <v>2958465</v>
      </c>
      <c r="CQ1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91" t="str">
        <f aca="false">IF(NOT(Tasks[[#This Row],[_IsLeaf]]=1),"",IF(N(Tasks[[#This Row],[_Days]])&lt;=0,Tasks[[#This Row],[_LeafCalcStart]],WORKDAY.INTL(Tasks[[#This Row],[_LeafCalcStart]],Tasks[[#This Row],[_Days]]-1,WorkWeek,Holidays)))</f>
        <v/>
      </c>
      <c r="CS1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3" t="str">
        <f aca="false">IF(Tasks[[#This Row],[_Predecessors]]="","",TRIM(MID(SUBSTITUTE(SUBSTITUTE(SUBSTITUTE(UPPER(Tasks[[#This Row],[_Predecessors]]),";",",")," ",""),",",REPT(" ",99)),1,99)))</f>
        <v/>
      </c>
      <c r="CV128" s="43" t="str">
        <f aca="false">IF(Tasks[[#This Row],[_Pred1Text]]="","",IFERROR(VALUE(LEFT(Tasks[[#This Row],[_Pred1Text]],MIN(FIND("F",Tasks[[#This Row],[_Pred1Text]]&amp;"F"),FIND("S",Tasks[[#This Row],[_Pred1Text]]&amp;"S"),FIND("+",Tasks[[#This Row],[_Pred1Text]]&amp;"+"),FIND("-",Tasks[[#This Row],[_Pred1Text]]&amp;"-"))-1)),""))</f>
        <v/>
      </c>
      <c r="CW1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3" t="str">
        <f aca="false">IF(Tasks[[#This Row],[_Pred1Text]]="","",TRIM(MID(SUBSTITUTE(SUBSTITUTE(SUBSTITUTE(UPPER(Tasks[[#This Row],[_Predecessors]]),";",",")," ",""),",",REPT(" ",99)),100,99)))</f>
        <v/>
      </c>
      <c r="CZ128" s="43" t="str">
        <f aca="false">IF(Tasks[[#This Row],[_Pred2Text]]="","",IFERROR(VALUE(LEFT(Tasks[[#This Row],[_Pred2Text]],MIN(FIND("F",Tasks[[#This Row],[_Pred2Text]]&amp;"F"),FIND("S",Tasks[[#This Row],[_Pred2Text]]&amp;"S"),FIND("+",Tasks[[#This Row],[_Pred2Text]]&amp;"+"),FIND("-",Tasks[[#This Row],[_Pred2Text]]&amp;"-"))-1)),""))</f>
        <v/>
      </c>
      <c r="DA1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3" t="str">
        <f aca="false">IF(Tasks[[#This Row],[_Pred2Text]]="","",TRIM(MID(SUBSTITUTE(SUBSTITUTE(SUBSTITUTE(UPPER(Tasks[[#This Row],[_Predecessors]]),";",",")," ",""),",",REPT(" ",99)),199,99)))</f>
        <v/>
      </c>
      <c r="DD128" s="43" t="str">
        <f aca="false">IF(Tasks[[#This Row],[_Pred3Text]]="","",IFERROR(VALUE(LEFT(Tasks[[#This Row],[_Pred3Text]],MIN(FIND("F",Tasks[[#This Row],[_Pred3Text]]&amp;"F"),FIND("S",Tasks[[#This Row],[_Pred3Text]]&amp;"S"),FIND("+",Tasks[[#This Row],[_Pred3Text]]&amp;"+"),FIND("-",Tasks[[#This Row],[_Pred3Text]]&amp;"-"))-1)),""))</f>
        <v/>
      </c>
      <c r="DE1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3" t="str">
        <f aca="false">IF(Tasks[[#This Row],[_Pred3Text]]="","",TRIM(MID(SUBSTITUTE(SUBSTITUTE(SUBSTITUTE(UPPER(Tasks[[#This Row],[_Predecessors]]),";",",")," ",""),",",REPT(" ",99)),298,99)))</f>
        <v/>
      </c>
      <c r="DH128" s="43" t="str">
        <f aca="false">IF(Tasks[[#This Row],[_Pred4Text]]="","",IFERROR(VALUE(LEFT(Tasks[[#This Row],[_Pred4Text]],MIN(FIND("F",Tasks[[#This Row],[_Pred4Text]]&amp;"F"),FIND("S",Tasks[[#This Row],[_Pred4Text]]&amp;"S"),FIND("+",Tasks[[#This Row],[_Pred4Text]]&amp;"+"),FIND("-",Tasks[[#This Row],[_Pred4Text]]&amp;"-"))-1)),""))</f>
        <v/>
      </c>
      <c r="DI1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3" t="str">
        <f aca="false">IF(OR(Tasks[[#This Row],[Task Name]]="",Tasks[[#This Row],[_Resources]]=""),"",TRIM(MID(SUBSTITUTE(Tasks[[#This Row],[_Resources]],",",REPT(" ",99)),1,99)))</f>
        <v/>
      </c>
      <c r="DL128" s="43" t="str">
        <f aca="false">IF(Tasks[[#This Row],[_Res1Text]]="","",TRIM(MID(SUBSTITUTE(Tasks[[#This Row],[_Resources]],",",REPT(" ",99)),100,99)))</f>
        <v/>
      </c>
      <c r="DM128" s="43" t="str">
        <f aca="false">IF(Tasks[[#This Row],[_Res2Text]]="","",TRIM(MID(SUBSTITUTE(Tasks[[#This Row],[_Resources]],",",REPT(" ",99)),199,99)))</f>
        <v/>
      </c>
      <c r="DN128" s="43" t="str">
        <f aca="false">IF(Tasks[[#This Row],[_Res3Text]]="","",TRIM(MID(SUBSTITUTE(Tasks[[#This Row],[_Resources]],",",REPT(" ",99)),298,99)))</f>
        <v/>
      </c>
      <c r="DO128" s="43" t="n">
        <f aca="false">IF(Tasks[[#This Row],[_Res1Text]]="",0,IFERROR(MATCH(TRIM(LEFT(Tasks[[#This Row],[_Res1Text]],FIND("[",Tasks[[#This Row],[_Res1Text]]&amp;"[")-1)),res_Name,0),IFERROR(MATCH(TRIM(LEFT(Tasks[[#This Row],[_Res1Text]],FIND("[",Tasks[[#This Row],[_Res1Text]]&amp;"[")-1)),res_Initials,0),0)))</f>
        <v>0</v>
      </c>
      <c r="DP128" s="43" t="n">
        <f aca="false">IF(Tasks[[#This Row],[_Res2Text]]="",0,IFERROR(MATCH(TRIM(LEFT(Tasks[[#This Row],[_Res2Text]],FIND("[",Tasks[[#This Row],[_Res2Text]]&amp;"[")-1)),res_Name,0),IFERROR(MATCH(TRIM(LEFT(Tasks[[#This Row],[_Res2Text]],FIND("[",Tasks[[#This Row],[_Res2Text]]&amp;"[")-1)),res_Initials,0),0)))</f>
        <v>0</v>
      </c>
      <c r="DQ128" s="43" t="n">
        <f aca="false">IF(Tasks[[#This Row],[_Res3Text]]="",0,IFERROR(MATCH(TRIM(LEFT(Tasks[[#This Row],[_Res3Text]],FIND("[",Tasks[[#This Row],[_Res3Text]]&amp;"[")-1)),res_Name,0),IFERROR(MATCH(TRIM(LEFT(Tasks[[#This Row],[_Res3Text]],FIND("[",Tasks[[#This Row],[_Res3Text]]&amp;"[")-1)),res_Initials,0),0)))</f>
        <v>0</v>
      </c>
      <c r="DR128" s="43" t="n">
        <f aca="false">IF(Tasks[[#This Row],[_Res4Text]]="",0,IFERROR(MATCH(TRIM(LEFT(Tasks[[#This Row],[_Res4Text]],FIND("[",Tasks[[#This Row],[_Res4Text]]&amp;"[")-1)),res_Name,0),IFERROR(MATCH(TRIM(LEFT(Tasks[[#This Row],[_Res4Text]],FIND("[",Tasks[[#This Row],[_Res4Text]]&amp;"[")-1)),res_Initials,0),0)))</f>
        <v>0</v>
      </c>
      <c r="DS128" s="43" t="str">
        <f aca="false">IF(Tasks[[#This Row],[_Res1Text]]="","",IF(Tasks[[#This Row],[_Res1Row]]&gt;0,INDEX(res_Name,Tasks[[#This Row],[_Res1Row]]),TRIM(LEFT(Tasks[[#This Row],[_Res1Text]],FIND("[",Tasks[[#This Row],[_Res1Text]]&amp;"[")-1))))</f>
        <v/>
      </c>
      <c r="DT1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3" t="n">
        <f aca="false">IF(NOT(Tasks[[#This Row],[_IsLeaf]]=1),0,(Tasks[[#This Row],[_Resource1]]&lt;&gt;"")+(Tasks[[#This Row],[_Res2]]&lt;&gt;"")+(Tasks[[#This Row],[_Res3]]&lt;&gt;"")+(Tasks[[#This Row],[_Res4]]&lt;&gt;""))</f>
        <v>0</v>
      </c>
      <c r="DV128" s="43" t="str">
        <f aca="false">IF(Tasks[[#This Row],[_Res2Text]]="","",IF(Tasks[[#This Row],[_Res2Row]]&gt;0,INDEX(res_Name,Tasks[[#This Row],[_Res2Row]]),TRIM(LEFT(Tasks[[#This Row],[_Res2Text]],FIND("[",Tasks[[#This Row],[_Res2Text]]&amp;"[")-1))))</f>
        <v/>
      </c>
      <c r="DW1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3" t="n">
        <f aca="false">IF(OR(NOT(Tasks[[#This Row],[_IsLeaf]]=1),Tasks[[#This Row],[_Res2Row]]=0),0,N(Tasks[[#This Row],[_Days]])*HoursPerDay*IF(Tasks[[#This Row],[_Res2Units]]="",DefaultUnits,Tasks[[#This Row],[_Res2Units]]))</f>
        <v>0</v>
      </c>
      <c r="DY128" s="43" t="n">
        <f aca="false">IF(AND(AND(Tasks[[#This Row],[_IsLeaf]]=1,Tasks[[#This Row],[_LeafTotalWork]]&gt;0),Tasks[[#This Row],[_Res2Work]]&gt;0),Tasks[[#This Row],[_Res2Work]]/(Tasks[[#This Row],[_FinishWorkday]]-Tasks[[#This Row],[_StartWorkday]]+1),0)</f>
        <v>0</v>
      </c>
      <c r="DZ128" s="43" t="n">
        <f aca="false">Tasks[[#This Row],[_Res2WorkPerWD]]*MAX(0,Tasks[[#This Row],[_StartWorkday]]-1)</f>
        <v>0</v>
      </c>
      <c r="EA128" s="43" t="n">
        <f aca="false">Tasks[[#This Row],[_Res2Work]]*Tasks[[#This Row],[_LeafProgress]]</f>
        <v>0</v>
      </c>
      <c r="EB128" s="43" t="str">
        <f aca="false">IF(Tasks[[#This Row],[_Res3Text]]="","",IF(Tasks[[#This Row],[_Res3Row]]&gt;0,INDEX(res_Name,Tasks[[#This Row],[_Res3Row]]),TRIM(LEFT(Tasks[[#This Row],[_Res3Text]],FIND("[",Tasks[[#This Row],[_Res3Text]]&amp;"[")-1))))</f>
        <v/>
      </c>
      <c r="EC1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3" t="n">
        <f aca="false">IF(OR(NOT(Tasks[[#This Row],[_IsLeaf]]=1),Tasks[[#This Row],[_Res3Row]]=0),0,N(Tasks[[#This Row],[_Days]])*HoursPerDay*IF(Tasks[[#This Row],[_Res3Units]]="",DefaultUnits,Tasks[[#This Row],[_Res3Units]]))</f>
        <v>0</v>
      </c>
      <c r="EE128" s="43" t="n">
        <f aca="false">IF(AND(AND(Tasks[[#This Row],[_IsLeaf]]=1,Tasks[[#This Row],[_LeafTotalWork]]&gt;0),Tasks[[#This Row],[_Res3Work]]&gt;0),Tasks[[#This Row],[_Res3Work]]/(Tasks[[#This Row],[_FinishWorkday]]-Tasks[[#This Row],[_StartWorkday]]+1),0)</f>
        <v>0</v>
      </c>
      <c r="EF128" s="43" t="n">
        <f aca="false">Tasks[[#This Row],[_Res3WorkPerWD]]*MAX(0,Tasks[[#This Row],[_StartWorkday]]-1)</f>
        <v>0</v>
      </c>
      <c r="EG128" s="43" t="n">
        <f aca="false">Tasks[[#This Row],[_Res3Work]]*Tasks[[#This Row],[_LeafProgress]]</f>
        <v>0</v>
      </c>
      <c r="EH128" s="43" t="str">
        <f aca="false">IF(Tasks[[#This Row],[_Res4Text]]="","",IF(Tasks[[#This Row],[_Res4Row]]&gt;0,INDEX(res_Name,Tasks[[#This Row],[_Res4Row]]),TRIM(LEFT(Tasks[[#This Row],[_Res4Text]],FIND("[",Tasks[[#This Row],[_Res4Text]]&amp;"[")-1))))</f>
        <v/>
      </c>
      <c r="EI1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3" t="n">
        <f aca="false">IF(OR(NOT(Tasks[[#This Row],[_IsLeaf]]=1),Tasks[[#This Row],[_Res4Row]]=0),0,N(Tasks[[#This Row],[_Days]])*HoursPerDay*IF(Tasks[[#This Row],[_Res4Units]]="",DefaultUnits,Tasks[[#This Row],[_Res4Units]]))</f>
        <v>0</v>
      </c>
      <c r="EK128" s="43" t="n">
        <f aca="false">IF(AND(AND(Tasks[[#This Row],[_IsLeaf]]=1,Tasks[[#This Row],[_LeafTotalWork]]&gt;0),Tasks[[#This Row],[_Res4Work]]&gt;0),Tasks[[#This Row],[_Res4Work]]/(Tasks[[#This Row],[_FinishWorkday]]-Tasks[[#This Row],[_StartWorkday]]+1),0)</f>
        <v>0</v>
      </c>
      <c r="EL128" s="43" t="n">
        <f aca="false">Tasks[[#This Row],[_Res4WorkPerWD]]*MAX(0,Tasks[[#This Row],[_StartWorkday]]-1)</f>
        <v>0</v>
      </c>
      <c r="EM128" s="43" t="n">
        <f aca="false">Tasks[[#This Row],[_Res4Work]]*Tasks[[#This Row],[_LeafProgress]]</f>
        <v>0</v>
      </c>
      <c r="EN128" s="43" t="n">
        <f aca="false">IF(ISNUMBER(Tasks[[#This Row],[% Complete]]),Tasks[[#This Row],[% Complete]],IF(Tasks[[#This Row],[Stage]]="",0,IFERROR(INDEX(stg_Pct,MATCH(Tasks[[#This Row],[Stage]],stg_Name,0)),0)))</f>
        <v>0</v>
      </c>
      <c r="EO128" s="43" t="n">
        <f aca="false">IF(NOT(Tasks[[#This Row],[_IsLeaf]]=1),0,IF(N(Tasks[[#This Row],[Actual Finish]])&gt;0,1,MIN(1,Tasks[[#This Row],[_Pct]])))</f>
        <v>0</v>
      </c>
      <c r="EP128" s="43" t="n">
        <f aca="false">IF(OR(NOT(Tasks[[#This Row],[_IsLeaf]]=1),Tasks[[#This Row],[_Res1Row]]=0),0,N(Tasks[[#This Row],[_Days]])*HoursPerDay*IF(Tasks[[#This Row],[_Units1]]="",DefaultUnits,Tasks[[#This Row],[_Units1]]))</f>
        <v>0</v>
      </c>
      <c r="EQ128" s="43" t="n">
        <f aca="false">Tasks[[#This Row],[_LeafWork]]+Tasks[[#This Row],[_Res2Work]]+Tasks[[#This Row],[_Res3Work]]+Tasks[[#This Row],[_Res4Work]]</f>
        <v>0</v>
      </c>
      <c r="ER1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3" t="n">
        <f aca="false">IF(NOT(Tasks[[#This Row],[_IsLeaf]]=1),0,MAX(_xlfn.MAXIFS(Tasks[_Row],Tasks[_Pred1UID],Tasks[[#This Row],[UID]]),_xlfn.MAXIFS(Tasks[_Row],Tasks[_Pred2UID],Tasks[[#This Row],[UID]]),_xlfn.MAXIFS(Tasks[_Row],Tasks[_Pred3UID],Tasks[[#This Row],[UID]]),_xlfn.MAXIFS(Tasks[_Row],Tasks[_Pred4UID],Tasks[[#This Row],[UID]])))</f>
        <v>0</v>
      </c>
      <c r="FA1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91" t="str">
        <f aca="false">IF(NOT(Tasks[[#This Row],[_IsLeaf]]=1),"",IF(N(Tasks[[#This Row],[_Days]])&lt;=0,Tasks[[#This Row],[_LeafLateFinish]],WORKDAY.INTL(Tasks[[#This Row],[_LeafLateFinish]],-(Tasks[[#This Row],[_Days]]-1),WorkWeek,Holidays)))</f>
        <v/>
      </c>
      <c r="FD1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8" s="90" t="b">
        <f aca="false">AND(Tasks[[#This Row],[_IsLeaf]]=1,Tasks[[#This Row],[_LeafProgress]]&lt;1,N(Tasks[[#This Row],[_LeafTotalSlack]])&lt;=CriticalSlackDays)</f>
        <v>0</v>
      </c>
      <c r="FF128" s="43" t="n">
        <f aca="false">IF(AND(Tasks[[#This Row],[_IsLeaf]]=1,Tasks[[#This Row],[_ConstraintCode]]=1,Tasks[[#This Row],[Mode]]&lt;&gt;"Manual",N(Tasks[[#This Row],[Actual Start]])=0),MAX(0,N(Tasks[[#This Row],[Free Slack]])),0)</f>
        <v>0</v>
      </c>
      <c r="FG128" s="91" t="str">
        <f aca="false">IF(NOT(Tasks[[#This Row],[_IsLeaf]]=1),"",IF(Tasks[[#This Row],[_AlapShift]]=0,Tasks[[#This Row],[_LeafCalcStart]],WORKDAY.INTL(Tasks[[#This Row],[_LeafCalcStart]],Tasks[[#This Row],[_AlapShift]],WorkWeek,Holidays)))</f>
        <v/>
      </c>
      <c r="FH128" s="91" t="str">
        <f aca="false">IF(NOT(Tasks[[#This Row],[_IsLeaf]]=1),"",IF(Tasks[[#This Row],[_AlapShift]]=0,Tasks[[#This Row],[_LeafCalcFinish]],WORKDAY.INTL(Tasks[[#This Row],[_LeafCalcFinish]],Tasks[[#This Row],[_AlapShift]],WorkWeek,Holidays)))</f>
        <v/>
      </c>
      <c r="FI128" s="91" t="str">
        <f aca="false">IF(NOT(Tasks[[#This Row],[_IsLeaf]]=1),"",IF(Tasks[[#This Row],[_AlapShift]]=0,Tasks[[#This Row],[_LeafFcstStart]],WORKDAY.INTL(Tasks[[#This Row],[_LeafFcstStart]],Tasks[[#This Row],[_AlapShift]],WorkWeek,Holidays)))</f>
        <v/>
      </c>
      <c r="FJ128" s="91" t="str">
        <f aca="false">IF(NOT(Tasks[[#This Row],[_IsLeaf]]=1),"",IF(Tasks[[#This Row],[_AlapShift]]=0,Tasks[[#This Row],[_LeafFcstFinish]],WORKDAY.INTL(Tasks[[#This Row],[_LeafFcstFinish]],Tasks[[#This Row],[_AlapShift]],WorkWeek,Holidays)))</f>
        <v/>
      </c>
      <c r="FK128" s="91" t="str">
        <f aca="false">IF(Tasks[[#This Row],[Task Name]]="","",IF(Tasks[[#This Row],[_IsSummary]],MIN(INDEX(Tasks[_ShownCalcStart],Tasks[[#This Row],[_Row]]+1):INDEX(Tasks[_ShownCalcStart],Tasks[[#This Row],[_Row]]+Tasks[[#This Row],[_Descendants]])),Tasks[[#This Row],[_ShownCalcStart]]))</f>
        <v/>
      </c>
      <c r="FL128" s="91" t="str">
        <f aca="false">IF(Tasks[[#This Row],[Task Name]]="","",IF(Tasks[[#This Row],[_IsSummary]],MAX(INDEX(Tasks[_ShownCalcFinish],Tasks[[#This Row],[_Row]]+1):INDEX(Tasks[_ShownCalcFinish],Tasks[[#This Row],[_Row]]+Tasks[[#This Row],[_Descendants]])),Tasks[[#This Row],[_ShownCalcFinish]]))</f>
        <v/>
      </c>
      <c r="FM1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8" s="43" t="n">
        <f aca="false">IF(AND(Tasks[[#This Row],[_IsLeaf]]=1,Tasks[[#This Row],[_LeafTotalWork]]&gt;0),NETWORKDAYS.INTL(ProjectStart,Tasks[[#This Row],[_ShownFcstStart]],WorkWeek,Holidays),0)</f>
        <v>0</v>
      </c>
      <c r="FZ128" s="43" t="n">
        <f aca="false">IF(AND(Tasks[[#This Row],[_IsLeaf]]=1,Tasks[[#This Row],[_LeafTotalWork]]&gt;0),MAX(Tasks[[#This Row],[_StartWorkday]],NETWORKDAYS.INTL(ProjectStart,Tasks[[#This Row],[_ShownFcstFinish]],WorkWeek,Holidays)),0)</f>
        <v>0</v>
      </c>
      <c r="GA128" s="43" t="n">
        <f aca="false">IF(AND(Tasks[[#This Row],[_IsLeaf]]=1,Tasks[[#This Row],[_LeafTotalWork]]&gt;0),Tasks[[#This Row],[_LeafWork]]/(Tasks[[#This Row],[_FinishWorkday]]-Tasks[[#This Row],[_StartWorkday]]+1),0)</f>
        <v>0</v>
      </c>
      <c r="GB128" s="43" t="n">
        <f aca="false">Tasks[[#This Row],[_WorkPerWorkday]]*(Tasks[[#This Row],[_StartWorkday]]-1)</f>
        <v>-0</v>
      </c>
      <c r="GC128" s="43" t="n">
        <f aca="false">IF(Tasks[[#This Row],[_IsLeaf]]=1,MAX(N(Tasks[[#This Row],[_Days]]),0.1),0)</f>
        <v>0</v>
      </c>
      <c r="GD128" s="43" t="n">
        <f aca="false">Tasks[[#This Row],[_WeightDur]]*Tasks[[#This Row],[_LeafProgress]]</f>
        <v>0</v>
      </c>
      <c r="GE128" s="43" t="n">
        <f aca="false">Tasks[[#This Row],[_WeightDur]]*Tasks[[#This Row],[_PlannedPct]]</f>
        <v>0</v>
      </c>
      <c r="GF1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3" t="str">
        <f aca="false">IF(AND(Tasks[[#This Row],[_IsLeaf]]=1,N(Tasks[[#This Row],[_Days]])=0,Tasks[[#This Row],[_LeafProgress]]&lt;1),Tasks[[#This Row],[_ShownFcstFinish]]+Tasks[[#This Row],[_Row]]/100000,"")</f>
        <v/>
      </c>
      <c r="GH1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8" s="43" t="str">
        <f aca="false">IF(Tasks[[#This Row],[Task Name]]="","",LEFT(Tasks[[#This Row],[WBS]],FIND(".",Tasks[[#This Row],[WBS]]&amp;".")-1))</f>
        <v/>
      </c>
      <c r="GJ128" s="43" t="str">
        <f aca="false">IF(AND(Tasks[[#This Row],[Task Name]]&lt;&gt;"",Tasks[[#This Row],[_Level]]=1),Tasks[[#This Row],[_Row]],"")</f>
        <v/>
      </c>
      <c r="GK128" s="43" t="str">
        <f aca="false">IF(AND(Tasks[[#This Row],[_IsLeaf]]=1,N(Tasks[[#This Row],[_Days]])=0),Tasks[[#This Row],[Planned Finish]]+Tasks[[#This Row],[_Row]]/100000,"")</f>
        <v/>
      </c>
      <c r="GL128" s="43" t="str">
        <f aca="false">IF(AND(Tasks[[#This Row],[_IsLeaf]]=1,Tasks[[#This Row],[_LeafProgress]]&lt;1,OR(N(Tasks[[#This Row],[Finish Var]])&gt;0,Tasks[[#This Row],[Status]]="Late Start")),MAX(0,Tasks[[#This Row],[Finish Var]])+1-Tasks[[#This Row],[_Row]]/1000000,"")</f>
        <v/>
      </c>
      <c r="GM128" s="43" t="str">
        <f aca="false">IF(AND(Tasks[[#This Row],[_IsLeaf]]=1,N(Tasks[[#This Row],[Actual Start]])=0,Tasks[[#This Row],[_ShownFcstStart]]&gt;=StatusDate,Tasks[[#This Row],[_ShownFcstStart]]&lt;=LookaheadEnd),Tasks[[#This Row],[_ShownFcstStart]]+Tasks[[#This Row],[_Row]]/100000,"")</f>
        <v/>
      </c>
      <c r="GN128" s="43" t="str">
        <f aca="false">IF(AND(Tasks[[#This Row],[_IsLeaf]]=1,Tasks[[#This Row],[_LeafProgress]]&lt;1,Tasks[[#This Row],[_ShownFcstFinish]]&gt;=StatusDate,Tasks[[#This Row],[_ShownFcstFinish]]&lt;=LookaheadEnd),Tasks[[#This Row],[_ShownFcstFinish]]+Tasks[[#This Row],[_Row]]/100000,"")</f>
        <v/>
      </c>
      <c r="GO128" s="43" t="str">
        <f aca="false">IF(Tasks[[#This Row],[_LeafCritical]],Tasks[[#This Row],[_ShownFcstStart]]+Tasks[[#This Row],[_Row]]/100000,"")</f>
        <v/>
      </c>
      <c r="GP128" s="43" t="n">
        <f aca="false">Tasks[[#This Row],[_LeafWork]]*Tasks[[#This Row],[_LeafProgress]]</f>
        <v>0</v>
      </c>
      <c r="GQ128" s="91" t="str">
        <f aca="false">IF(AND(Tasks[[#This Row],[_IsLeaf]]=1,Tasks[[#This Row],[_LeafProgress]]&gt;=1),IF(N(Tasks[[#This Row],[Actual Finish]])&gt;0,Tasks[[#This Row],[Actual Finish]],Tasks[[#This Row],[_ShownFcstFinish]]),"")</f>
        <v/>
      </c>
      <c r="GR128" s="43" t="n">
        <f aca="false">IF(Tasks[[#This Row],[_IsLeaf]]=1,N(Tasks[[#This Row],[Story Points]]),0)</f>
        <v>0</v>
      </c>
      <c r="GS128" s="43" t="str">
        <f aca="false">""</f>
        <v/>
      </c>
      <c r="GT128" s="90" t="b">
        <f aca="false">IF(Tasks[[#This Row],[Task Name]]="",FALSE(),AND(Tasks[[#This Row],[_IsLeaf]]=1,N(Tasks[[#This Row],[_Days]])=0))</f>
        <v>0</v>
      </c>
      <c r="GU128" s="91" t="n">
        <f aca="false">IF(Tasks[[#This Row],[Task Name]]="",0,IF(AND(Tasks[[#This Row],[_IsLeaf]]=1,NOT(Tasks[[#This Row],[_IsMilestone]]),N(Tasks[[#This Row],[Progress]])&gt;0),Tasks[[#This Row],[Start]],0))</f>
        <v>0</v>
      </c>
      <c r="GV128" s="91" t="n">
        <f aca="false">IF(Tasks[[#This Row],[_DoneFrom]]=0,0,IF(Tasks[[#This Row],[Progress]]&gt;=1,Tasks[[#This Row],[Finish]],MAX(Tasks[[#This Row],[_DoneFrom]],Tasks[[#This Row],[Start]]+ROUND((Tasks[[#This Row],[Finish]]-Tasks[[#This Row],[Start]]+1)*Tasks[[#This Row],[Progress]],0)-1)))</f>
        <v>0</v>
      </c>
      <c r="GW128" s="91" t="n">
        <f aca="false">IF(Tasks[[#This Row],[Task Name]]="",0,IF(OR(NOT(Tasks[[#This Row],[_IsLeaf]]=1),Tasks[[#This Row],[_IsMilestone]],N(Tasks[[#This Row],[Progress]])&gt;=1),0,IF(Tasks[[#This Row],[_DoneTo]]&gt;0,Tasks[[#This Row],[_DoneTo]]+1,Tasks[[#This Row],[Start]])))</f>
        <v>0</v>
      </c>
      <c r="GX128" s="91" t="n">
        <f aca="false">IF(Tasks[[#This Row],[_RemFrom]]=0,0,Tasks[[#This Row],[Finish]])</f>
        <v>0</v>
      </c>
      <c r="GY128" s="90" t="b">
        <f aca="false">IF(Tasks[[#This Row],[Task Name]]="",FALSE(),OR(NOT(BaselineSet),N(Tasks[[#This Row],[Baseline Start]])&gt;0))</f>
        <v>0</v>
      </c>
      <c r="GZ12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92" t="str">
        <f aca="false">IF(Tasks[[#This Row],[_IsLeaf]]=1,Tasks[[#This Row],[_Row]],"")</f>
        <v/>
      </c>
      <c r="HD128" s="92" t="str">
        <f aca="false">IFERROR(INDEX(Tasks[UID],SMALL(Tasks[_PickKey],Tasks[[#This Row],[_Row]]))&amp;" "&amp;INDEX(Tasks[Task Name],SMALL(Tasks[_PickKey],Tasks[[#This Row],[_Row]])),"")</f>
        <v/>
      </c>
      <c r="HE128" s="43" t="str">
        <f aca="false">IF(Tasks[[#This Row],[Task Name]]="","",IF(Tasks[[#This Row],[_IsSummary]],NETWORKDAYS.INTL(Tasks[[#This Row],[Start]],Tasks[[#This Row],[Finish]],WorkWeek,Holidays),N(Tasks[[#This Row],[_Days]])))</f>
        <v/>
      </c>
      <c r="HF128" s="43" t="n">
        <f aca="false">IF(Tasks[[#This Row],[Expected]]="",0,((Tasks[[#This Row],[Pessimistic]]-Tasks[[#This Row],[Optimistic]])/6)^2)</f>
        <v>0</v>
      </c>
      <c r="HG128" s="43" t="n">
        <f aca="false">IF(Tasks[[#This Row],[Expected]]="",0,Tasks[[#This Row],[Expected]]-N(Tasks[[#This Row],[_Days]]))</f>
        <v>0</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4"/>
      <c r="U129" s="23"/>
      <c r="V129" s="84"/>
      <c r="W129" s="23"/>
      <c r="X129" s="84"/>
      <c r="Y129" s="23"/>
      <c r="Z129" s="84"/>
      <c r="AA129" s="23"/>
      <c r="AB129" s="23"/>
      <c r="AC129" s="7"/>
      <c r="AD129" s="7"/>
      <c r="AE129" s="63" t="str">
        <f aca="false">IF(Tasks[[#This Row],[Task Name]]="","",IF(Tasks[[#This Row],[_IsSummary]],MIN(INDEX(Tasks[_ShownFcstStart],Tasks[[#This Row],[_Row]]+1):INDEX(Tasks[_ShownFcstStart],Tasks[[#This Row],[_Row]]+Tasks[[#This Row],[_Descendants]])),Tasks[[#This Row],[_ShownFcstStart]]))</f>
        <v/>
      </c>
      <c r="AF129" s="63"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9" s="7"/>
      <c r="AK129" s="22"/>
      <c r="AL129" s="23"/>
      <c r="AM129" s="7"/>
      <c r="AN129" s="47"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3" t="str">
        <f aca="false">IF(Tasks[[#This Row],[Task Name]]="","",IF(N(Tasks[[#This Row],[Baseline Start]])&gt;0,Tasks[[#This Row],[Baseline Start]],Tasks[[#This Row],[_CalcStart]]))</f>
        <v/>
      </c>
      <c r="AR129" s="63" t="str">
        <f aca="false">IF(Tasks[[#This Row],[Task Name]]="","",IF(N(Tasks[[#This Row],[Baseline Finish]])&gt;0,Tasks[[#This Row],[Baseline Finish]],Tasks[[#This Row],[_CalcFinish]]))</f>
        <v/>
      </c>
      <c r="AS129" s="47" t="str">
        <f aca="false">IF(Tasks[[#This Row],[Task Name]]="","",IF(Tasks[[#This Row],[Start]]&gt;=Tasks[[#This Row],[Planned Start]],NETWORKDAYS.INTL(Tasks[[#This Row],[Planned Start]],Tasks[[#This Row],[Start]],WorkWeek,Holidays)-1,1-NETWORKDAYS.INTL(Tasks[[#This Row],[Start]],Tasks[[#This Row],[Planned Start]],WorkWeek,Holidays)))</f>
        <v/>
      </c>
      <c r="AT129" s="63" t="str">
        <f aca="false">IF(Tasks[[#This Row],[Task Name]]="","",IF(Tasks[[#This Row],[_IsSummary]],MIN(INDEX(Tasks[_LeafLateStart],Tasks[[#This Row],[_Row]]+1):INDEX(Tasks[_LeafLateStart],Tasks[[#This Row],[_Row]]+Tasks[[#This Row],[_Descendants]])),Tasks[[#This Row],[_LeafLateStart]]))</f>
        <v/>
      </c>
      <c r="AU129" s="63" t="str">
        <f aca="false">IF(Tasks[[#This Row],[Task Name]]="","",IF(Tasks[[#This Row],[_IsSummary]],MAX(INDEX(Tasks[_LeafLateFinish],Tasks[[#This Row],[_Row]]+1):INDEX(Tasks[_LeafLateFinish],Tasks[[#This Row],[_Row]]+Tasks[[#This Row],[_Descendants]])),Tasks[[#This Row],[_LeafLateFinish]]))</f>
        <v/>
      </c>
      <c r="AV129" s="47"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5"/>
      <c r="BA1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6"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7"/>
      <c r="BJ129" s="22"/>
      <c r="BK129" s="47" t="str">
        <f aca="false">IF(OR(Tasks[[#This Row],[Task Name]]="",Tasks[[#This Row],[Baseline Duration]]=""),"",Tasks[[#This Row],[_SpanDays]]-N(Tasks[[#This Row],[Baseline Duration]]))</f>
        <v/>
      </c>
      <c r="BL129" s="86" t="str">
        <f aca="false">IF(OR(Tasks[[#This Row],[Task Name]]="",Tasks[[#This Row],[Baseline Work]]=""),"",Tasks[[#This Row],[Work]]-N(Tasks[[#This Row],[Baseline Work]]))</f>
        <v/>
      </c>
      <c r="BM129" s="63" t="str">
        <f aca="false">IF(Tasks[[#This Row],[Task Name]]="","",IF(OR(TakeBaseline="Yes",N(Tasks[[#This Row],[Baseline Start]])=0),Tasks[[#This Row],[Start]],Tasks[[#This Row],[Baseline Start]]))</f>
        <v/>
      </c>
      <c r="BN129" s="63" t="str">
        <f aca="false">IF(Tasks[[#This Row],[Task Name]]="","",IF(OR(TakeBaseline="Yes",N(Tasks[[#This Row],[Baseline Finish]])=0),Tasks[[#This Row],[Finish]],Tasks[[#This Row],[Baseline Finish]]))</f>
        <v/>
      </c>
      <c r="BO129" s="21" t="str">
        <f aca="false">IF(Tasks[[#This Row],[Task Name]]="","",IF(OR(TakeBaseline="Yes",N(Tasks[[#This Row],[Baseline Duration]])=0),Tasks[[#This Row],[_SpanDays]],Tasks[[#This Row],[Baseline Duration]]))</f>
        <v/>
      </c>
      <c r="BP129" s="86" t="str">
        <f aca="false">IF(Tasks[[#This Row],[Task Name]]="","",IF(OR(TakeBaseline="Yes",N(Tasks[[#This Row],[Baseline Work]])=0),Tasks[[#This Row],[Work]],Tasks[[#This Row],[Baseline Work]]))</f>
        <v/>
      </c>
      <c r="BQ129" s="7"/>
      <c r="BR129" s="7"/>
      <c r="BS129" s="22"/>
      <c r="BT129" s="88"/>
      <c r="BU129" s="23"/>
      <c r="BV129" s="23"/>
      <c r="BW129" s="23"/>
      <c r="BX129" s="89" t="str">
        <f aca="false">IF(AND(Tasks[[#This Row],[_IsLeaf]]=1,ISNUMBER(Tasks[[#This Row],[Optimistic]]),ISNUMBER(Tasks[[#This Row],[Pessimistic]])),ROUND((Tasks[[#This Row],[Optimistic]]+4*N(Tasks[[#This Row],[_Days]])+Tasks[[#This Row],[Pessimistic]])/6,1),"")</f>
        <v/>
      </c>
      <c r="BY129" s="87"/>
      <c r="BZ129" s="87"/>
      <c r="CA129" s="22"/>
      <c r="CB129" s="43" t="str">
        <f aca="false">IF(Tasks[[#This Row],[Task Name]]="","",MAX(1,N(Tasks[[#This Row],[Level]])))</f>
        <v/>
      </c>
      <c r="CC129" s="43" t="n">
        <f aca="false">ROW()-ROW(Tasks[[#Headers],[ID]])</f>
        <v>124</v>
      </c>
      <c r="CD129" s="43" t="n">
        <f aca="false">IF(OR(Tasks[[#This Row],[Task Name]]="",Tasks[[#This Row],[_Level]]&lt;=1),0,IFERROR(LOOKUP(2,1/(Tasks[[#Headers],[_Level]]:Tasks[[#This Row],[_Level]]=Tasks[[#This Row],[_Level]]-1),ROW(Tasks[[#Headers],[_Level]]:Tasks[[#This Row],[_Level]])),0))</f>
        <v>0</v>
      </c>
      <c r="CE129" s="43" t="n">
        <f aca="false">IFERROR(N(INDEX(Tasks[_Level],Tasks[[#This Row],[_Row]]+1)),0)</f>
        <v>0</v>
      </c>
      <c r="CF129" s="90" t="b">
        <f aca="false">AND(Tasks[[#This Row],[Task Name]]&lt;&gt;"",Tasks[[#This Row],[_NextLevel]]&gt;Tasks[[#This Row],[_Level]])</f>
        <v>0</v>
      </c>
      <c r="CG129" s="43" t="n">
        <f aca="false">IF(Tasks[[#This Row],[_IsSummary]],COUNTIF(Tasks[WBS],Tasks[[#This Row],[WBS]]&amp;".*"),0)</f>
        <v>0</v>
      </c>
      <c r="CH129" s="43" t="n">
        <f aca="false">IF(AND(Tasks[[#This Row],[Task Name]]&lt;&gt;"",NOT(Tasks[[#This Row],[_IsSummary]])),1,0)</f>
        <v>0</v>
      </c>
      <c r="CI129" s="43" t="n">
        <f aca="false">IF(N(Tasks[[#This Row],[_Pred1UID]])=0,0,IFERROR(MATCH(Tasks[[#This Row],[_Pred1UID]],Tasks[UID],0),-1))</f>
        <v>0</v>
      </c>
      <c r="CJ129" s="43" t="n">
        <f aca="false">IF(N(Tasks[[#This Row],[_Pred2UID]])=0,0,IFERROR(MATCH(Tasks[[#This Row],[_Pred2UID]],Tasks[UID],0),-1))</f>
        <v>0</v>
      </c>
      <c r="CK129" s="43" t="n">
        <f aca="false">IF(N(Tasks[[#This Row],[_Pred3UID]])=0,0,IFERROR(MATCH(Tasks[[#This Row],[_Pred3UID]],Tasks[UID],0),-1))</f>
        <v>0</v>
      </c>
      <c r="CL129" s="43" t="n">
        <f aca="false">IF(N(Tasks[[#This Row],[_Pred4UID]])=0,0,IFERROR(MATCH(Tasks[[#This Row],[_Pred4UID]],Tasks[UID],0),-1))</f>
        <v>0</v>
      </c>
      <c r="CM1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9" s="91" t="n">
        <f aca="false">IF(OR(Tasks[[#This Row],[_ConstraintCode]]=2,Tasks[[#This Row],[_ConstraintCode]]=3,Tasks[[#This Row],[_ConstraintCode]]=4,Tasks[[#This Row],[_ConstraintCode]]=6),Tasks[[#This Row],[_ConstraintStart]],0)</f>
        <v>0</v>
      </c>
      <c r="CP129" s="91" t="n">
        <f aca="false">IF(OR(Tasks[[#This Row],[_ConstraintCode]]=2,Tasks[[#This Row],[_ConstraintCode]]=3,Tasks[[#This Row],[_ConstraintCode]]=5,Tasks[[#This Row],[_ConstraintCode]]=7),Tasks[[#This Row],[_ConstraintStart]],2958465)</f>
        <v>2958465</v>
      </c>
      <c r="CQ1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91" t="str">
        <f aca="false">IF(NOT(Tasks[[#This Row],[_IsLeaf]]=1),"",IF(N(Tasks[[#This Row],[_Days]])&lt;=0,Tasks[[#This Row],[_LeafCalcStart]],WORKDAY.INTL(Tasks[[#This Row],[_LeafCalcStart]],Tasks[[#This Row],[_Days]]-1,WorkWeek,Holidays)))</f>
        <v/>
      </c>
      <c r="CS1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3" t="str">
        <f aca="false">IF(Tasks[[#This Row],[_Predecessors]]="","",TRIM(MID(SUBSTITUTE(SUBSTITUTE(SUBSTITUTE(UPPER(Tasks[[#This Row],[_Predecessors]]),";",",")," ",""),",",REPT(" ",99)),1,99)))</f>
        <v/>
      </c>
      <c r="CV129" s="43" t="str">
        <f aca="false">IF(Tasks[[#This Row],[_Pred1Text]]="","",IFERROR(VALUE(LEFT(Tasks[[#This Row],[_Pred1Text]],MIN(FIND("F",Tasks[[#This Row],[_Pred1Text]]&amp;"F"),FIND("S",Tasks[[#This Row],[_Pred1Text]]&amp;"S"),FIND("+",Tasks[[#This Row],[_Pred1Text]]&amp;"+"),FIND("-",Tasks[[#This Row],[_Pred1Text]]&amp;"-"))-1)),""))</f>
        <v/>
      </c>
      <c r="CW1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3" t="str">
        <f aca="false">IF(Tasks[[#This Row],[_Pred1Text]]="","",TRIM(MID(SUBSTITUTE(SUBSTITUTE(SUBSTITUTE(UPPER(Tasks[[#This Row],[_Predecessors]]),";",",")," ",""),",",REPT(" ",99)),100,99)))</f>
        <v/>
      </c>
      <c r="CZ129" s="43" t="str">
        <f aca="false">IF(Tasks[[#This Row],[_Pred2Text]]="","",IFERROR(VALUE(LEFT(Tasks[[#This Row],[_Pred2Text]],MIN(FIND("F",Tasks[[#This Row],[_Pred2Text]]&amp;"F"),FIND("S",Tasks[[#This Row],[_Pred2Text]]&amp;"S"),FIND("+",Tasks[[#This Row],[_Pred2Text]]&amp;"+"),FIND("-",Tasks[[#This Row],[_Pred2Text]]&amp;"-"))-1)),""))</f>
        <v/>
      </c>
      <c r="DA1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3" t="str">
        <f aca="false">IF(Tasks[[#This Row],[_Pred2Text]]="","",TRIM(MID(SUBSTITUTE(SUBSTITUTE(SUBSTITUTE(UPPER(Tasks[[#This Row],[_Predecessors]]),";",",")," ",""),",",REPT(" ",99)),199,99)))</f>
        <v/>
      </c>
      <c r="DD129" s="43" t="str">
        <f aca="false">IF(Tasks[[#This Row],[_Pred3Text]]="","",IFERROR(VALUE(LEFT(Tasks[[#This Row],[_Pred3Text]],MIN(FIND("F",Tasks[[#This Row],[_Pred3Text]]&amp;"F"),FIND("S",Tasks[[#This Row],[_Pred3Text]]&amp;"S"),FIND("+",Tasks[[#This Row],[_Pred3Text]]&amp;"+"),FIND("-",Tasks[[#This Row],[_Pred3Text]]&amp;"-"))-1)),""))</f>
        <v/>
      </c>
      <c r="DE1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3" t="str">
        <f aca="false">IF(Tasks[[#This Row],[_Pred3Text]]="","",TRIM(MID(SUBSTITUTE(SUBSTITUTE(SUBSTITUTE(UPPER(Tasks[[#This Row],[_Predecessors]]),";",",")," ",""),",",REPT(" ",99)),298,99)))</f>
        <v/>
      </c>
      <c r="DH129" s="43" t="str">
        <f aca="false">IF(Tasks[[#This Row],[_Pred4Text]]="","",IFERROR(VALUE(LEFT(Tasks[[#This Row],[_Pred4Text]],MIN(FIND("F",Tasks[[#This Row],[_Pred4Text]]&amp;"F"),FIND("S",Tasks[[#This Row],[_Pred4Text]]&amp;"S"),FIND("+",Tasks[[#This Row],[_Pred4Text]]&amp;"+"),FIND("-",Tasks[[#This Row],[_Pred4Text]]&amp;"-"))-1)),""))</f>
        <v/>
      </c>
      <c r="DI1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3" t="str">
        <f aca="false">IF(OR(Tasks[[#This Row],[Task Name]]="",Tasks[[#This Row],[_Resources]]=""),"",TRIM(MID(SUBSTITUTE(Tasks[[#This Row],[_Resources]],",",REPT(" ",99)),1,99)))</f>
        <v/>
      </c>
      <c r="DL129" s="43" t="str">
        <f aca="false">IF(Tasks[[#This Row],[_Res1Text]]="","",TRIM(MID(SUBSTITUTE(Tasks[[#This Row],[_Resources]],",",REPT(" ",99)),100,99)))</f>
        <v/>
      </c>
      <c r="DM129" s="43" t="str">
        <f aca="false">IF(Tasks[[#This Row],[_Res2Text]]="","",TRIM(MID(SUBSTITUTE(Tasks[[#This Row],[_Resources]],",",REPT(" ",99)),199,99)))</f>
        <v/>
      </c>
      <c r="DN129" s="43" t="str">
        <f aca="false">IF(Tasks[[#This Row],[_Res3Text]]="","",TRIM(MID(SUBSTITUTE(Tasks[[#This Row],[_Resources]],",",REPT(" ",99)),298,99)))</f>
        <v/>
      </c>
      <c r="DO129" s="43" t="n">
        <f aca="false">IF(Tasks[[#This Row],[_Res1Text]]="",0,IFERROR(MATCH(TRIM(LEFT(Tasks[[#This Row],[_Res1Text]],FIND("[",Tasks[[#This Row],[_Res1Text]]&amp;"[")-1)),res_Name,0),IFERROR(MATCH(TRIM(LEFT(Tasks[[#This Row],[_Res1Text]],FIND("[",Tasks[[#This Row],[_Res1Text]]&amp;"[")-1)),res_Initials,0),0)))</f>
        <v>0</v>
      </c>
      <c r="DP129" s="43" t="n">
        <f aca="false">IF(Tasks[[#This Row],[_Res2Text]]="",0,IFERROR(MATCH(TRIM(LEFT(Tasks[[#This Row],[_Res2Text]],FIND("[",Tasks[[#This Row],[_Res2Text]]&amp;"[")-1)),res_Name,0),IFERROR(MATCH(TRIM(LEFT(Tasks[[#This Row],[_Res2Text]],FIND("[",Tasks[[#This Row],[_Res2Text]]&amp;"[")-1)),res_Initials,0),0)))</f>
        <v>0</v>
      </c>
      <c r="DQ129" s="43" t="n">
        <f aca="false">IF(Tasks[[#This Row],[_Res3Text]]="",0,IFERROR(MATCH(TRIM(LEFT(Tasks[[#This Row],[_Res3Text]],FIND("[",Tasks[[#This Row],[_Res3Text]]&amp;"[")-1)),res_Name,0),IFERROR(MATCH(TRIM(LEFT(Tasks[[#This Row],[_Res3Text]],FIND("[",Tasks[[#This Row],[_Res3Text]]&amp;"[")-1)),res_Initials,0),0)))</f>
        <v>0</v>
      </c>
      <c r="DR129" s="43" t="n">
        <f aca="false">IF(Tasks[[#This Row],[_Res4Text]]="",0,IFERROR(MATCH(TRIM(LEFT(Tasks[[#This Row],[_Res4Text]],FIND("[",Tasks[[#This Row],[_Res4Text]]&amp;"[")-1)),res_Name,0),IFERROR(MATCH(TRIM(LEFT(Tasks[[#This Row],[_Res4Text]],FIND("[",Tasks[[#This Row],[_Res4Text]]&amp;"[")-1)),res_Initials,0),0)))</f>
        <v>0</v>
      </c>
      <c r="DS129" s="43" t="str">
        <f aca="false">IF(Tasks[[#This Row],[_Res1Text]]="","",IF(Tasks[[#This Row],[_Res1Row]]&gt;0,INDEX(res_Name,Tasks[[#This Row],[_Res1Row]]),TRIM(LEFT(Tasks[[#This Row],[_Res1Text]],FIND("[",Tasks[[#This Row],[_Res1Text]]&amp;"[")-1))))</f>
        <v/>
      </c>
      <c r="DT1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3" t="n">
        <f aca="false">IF(NOT(Tasks[[#This Row],[_IsLeaf]]=1),0,(Tasks[[#This Row],[_Resource1]]&lt;&gt;"")+(Tasks[[#This Row],[_Res2]]&lt;&gt;"")+(Tasks[[#This Row],[_Res3]]&lt;&gt;"")+(Tasks[[#This Row],[_Res4]]&lt;&gt;""))</f>
        <v>0</v>
      </c>
      <c r="DV129" s="43" t="str">
        <f aca="false">IF(Tasks[[#This Row],[_Res2Text]]="","",IF(Tasks[[#This Row],[_Res2Row]]&gt;0,INDEX(res_Name,Tasks[[#This Row],[_Res2Row]]),TRIM(LEFT(Tasks[[#This Row],[_Res2Text]],FIND("[",Tasks[[#This Row],[_Res2Text]]&amp;"[")-1))))</f>
        <v/>
      </c>
      <c r="DW1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3" t="n">
        <f aca="false">IF(OR(NOT(Tasks[[#This Row],[_IsLeaf]]=1),Tasks[[#This Row],[_Res2Row]]=0),0,N(Tasks[[#This Row],[_Days]])*HoursPerDay*IF(Tasks[[#This Row],[_Res2Units]]="",DefaultUnits,Tasks[[#This Row],[_Res2Units]]))</f>
        <v>0</v>
      </c>
      <c r="DY129" s="43" t="n">
        <f aca="false">IF(AND(AND(Tasks[[#This Row],[_IsLeaf]]=1,Tasks[[#This Row],[_LeafTotalWork]]&gt;0),Tasks[[#This Row],[_Res2Work]]&gt;0),Tasks[[#This Row],[_Res2Work]]/(Tasks[[#This Row],[_FinishWorkday]]-Tasks[[#This Row],[_StartWorkday]]+1),0)</f>
        <v>0</v>
      </c>
      <c r="DZ129" s="43" t="n">
        <f aca="false">Tasks[[#This Row],[_Res2WorkPerWD]]*MAX(0,Tasks[[#This Row],[_StartWorkday]]-1)</f>
        <v>0</v>
      </c>
      <c r="EA129" s="43" t="n">
        <f aca="false">Tasks[[#This Row],[_Res2Work]]*Tasks[[#This Row],[_LeafProgress]]</f>
        <v>0</v>
      </c>
      <c r="EB129" s="43" t="str">
        <f aca="false">IF(Tasks[[#This Row],[_Res3Text]]="","",IF(Tasks[[#This Row],[_Res3Row]]&gt;0,INDEX(res_Name,Tasks[[#This Row],[_Res3Row]]),TRIM(LEFT(Tasks[[#This Row],[_Res3Text]],FIND("[",Tasks[[#This Row],[_Res3Text]]&amp;"[")-1))))</f>
        <v/>
      </c>
      <c r="EC1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3" t="n">
        <f aca="false">IF(OR(NOT(Tasks[[#This Row],[_IsLeaf]]=1),Tasks[[#This Row],[_Res3Row]]=0),0,N(Tasks[[#This Row],[_Days]])*HoursPerDay*IF(Tasks[[#This Row],[_Res3Units]]="",DefaultUnits,Tasks[[#This Row],[_Res3Units]]))</f>
        <v>0</v>
      </c>
      <c r="EE129" s="43" t="n">
        <f aca="false">IF(AND(AND(Tasks[[#This Row],[_IsLeaf]]=1,Tasks[[#This Row],[_LeafTotalWork]]&gt;0),Tasks[[#This Row],[_Res3Work]]&gt;0),Tasks[[#This Row],[_Res3Work]]/(Tasks[[#This Row],[_FinishWorkday]]-Tasks[[#This Row],[_StartWorkday]]+1),0)</f>
        <v>0</v>
      </c>
      <c r="EF129" s="43" t="n">
        <f aca="false">Tasks[[#This Row],[_Res3WorkPerWD]]*MAX(0,Tasks[[#This Row],[_StartWorkday]]-1)</f>
        <v>0</v>
      </c>
      <c r="EG129" s="43" t="n">
        <f aca="false">Tasks[[#This Row],[_Res3Work]]*Tasks[[#This Row],[_LeafProgress]]</f>
        <v>0</v>
      </c>
      <c r="EH129" s="43" t="str">
        <f aca="false">IF(Tasks[[#This Row],[_Res4Text]]="","",IF(Tasks[[#This Row],[_Res4Row]]&gt;0,INDEX(res_Name,Tasks[[#This Row],[_Res4Row]]),TRIM(LEFT(Tasks[[#This Row],[_Res4Text]],FIND("[",Tasks[[#This Row],[_Res4Text]]&amp;"[")-1))))</f>
        <v/>
      </c>
      <c r="EI1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3" t="n">
        <f aca="false">IF(OR(NOT(Tasks[[#This Row],[_IsLeaf]]=1),Tasks[[#This Row],[_Res4Row]]=0),0,N(Tasks[[#This Row],[_Days]])*HoursPerDay*IF(Tasks[[#This Row],[_Res4Units]]="",DefaultUnits,Tasks[[#This Row],[_Res4Units]]))</f>
        <v>0</v>
      </c>
      <c r="EK129" s="43" t="n">
        <f aca="false">IF(AND(AND(Tasks[[#This Row],[_IsLeaf]]=1,Tasks[[#This Row],[_LeafTotalWork]]&gt;0),Tasks[[#This Row],[_Res4Work]]&gt;0),Tasks[[#This Row],[_Res4Work]]/(Tasks[[#This Row],[_FinishWorkday]]-Tasks[[#This Row],[_StartWorkday]]+1),0)</f>
        <v>0</v>
      </c>
      <c r="EL129" s="43" t="n">
        <f aca="false">Tasks[[#This Row],[_Res4WorkPerWD]]*MAX(0,Tasks[[#This Row],[_StartWorkday]]-1)</f>
        <v>0</v>
      </c>
      <c r="EM129" s="43" t="n">
        <f aca="false">Tasks[[#This Row],[_Res4Work]]*Tasks[[#This Row],[_LeafProgress]]</f>
        <v>0</v>
      </c>
      <c r="EN129" s="43" t="n">
        <f aca="false">IF(ISNUMBER(Tasks[[#This Row],[% Complete]]),Tasks[[#This Row],[% Complete]],IF(Tasks[[#This Row],[Stage]]="",0,IFERROR(INDEX(stg_Pct,MATCH(Tasks[[#This Row],[Stage]],stg_Name,0)),0)))</f>
        <v>0</v>
      </c>
      <c r="EO129" s="43" t="n">
        <f aca="false">IF(NOT(Tasks[[#This Row],[_IsLeaf]]=1),0,IF(N(Tasks[[#This Row],[Actual Finish]])&gt;0,1,MIN(1,Tasks[[#This Row],[_Pct]])))</f>
        <v>0</v>
      </c>
      <c r="EP129" s="43" t="n">
        <f aca="false">IF(OR(NOT(Tasks[[#This Row],[_IsLeaf]]=1),Tasks[[#This Row],[_Res1Row]]=0),0,N(Tasks[[#This Row],[_Days]])*HoursPerDay*IF(Tasks[[#This Row],[_Units1]]="",DefaultUnits,Tasks[[#This Row],[_Units1]]))</f>
        <v>0</v>
      </c>
      <c r="EQ129" s="43" t="n">
        <f aca="false">Tasks[[#This Row],[_LeafWork]]+Tasks[[#This Row],[_Res2Work]]+Tasks[[#This Row],[_Res3Work]]+Tasks[[#This Row],[_Res4Work]]</f>
        <v>0</v>
      </c>
      <c r="ER1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3" t="n">
        <f aca="false">IF(NOT(Tasks[[#This Row],[_IsLeaf]]=1),0,MAX(_xlfn.MAXIFS(Tasks[_Row],Tasks[_Pred1UID],Tasks[[#This Row],[UID]]),_xlfn.MAXIFS(Tasks[_Row],Tasks[_Pred2UID],Tasks[[#This Row],[UID]]),_xlfn.MAXIFS(Tasks[_Row],Tasks[_Pred3UID],Tasks[[#This Row],[UID]]),_xlfn.MAXIFS(Tasks[_Row],Tasks[_Pred4UID],Tasks[[#This Row],[UID]])))</f>
        <v>0</v>
      </c>
      <c r="FA1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91" t="str">
        <f aca="false">IF(NOT(Tasks[[#This Row],[_IsLeaf]]=1),"",IF(N(Tasks[[#This Row],[_Days]])&lt;=0,Tasks[[#This Row],[_LeafLateFinish]],WORKDAY.INTL(Tasks[[#This Row],[_LeafLateFinish]],-(Tasks[[#This Row],[_Days]]-1),WorkWeek,Holidays)))</f>
        <v/>
      </c>
      <c r="FD1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9" s="90" t="b">
        <f aca="false">AND(Tasks[[#This Row],[_IsLeaf]]=1,Tasks[[#This Row],[_LeafProgress]]&lt;1,N(Tasks[[#This Row],[_LeafTotalSlack]])&lt;=CriticalSlackDays)</f>
        <v>0</v>
      </c>
      <c r="FF129" s="43" t="n">
        <f aca="false">IF(AND(Tasks[[#This Row],[_IsLeaf]]=1,Tasks[[#This Row],[_ConstraintCode]]=1,Tasks[[#This Row],[Mode]]&lt;&gt;"Manual",N(Tasks[[#This Row],[Actual Start]])=0),MAX(0,N(Tasks[[#This Row],[Free Slack]])),0)</f>
        <v>0</v>
      </c>
      <c r="FG129" s="91" t="str">
        <f aca="false">IF(NOT(Tasks[[#This Row],[_IsLeaf]]=1),"",IF(Tasks[[#This Row],[_AlapShift]]=0,Tasks[[#This Row],[_LeafCalcStart]],WORKDAY.INTL(Tasks[[#This Row],[_LeafCalcStart]],Tasks[[#This Row],[_AlapShift]],WorkWeek,Holidays)))</f>
        <v/>
      </c>
      <c r="FH129" s="91" t="str">
        <f aca="false">IF(NOT(Tasks[[#This Row],[_IsLeaf]]=1),"",IF(Tasks[[#This Row],[_AlapShift]]=0,Tasks[[#This Row],[_LeafCalcFinish]],WORKDAY.INTL(Tasks[[#This Row],[_LeafCalcFinish]],Tasks[[#This Row],[_AlapShift]],WorkWeek,Holidays)))</f>
        <v/>
      </c>
      <c r="FI129" s="91" t="str">
        <f aca="false">IF(NOT(Tasks[[#This Row],[_IsLeaf]]=1),"",IF(Tasks[[#This Row],[_AlapShift]]=0,Tasks[[#This Row],[_LeafFcstStart]],WORKDAY.INTL(Tasks[[#This Row],[_LeafFcstStart]],Tasks[[#This Row],[_AlapShift]],WorkWeek,Holidays)))</f>
        <v/>
      </c>
      <c r="FJ129" s="91" t="str">
        <f aca="false">IF(NOT(Tasks[[#This Row],[_IsLeaf]]=1),"",IF(Tasks[[#This Row],[_AlapShift]]=0,Tasks[[#This Row],[_LeafFcstFinish]],WORKDAY.INTL(Tasks[[#This Row],[_LeafFcstFinish]],Tasks[[#This Row],[_AlapShift]],WorkWeek,Holidays)))</f>
        <v/>
      </c>
      <c r="FK129" s="91" t="str">
        <f aca="false">IF(Tasks[[#This Row],[Task Name]]="","",IF(Tasks[[#This Row],[_IsSummary]],MIN(INDEX(Tasks[_ShownCalcStart],Tasks[[#This Row],[_Row]]+1):INDEX(Tasks[_ShownCalcStart],Tasks[[#This Row],[_Row]]+Tasks[[#This Row],[_Descendants]])),Tasks[[#This Row],[_ShownCalcStart]]))</f>
        <v/>
      </c>
      <c r="FL129" s="91" t="str">
        <f aca="false">IF(Tasks[[#This Row],[Task Name]]="","",IF(Tasks[[#This Row],[_IsSummary]],MAX(INDEX(Tasks[_ShownCalcFinish],Tasks[[#This Row],[_Row]]+1):INDEX(Tasks[_ShownCalcFinish],Tasks[[#This Row],[_Row]]+Tasks[[#This Row],[_Descendants]])),Tasks[[#This Row],[_ShownCalcFinish]]))</f>
        <v/>
      </c>
      <c r="FM1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9" s="43" t="n">
        <f aca="false">IF(AND(Tasks[[#This Row],[_IsLeaf]]=1,Tasks[[#This Row],[_LeafTotalWork]]&gt;0),NETWORKDAYS.INTL(ProjectStart,Tasks[[#This Row],[_ShownFcstStart]],WorkWeek,Holidays),0)</f>
        <v>0</v>
      </c>
      <c r="FZ129" s="43" t="n">
        <f aca="false">IF(AND(Tasks[[#This Row],[_IsLeaf]]=1,Tasks[[#This Row],[_LeafTotalWork]]&gt;0),MAX(Tasks[[#This Row],[_StartWorkday]],NETWORKDAYS.INTL(ProjectStart,Tasks[[#This Row],[_ShownFcstFinish]],WorkWeek,Holidays)),0)</f>
        <v>0</v>
      </c>
      <c r="GA129" s="43" t="n">
        <f aca="false">IF(AND(Tasks[[#This Row],[_IsLeaf]]=1,Tasks[[#This Row],[_LeafTotalWork]]&gt;0),Tasks[[#This Row],[_LeafWork]]/(Tasks[[#This Row],[_FinishWorkday]]-Tasks[[#This Row],[_StartWorkday]]+1),0)</f>
        <v>0</v>
      </c>
      <c r="GB129" s="43" t="n">
        <f aca="false">Tasks[[#This Row],[_WorkPerWorkday]]*(Tasks[[#This Row],[_StartWorkday]]-1)</f>
        <v>-0</v>
      </c>
      <c r="GC129" s="43" t="n">
        <f aca="false">IF(Tasks[[#This Row],[_IsLeaf]]=1,MAX(N(Tasks[[#This Row],[_Days]]),0.1),0)</f>
        <v>0</v>
      </c>
      <c r="GD129" s="43" t="n">
        <f aca="false">Tasks[[#This Row],[_WeightDur]]*Tasks[[#This Row],[_LeafProgress]]</f>
        <v>0</v>
      </c>
      <c r="GE129" s="43" t="n">
        <f aca="false">Tasks[[#This Row],[_WeightDur]]*Tasks[[#This Row],[_PlannedPct]]</f>
        <v>0</v>
      </c>
      <c r="GF1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3" t="str">
        <f aca="false">IF(AND(Tasks[[#This Row],[_IsLeaf]]=1,N(Tasks[[#This Row],[_Days]])=0,Tasks[[#This Row],[_LeafProgress]]&lt;1),Tasks[[#This Row],[_ShownFcstFinish]]+Tasks[[#This Row],[_Row]]/100000,"")</f>
        <v/>
      </c>
      <c r="GH1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9" s="43" t="str">
        <f aca="false">IF(Tasks[[#This Row],[Task Name]]="","",LEFT(Tasks[[#This Row],[WBS]],FIND(".",Tasks[[#This Row],[WBS]]&amp;".")-1))</f>
        <v/>
      </c>
      <c r="GJ129" s="43" t="str">
        <f aca="false">IF(AND(Tasks[[#This Row],[Task Name]]&lt;&gt;"",Tasks[[#This Row],[_Level]]=1),Tasks[[#This Row],[_Row]],"")</f>
        <v/>
      </c>
      <c r="GK129" s="43" t="str">
        <f aca="false">IF(AND(Tasks[[#This Row],[_IsLeaf]]=1,N(Tasks[[#This Row],[_Days]])=0),Tasks[[#This Row],[Planned Finish]]+Tasks[[#This Row],[_Row]]/100000,"")</f>
        <v/>
      </c>
      <c r="GL129" s="43" t="str">
        <f aca="false">IF(AND(Tasks[[#This Row],[_IsLeaf]]=1,Tasks[[#This Row],[_LeafProgress]]&lt;1,OR(N(Tasks[[#This Row],[Finish Var]])&gt;0,Tasks[[#This Row],[Status]]="Late Start")),MAX(0,Tasks[[#This Row],[Finish Var]])+1-Tasks[[#This Row],[_Row]]/1000000,"")</f>
        <v/>
      </c>
      <c r="GM129" s="43" t="str">
        <f aca="false">IF(AND(Tasks[[#This Row],[_IsLeaf]]=1,N(Tasks[[#This Row],[Actual Start]])=0,Tasks[[#This Row],[_ShownFcstStart]]&gt;=StatusDate,Tasks[[#This Row],[_ShownFcstStart]]&lt;=LookaheadEnd),Tasks[[#This Row],[_ShownFcstStart]]+Tasks[[#This Row],[_Row]]/100000,"")</f>
        <v/>
      </c>
      <c r="GN129" s="43" t="str">
        <f aca="false">IF(AND(Tasks[[#This Row],[_IsLeaf]]=1,Tasks[[#This Row],[_LeafProgress]]&lt;1,Tasks[[#This Row],[_ShownFcstFinish]]&gt;=StatusDate,Tasks[[#This Row],[_ShownFcstFinish]]&lt;=LookaheadEnd),Tasks[[#This Row],[_ShownFcstFinish]]+Tasks[[#This Row],[_Row]]/100000,"")</f>
        <v/>
      </c>
      <c r="GO129" s="43" t="str">
        <f aca="false">IF(Tasks[[#This Row],[_LeafCritical]],Tasks[[#This Row],[_ShownFcstStart]]+Tasks[[#This Row],[_Row]]/100000,"")</f>
        <v/>
      </c>
      <c r="GP129" s="43" t="n">
        <f aca="false">Tasks[[#This Row],[_LeafWork]]*Tasks[[#This Row],[_LeafProgress]]</f>
        <v>0</v>
      </c>
      <c r="GQ129" s="91" t="str">
        <f aca="false">IF(AND(Tasks[[#This Row],[_IsLeaf]]=1,Tasks[[#This Row],[_LeafProgress]]&gt;=1),IF(N(Tasks[[#This Row],[Actual Finish]])&gt;0,Tasks[[#This Row],[Actual Finish]],Tasks[[#This Row],[_ShownFcstFinish]]),"")</f>
        <v/>
      </c>
      <c r="GR129" s="43" t="n">
        <f aca="false">IF(Tasks[[#This Row],[_IsLeaf]]=1,N(Tasks[[#This Row],[Story Points]]),0)</f>
        <v>0</v>
      </c>
      <c r="GS129" s="43" t="str">
        <f aca="false">""</f>
        <v/>
      </c>
      <c r="GT129" s="90" t="b">
        <f aca="false">IF(Tasks[[#This Row],[Task Name]]="",FALSE(),AND(Tasks[[#This Row],[_IsLeaf]]=1,N(Tasks[[#This Row],[_Days]])=0))</f>
        <v>0</v>
      </c>
      <c r="GU129" s="91" t="n">
        <f aca="false">IF(Tasks[[#This Row],[Task Name]]="",0,IF(AND(Tasks[[#This Row],[_IsLeaf]]=1,NOT(Tasks[[#This Row],[_IsMilestone]]),N(Tasks[[#This Row],[Progress]])&gt;0),Tasks[[#This Row],[Start]],0))</f>
        <v>0</v>
      </c>
      <c r="GV129" s="91" t="n">
        <f aca="false">IF(Tasks[[#This Row],[_DoneFrom]]=0,0,IF(Tasks[[#This Row],[Progress]]&gt;=1,Tasks[[#This Row],[Finish]],MAX(Tasks[[#This Row],[_DoneFrom]],Tasks[[#This Row],[Start]]+ROUND((Tasks[[#This Row],[Finish]]-Tasks[[#This Row],[Start]]+1)*Tasks[[#This Row],[Progress]],0)-1)))</f>
        <v>0</v>
      </c>
      <c r="GW129" s="91" t="n">
        <f aca="false">IF(Tasks[[#This Row],[Task Name]]="",0,IF(OR(NOT(Tasks[[#This Row],[_IsLeaf]]=1),Tasks[[#This Row],[_IsMilestone]],N(Tasks[[#This Row],[Progress]])&gt;=1),0,IF(Tasks[[#This Row],[_DoneTo]]&gt;0,Tasks[[#This Row],[_DoneTo]]+1,Tasks[[#This Row],[Start]])))</f>
        <v>0</v>
      </c>
      <c r="GX129" s="91" t="n">
        <f aca="false">IF(Tasks[[#This Row],[_RemFrom]]=0,0,Tasks[[#This Row],[Finish]])</f>
        <v>0</v>
      </c>
      <c r="GY129" s="90" t="b">
        <f aca="false">IF(Tasks[[#This Row],[Task Name]]="",FALSE(),OR(NOT(BaselineSet),N(Tasks[[#This Row],[Baseline Start]])&gt;0))</f>
        <v>0</v>
      </c>
      <c r="GZ12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92" t="str">
        <f aca="false">IF(Tasks[[#This Row],[_IsLeaf]]=1,Tasks[[#This Row],[_Row]],"")</f>
        <v/>
      </c>
      <c r="HD129" s="92" t="str">
        <f aca="false">IFERROR(INDEX(Tasks[UID],SMALL(Tasks[_PickKey],Tasks[[#This Row],[_Row]]))&amp;" "&amp;INDEX(Tasks[Task Name],SMALL(Tasks[_PickKey],Tasks[[#This Row],[_Row]])),"")</f>
        <v/>
      </c>
      <c r="HE129" s="43" t="str">
        <f aca="false">IF(Tasks[[#This Row],[Task Name]]="","",IF(Tasks[[#This Row],[_IsSummary]],NETWORKDAYS.INTL(Tasks[[#This Row],[Start]],Tasks[[#This Row],[Finish]],WorkWeek,Holidays),N(Tasks[[#This Row],[_Days]])))</f>
        <v/>
      </c>
      <c r="HF129" s="43" t="n">
        <f aca="false">IF(Tasks[[#This Row],[Expected]]="",0,((Tasks[[#This Row],[Pessimistic]]-Tasks[[#This Row],[Optimistic]])/6)^2)</f>
        <v>0</v>
      </c>
      <c r="HG129" s="43" t="n">
        <f aca="false">IF(Tasks[[#This Row],[Expected]]="",0,Tasks[[#This Row],[Expected]]-N(Tasks[[#This Row],[_Days]]))</f>
        <v>0</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4"/>
      <c r="U130" s="23"/>
      <c r="V130" s="84"/>
      <c r="W130" s="23"/>
      <c r="X130" s="84"/>
      <c r="Y130" s="23"/>
      <c r="Z130" s="84"/>
      <c r="AA130" s="23"/>
      <c r="AB130" s="23"/>
      <c r="AC130" s="7"/>
      <c r="AD130" s="7"/>
      <c r="AE130" s="63" t="str">
        <f aca="false">IF(Tasks[[#This Row],[Task Name]]="","",IF(Tasks[[#This Row],[_IsSummary]],MIN(INDEX(Tasks[_ShownFcstStart],Tasks[[#This Row],[_Row]]+1):INDEX(Tasks[_ShownFcstStart],Tasks[[#This Row],[_Row]]+Tasks[[#This Row],[_Descendants]])),Tasks[[#This Row],[_ShownFcstStart]]))</f>
        <v/>
      </c>
      <c r="AF130" s="63"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0" s="7"/>
      <c r="AK130" s="22"/>
      <c r="AL130" s="23"/>
      <c r="AM130" s="7"/>
      <c r="AN130" s="47"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3" t="str">
        <f aca="false">IF(Tasks[[#This Row],[Task Name]]="","",IF(N(Tasks[[#This Row],[Baseline Start]])&gt;0,Tasks[[#This Row],[Baseline Start]],Tasks[[#This Row],[_CalcStart]]))</f>
        <v/>
      </c>
      <c r="AR130" s="63" t="str">
        <f aca="false">IF(Tasks[[#This Row],[Task Name]]="","",IF(N(Tasks[[#This Row],[Baseline Finish]])&gt;0,Tasks[[#This Row],[Baseline Finish]],Tasks[[#This Row],[_CalcFinish]]))</f>
        <v/>
      </c>
      <c r="AS130" s="47" t="str">
        <f aca="false">IF(Tasks[[#This Row],[Task Name]]="","",IF(Tasks[[#This Row],[Start]]&gt;=Tasks[[#This Row],[Planned Start]],NETWORKDAYS.INTL(Tasks[[#This Row],[Planned Start]],Tasks[[#This Row],[Start]],WorkWeek,Holidays)-1,1-NETWORKDAYS.INTL(Tasks[[#This Row],[Start]],Tasks[[#This Row],[Planned Start]],WorkWeek,Holidays)))</f>
        <v/>
      </c>
      <c r="AT130" s="63" t="str">
        <f aca="false">IF(Tasks[[#This Row],[Task Name]]="","",IF(Tasks[[#This Row],[_IsSummary]],MIN(INDEX(Tasks[_LeafLateStart],Tasks[[#This Row],[_Row]]+1):INDEX(Tasks[_LeafLateStart],Tasks[[#This Row],[_Row]]+Tasks[[#This Row],[_Descendants]])),Tasks[[#This Row],[_LeafLateStart]]))</f>
        <v/>
      </c>
      <c r="AU130" s="63" t="str">
        <f aca="false">IF(Tasks[[#This Row],[Task Name]]="","",IF(Tasks[[#This Row],[_IsSummary]],MAX(INDEX(Tasks[_LeafLateFinish],Tasks[[#This Row],[_Row]]+1):INDEX(Tasks[_LeafLateFinish],Tasks[[#This Row],[_Row]]+Tasks[[#This Row],[_Descendants]])),Tasks[[#This Row],[_LeafLateFinish]]))</f>
        <v/>
      </c>
      <c r="AV130" s="47"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5"/>
      <c r="BA1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6"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7"/>
      <c r="BJ130" s="22"/>
      <c r="BK130" s="47" t="str">
        <f aca="false">IF(OR(Tasks[[#This Row],[Task Name]]="",Tasks[[#This Row],[Baseline Duration]]=""),"",Tasks[[#This Row],[_SpanDays]]-N(Tasks[[#This Row],[Baseline Duration]]))</f>
        <v/>
      </c>
      <c r="BL130" s="86" t="str">
        <f aca="false">IF(OR(Tasks[[#This Row],[Task Name]]="",Tasks[[#This Row],[Baseline Work]]=""),"",Tasks[[#This Row],[Work]]-N(Tasks[[#This Row],[Baseline Work]]))</f>
        <v/>
      </c>
      <c r="BM130" s="63" t="str">
        <f aca="false">IF(Tasks[[#This Row],[Task Name]]="","",IF(OR(TakeBaseline="Yes",N(Tasks[[#This Row],[Baseline Start]])=0),Tasks[[#This Row],[Start]],Tasks[[#This Row],[Baseline Start]]))</f>
        <v/>
      </c>
      <c r="BN130" s="63" t="str">
        <f aca="false">IF(Tasks[[#This Row],[Task Name]]="","",IF(OR(TakeBaseline="Yes",N(Tasks[[#This Row],[Baseline Finish]])=0),Tasks[[#This Row],[Finish]],Tasks[[#This Row],[Baseline Finish]]))</f>
        <v/>
      </c>
      <c r="BO130" s="21" t="str">
        <f aca="false">IF(Tasks[[#This Row],[Task Name]]="","",IF(OR(TakeBaseline="Yes",N(Tasks[[#This Row],[Baseline Duration]])=0),Tasks[[#This Row],[_SpanDays]],Tasks[[#This Row],[Baseline Duration]]))</f>
        <v/>
      </c>
      <c r="BP130" s="86" t="str">
        <f aca="false">IF(Tasks[[#This Row],[Task Name]]="","",IF(OR(TakeBaseline="Yes",N(Tasks[[#This Row],[Baseline Work]])=0),Tasks[[#This Row],[Work]],Tasks[[#This Row],[Baseline Work]]))</f>
        <v/>
      </c>
      <c r="BQ130" s="7"/>
      <c r="BR130" s="7"/>
      <c r="BS130" s="22"/>
      <c r="BT130" s="88"/>
      <c r="BU130" s="23"/>
      <c r="BV130" s="23"/>
      <c r="BW130" s="23"/>
      <c r="BX130" s="89" t="str">
        <f aca="false">IF(AND(Tasks[[#This Row],[_IsLeaf]]=1,ISNUMBER(Tasks[[#This Row],[Optimistic]]),ISNUMBER(Tasks[[#This Row],[Pessimistic]])),ROUND((Tasks[[#This Row],[Optimistic]]+4*N(Tasks[[#This Row],[_Days]])+Tasks[[#This Row],[Pessimistic]])/6,1),"")</f>
        <v/>
      </c>
      <c r="BY130" s="87"/>
      <c r="BZ130" s="87"/>
      <c r="CA130" s="22"/>
      <c r="CB130" s="43" t="str">
        <f aca="false">IF(Tasks[[#This Row],[Task Name]]="","",MAX(1,N(Tasks[[#This Row],[Level]])))</f>
        <v/>
      </c>
      <c r="CC130" s="43" t="n">
        <f aca="false">ROW()-ROW(Tasks[[#Headers],[ID]])</f>
        <v>125</v>
      </c>
      <c r="CD130" s="43" t="n">
        <f aca="false">IF(OR(Tasks[[#This Row],[Task Name]]="",Tasks[[#This Row],[_Level]]&lt;=1),0,IFERROR(LOOKUP(2,1/(Tasks[[#Headers],[_Level]]:Tasks[[#This Row],[_Level]]=Tasks[[#This Row],[_Level]]-1),ROW(Tasks[[#Headers],[_Level]]:Tasks[[#This Row],[_Level]])),0))</f>
        <v>0</v>
      </c>
      <c r="CE130" s="43" t="n">
        <f aca="false">IFERROR(N(INDEX(Tasks[_Level],Tasks[[#This Row],[_Row]]+1)),0)</f>
        <v>0</v>
      </c>
      <c r="CF130" s="90" t="b">
        <f aca="false">AND(Tasks[[#This Row],[Task Name]]&lt;&gt;"",Tasks[[#This Row],[_NextLevel]]&gt;Tasks[[#This Row],[_Level]])</f>
        <v>0</v>
      </c>
      <c r="CG130" s="43" t="n">
        <f aca="false">IF(Tasks[[#This Row],[_IsSummary]],COUNTIF(Tasks[WBS],Tasks[[#This Row],[WBS]]&amp;".*"),0)</f>
        <v>0</v>
      </c>
      <c r="CH130" s="43" t="n">
        <f aca="false">IF(AND(Tasks[[#This Row],[Task Name]]&lt;&gt;"",NOT(Tasks[[#This Row],[_IsSummary]])),1,0)</f>
        <v>0</v>
      </c>
      <c r="CI130" s="43" t="n">
        <f aca="false">IF(N(Tasks[[#This Row],[_Pred1UID]])=0,0,IFERROR(MATCH(Tasks[[#This Row],[_Pred1UID]],Tasks[UID],0),-1))</f>
        <v>0</v>
      </c>
      <c r="CJ130" s="43" t="n">
        <f aca="false">IF(N(Tasks[[#This Row],[_Pred2UID]])=0,0,IFERROR(MATCH(Tasks[[#This Row],[_Pred2UID]],Tasks[UID],0),-1))</f>
        <v>0</v>
      </c>
      <c r="CK130" s="43" t="n">
        <f aca="false">IF(N(Tasks[[#This Row],[_Pred3UID]])=0,0,IFERROR(MATCH(Tasks[[#This Row],[_Pred3UID]],Tasks[UID],0),-1))</f>
        <v>0</v>
      </c>
      <c r="CL130" s="43" t="n">
        <f aca="false">IF(N(Tasks[[#This Row],[_Pred4UID]])=0,0,IFERROR(MATCH(Tasks[[#This Row],[_Pred4UID]],Tasks[UID],0),-1))</f>
        <v>0</v>
      </c>
      <c r="CM1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0" s="91" t="n">
        <f aca="false">IF(OR(Tasks[[#This Row],[_ConstraintCode]]=2,Tasks[[#This Row],[_ConstraintCode]]=3,Tasks[[#This Row],[_ConstraintCode]]=4,Tasks[[#This Row],[_ConstraintCode]]=6),Tasks[[#This Row],[_ConstraintStart]],0)</f>
        <v>0</v>
      </c>
      <c r="CP130" s="91" t="n">
        <f aca="false">IF(OR(Tasks[[#This Row],[_ConstraintCode]]=2,Tasks[[#This Row],[_ConstraintCode]]=3,Tasks[[#This Row],[_ConstraintCode]]=5,Tasks[[#This Row],[_ConstraintCode]]=7),Tasks[[#This Row],[_ConstraintStart]],2958465)</f>
        <v>2958465</v>
      </c>
      <c r="CQ1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91" t="str">
        <f aca="false">IF(NOT(Tasks[[#This Row],[_IsLeaf]]=1),"",IF(N(Tasks[[#This Row],[_Days]])&lt;=0,Tasks[[#This Row],[_LeafCalcStart]],WORKDAY.INTL(Tasks[[#This Row],[_LeafCalcStart]],Tasks[[#This Row],[_Days]]-1,WorkWeek,Holidays)))</f>
        <v/>
      </c>
      <c r="CS1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3" t="str">
        <f aca="false">IF(Tasks[[#This Row],[_Predecessors]]="","",TRIM(MID(SUBSTITUTE(SUBSTITUTE(SUBSTITUTE(UPPER(Tasks[[#This Row],[_Predecessors]]),";",",")," ",""),",",REPT(" ",99)),1,99)))</f>
        <v/>
      </c>
      <c r="CV130" s="43" t="str">
        <f aca="false">IF(Tasks[[#This Row],[_Pred1Text]]="","",IFERROR(VALUE(LEFT(Tasks[[#This Row],[_Pred1Text]],MIN(FIND("F",Tasks[[#This Row],[_Pred1Text]]&amp;"F"),FIND("S",Tasks[[#This Row],[_Pred1Text]]&amp;"S"),FIND("+",Tasks[[#This Row],[_Pred1Text]]&amp;"+"),FIND("-",Tasks[[#This Row],[_Pred1Text]]&amp;"-"))-1)),""))</f>
        <v/>
      </c>
      <c r="CW1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3" t="str">
        <f aca="false">IF(Tasks[[#This Row],[_Pred1Text]]="","",TRIM(MID(SUBSTITUTE(SUBSTITUTE(SUBSTITUTE(UPPER(Tasks[[#This Row],[_Predecessors]]),";",",")," ",""),",",REPT(" ",99)),100,99)))</f>
        <v/>
      </c>
      <c r="CZ130" s="43" t="str">
        <f aca="false">IF(Tasks[[#This Row],[_Pred2Text]]="","",IFERROR(VALUE(LEFT(Tasks[[#This Row],[_Pred2Text]],MIN(FIND("F",Tasks[[#This Row],[_Pred2Text]]&amp;"F"),FIND("S",Tasks[[#This Row],[_Pred2Text]]&amp;"S"),FIND("+",Tasks[[#This Row],[_Pred2Text]]&amp;"+"),FIND("-",Tasks[[#This Row],[_Pred2Text]]&amp;"-"))-1)),""))</f>
        <v/>
      </c>
      <c r="DA1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3" t="str">
        <f aca="false">IF(Tasks[[#This Row],[_Pred2Text]]="","",TRIM(MID(SUBSTITUTE(SUBSTITUTE(SUBSTITUTE(UPPER(Tasks[[#This Row],[_Predecessors]]),";",",")," ",""),",",REPT(" ",99)),199,99)))</f>
        <v/>
      </c>
      <c r="DD130" s="43" t="str">
        <f aca="false">IF(Tasks[[#This Row],[_Pred3Text]]="","",IFERROR(VALUE(LEFT(Tasks[[#This Row],[_Pred3Text]],MIN(FIND("F",Tasks[[#This Row],[_Pred3Text]]&amp;"F"),FIND("S",Tasks[[#This Row],[_Pred3Text]]&amp;"S"),FIND("+",Tasks[[#This Row],[_Pred3Text]]&amp;"+"),FIND("-",Tasks[[#This Row],[_Pred3Text]]&amp;"-"))-1)),""))</f>
        <v/>
      </c>
      <c r="DE1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3" t="str">
        <f aca="false">IF(Tasks[[#This Row],[_Pred3Text]]="","",TRIM(MID(SUBSTITUTE(SUBSTITUTE(SUBSTITUTE(UPPER(Tasks[[#This Row],[_Predecessors]]),";",",")," ",""),",",REPT(" ",99)),298,99)))</f>
        <v/>
      </c>
      <c r="DH130" s="43" t="str">
        <f aca="false">IF(Tasks[[#This Row],[_Pred4Text]]="","",IFERROR(VALUE(LEFT(Tasks[[#This Row],[_Pred4Text]],MIN(FIND("F",Tasks[[#This Row],[_Pred4Text]]&amp;"F"),FIND("S",Tasks[[#This Row],[_Pred4Text]]&amp;"S"),FIND("+",Tasks[[#This Row],[_Pred4Text]]&amp;"+"),FIND("-",Tasks[[#This Row],[_Pred4Text]]&amp;"-"))-1)),""))</f>
        <v/>
      </c>
      <c r="DI1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3" t="str">
        <f aca="false">IF(OR(Tasks[[#This Row],[Task Name]]="",Tasks[[#This Row],[_Resources]]=""),"",TRIM(MID(SUBSTITUTE(Tasks[[#This Row],[_Resources]],",",REPT(" ",99)),1,99)))</f>
        <v/>
      </c>
      <c r="DL130" s="43" t="str">
        <f aca="false">IF(Tasks[[#This Row],[_Res1Text]]="","",TRIM(MID(SUBSTITUTE(Tasks[[#This Row],[_Resources]],",",REPT(" ",99)),100,99)))</f>
        <v/>
      </c>
      <c r="DM130" s="43" t="str">
        <f aca="false">IF(Tasks[[#This Row],[_Res2Text]]="","",TRIM(MID(SUBSTITUTE(Tasks[[#This Row],[_Resources]],",",REPT(" ",99)),199,99)))</f>
        <v/>
      </c>
      <c r="DN130" s="43" t="str">
        <f aca="false">IF(Tasks[[#This Row],[_Res3Text]]="","",TRIM(MID(SUBSTITUTE(Tasks[[#This Row],[_Resources]],",",REPT(" ",99)),298,99)))</f>
        <v/>
      </c>
      <c r="DO130" s="43" t="n">
        <f aca="false">IF(Tasks[[#This Row],[_Res1Text]]="",0,IFERROR(MATCH(TRIM(LEFT(Tasks[[#This Row],[_Res1Text]],FIND("[",Tasks[[#This Row],[_Res1Text]]&amp;"[")-1)),res_Name,0),IFERROR(MATCH(TRIM(LEFT(Tasks[[#This Row],[_Res1Text]],FIND("[",Tasks[[#This Row],[_Res1Text]]&amp;"[")-1)),res_Initials,0),0)))</f>
        <v>0</v>
      </c>
      <c r="DP130" s="43" t="n">
        <f aca="false">IF(Tasks[[#This Row],[_Res2Text]]="",0,IFERROR(MATCH(TRIM(LEFT(Tasks[[#This Row],[_Res2Text]],FIND("[",Tasks[[#This Row],[_Res2Text]]&amp;"[")-1)),res_Name,0),IFERROR(MATCH(TRIM(LEFT(Tasks[[#This Row],[_Res2Text]],FIND("[",Tasks[[#This Row],[_Res2Text]]&amp;"[")-1)),res_Initials,0),0)))</f>
        <v>0</v>
      </c>
      <c r="DQ130" s="43" t="n">
        <f aca="false">IF(Tasks[[#This Row],[_Res3Text]]="",0,IFERROR(MATCH(TRIM(LEFT(Tasks[[#This Row],[_Res3Text]],FIND("[",Tasks[[#This Row],[_Res3Text]]&amp;"[")-1)),res_Name,0),IFERROR(MATCH(TRIM(LEFT(Tasks[[#This Row],[_Res3Text]],FIND("[",Tasks[[#This Row],[_Res3Text]]&amp;"[")-1)),res_Initials,0),0)))</f>
        <v>0</v>
      </c>
      <c r="DR130" s="43" t="n">
        <f aca="false">IF(Tasks[[#This Row],[_Res4Text]]="",0,IFERROR(MATCH(TRIM(LEFT(Tasks[[#This Row],[_Res4Text]],FIND("[",Tasks[[#This Row],[_Res4Text]]&amp;"[")-1)),res_Name,0),IFERROR(MATCH(TRIM(LEFT(Tasks[[#This Row],[_Res4Text]],FIND("[",Tasks[[#This Row],[_Res4Text]]&amp;"[")-1)),res_Initials,0),0)))</f>
        <v>0</v>
      </c>
      <c r="DS130" s="43" t="str">
        <f aca="false">IF(Tasks[[#This Row],[_Res1Text]]="","",IF(Tasks[[#This Row],[_Res1Row]]&gt;0,INDEX(res_Name,Tasks[[#This Row],[_Res1Row]]),TRIM(LEFT(Tasks[[#This Row],[_Res1Text]],FIND("[",Tasks[[#This Row],[_Res1Text]]&amp;"[")-1))))</f>
        <v/>
      </c>
      <c r="DT1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3" t="n">
        <f aca="false">IF(NOT(Tasks[[#This Row],[_IsLeaf]]=1),0,(Tasks[[#This Row],[_Resource1]]&lt;&gt;"")+(Tasks[[#This Row],[_Res2]]&lt;&gt;"")+(Tasks[[#This Row],[_Res3]]&lt;&gt;"")+(Tasks[[#This Row],[_Res4]]&lt;&gt;""))</f>
        <v>0</v>
      </c>
      <c r="DV130" s="43" t="str">
        <f aca="false">IF(Tasks[[#This Row],[_Res2Text]]="","",IF(Tasks[[#This Row],[_Res2Row]]&gt;0,INDEX(res_Name,Tasks[[#This Row],[_Res2Row]]),TRIM(LEFT(Tasks[[#This Row],[_Res2Text]],FIND("[",Tasks[[#This Row],[_Res2Text]]&amp;"[")-1))))</f>
        <v/>
      </c>
      <c r="DW1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3" t="n">
        <f aca="false">IF(OR(NOT(Tasks[[#This Row],[_IsLeaf]]=1),Tasks[[#This Row],[_Res2Row]]=0),0,N(Tasks[[#This Row],[_Days]])*HoursPerDay*IF(Tasks[[#This Row],[_Res2Units]]="",DefaultUnits,Tasks[[#This Row],[_Res2Units]]))</f>
        <v>0</v>
      </c>
      <c r="DY130" s="43" t="n">
        <f aca="false">IF(AND(AND(Tasks[[#This Row],[_IsLeaf]]=1,Tasks[[#This Row],[_LeafTotalWork]]&gt;0),Tasks[[#This Row],[_Res2Work]]&gt;0),Tasks[[#This Row],[_Res2Work]]/(Tasks[[#This Row],[_FinishWorkday]]-Tasks[[#This Row],[_StartWorkday]]+1),0)</f>
        <v>0</v>
      </c>
      <c r="DZ130" s="43" t="n">
        <f aca="false">Tasks[[#This Row],[_Res2WorkPerWD]]*MAX(0,Tasks[[#This Row],[_StartWorkday]]-1)</f>
        <v>0</v>
      </c>
      <c r="EA130" s="43" t="n">
        <f aca="false">Tasks[[#This Row],[_Res2Work]]*Tasks[[#This Row],[_LeafProgress]]</f>
        <v>0</v>
      </c>
      <c r="EB130" s="43" t="str">
        <f aca="false">IF(Tasks[[#This Row],[_Res3Text]]="","",IF(Tasks[[#This Row],[_Res3Row]]&gt;0,INDEX(res_Name,Tasks[[#This Row],[_Res3Row]]),TRIM(LEFT(Tasks[[#This Row],[_Res3Text]],FIND("[",Tasks[[#This Row],[_Res3Text]]&amp;"[")-1))))</f>
        <v/>
      </c>
      <c r="EC1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3" t="n">
        <f aca="false">IF(OR(NOT(Tasks[[#This Row],[_IsLeaf]]=1),Tasks[[#This Row],[_Res3Row]]=0),0,N(Tasks[[#This Row],[_Days]])*HoursPerDay*IF(Tasks[[#This Row],[_Res3Units]]="",DefaultUnits,Tasks[[#This Row],[_Res3Units]]))</f>
        <v>0</v>
      </c>
      <c r="EE130" s="43" t="n">
        <f aca="false">IF(AND(AND(Tasks[[#This Row],[_IsLeaf]]=1,Tasks[[#This Row],[_LeafTotalWork]]&gt;0),Tasks[[#This Row],[_Res3Work]]&gt;0),Tasks[[#This Row],[_Res3Work]]/(Tasks[[#This Row],[_FinishWorkday]]-Tasks[[#This Row],[_StartWorkday]]+1),0)</f>
        <v>0</v>
      </c>
      <c r="EF130" s="43" t="n">
        <f aca="false">Tasks[[#This Row],[_Res3WorkPerWD]]*MAX(0,Tasks[[#This Row],[_StartWorkday]]-1)</f>
        <v>0</v>
      </c>
      <c r="EG130" s="43" t="n">
        <f aca="false">Tasks[[#This Row],[_Res3Work]]*Tasks[[#This Row],[_LeafProgress]]</f>
        <v>0</v>
      </c>
      <c r="EH130" s="43" t="str">
        <f aca="false">IF(Tasks[[#This Row],[_Res4Text]]="","",IF(Tasks[[#This Row],[_Res4Row]]&gt;0,INDEX(res_Name,Tasks[[#This Row],[_Res4Row]]),TRIM(LEFT(Tasks[[#This Row],[_Res4Text]],FIND("[",Tasks[[#This Row],[_Res4Text]]&amp;"[")-1))))</f>
        <v/>
      </c>
      <c r="EI1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3" t="n">
        <f aca="false">IF(OR(NOT(Tasks[[#This Row],[_IsLeaf]]=1),Tasks[[#This Row],[_Res4Row]]=0),0,N(Tasks[[#This Row],[_Days]])*HoursPerDay*IF(Tasks[[#This Row],[_Res4Units]]="",DefaultUnits,Tasks[[#This Row],[_Res4Units]]))</f>
        <v>0</v>
      </c>
      <c r="EK130" s="43" t="n">
        <f aca="false">IF(AND(AND(Tasks[[#This Row],[_IsLeaf]]=1,Tasks[[#This Row],[_LeafTotalWork]]&gt;0),Tasks[[#This Row],[_Res4Work]]&gt;0),Tasks[[#This Row],[_Res4Work]]/(Tasks[[#This Row],[_FinishWorkday]]-Tasks[[#This Row],[_StartWorkday]]+1),0)</f>
        <v>0</v>
      </c>
      <c r="EL130" s="43" t="n">
        <f aca="false">Tasks[[#This Row],[_Res4WorkPerWD]]*MAX(0,Tasks[[#This Row],[_StartWorkday]]-1)</f>
        <v>0</v>
      </c>
      <c r="EM130" s="43" t="n">
        <f aca="false">Tasks[[#This Row],[_Res4Work]]*Tasks[[#This Row],[_LeafProgress]]</f>
        <v>0</v>
      </c>
      <c r="EN130" s="43" t="n">
        <f aca="false">IF(ISNUMBER(Tasks[[#This Row],[% Complete]]),Tasks[[#This Row],[% Complete]],IF(Tasks[[#This Row],[Stage]]="",0,IFERROR(INDEX(stg_Pct,MATCH(Tasks[[#This Row],[Stage]],stg_Name,0)),0)))</f>
        <v>0</v>
      </c>
      <c r="EO130" s="43" t="n">
        <f aca="false">IF(NOT(Tasks[[#This Row],[_IsLeaf]]=1),0,IF(N(Tasks[[#This Row],[Actual Finish]])&gt;0,1,MIN(1,Tasks[[#This Row],[_Pct]])))</f>
        <v>0</v>
      </c>
      <c r="EP130" s="43" t="n">
        <f aca="false">IF(OR(NOT(Tasks[[#This Row],[_IsLeaf]]=1),Tasks[[#This Row],[_Res1Row]]=0),0,N(Tasks[[#This Row],[_Days]])*HoursPerDay*IF(Tasks[[#This Row],[_Units1]]="",DefaultUnits,Tasks[[#This Row],[_Units1]]))</f>
        <v>0</v>
      </c>
      <c r="EQ130" s="43" t="n">
        <f aca="false">Tasks[[#This Row],[_LeafWork]]+Tasks[[#This Row],[_Res2Work]]+Tasks[[#This Row],[_Res3Work]]+Tasks[[#This Row],[_Res4Work]]</f>
        <v>0</v>
      </c>
      <c r="ER1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3" t="n">
        <f aca="false">IF(NOT(Tasks[[#This Row],[_IsLeaf]]=1),0,MAX(_xlfn.MAXIFS(Tasks[_Row],Tasks[_Pred1UID],Tasks[[#This Row],[UID]]),_xlfn.MAXIFS(Tasks[_Row],Tasks[_Pred2UID],Tasks[[#This Row],[UID]]),_xlfn.MAXIFS(Tasks[_Row],Tasks[_Pred3UID],Tasks[[#This Row],[UID]]),_xlfn.MAXIFS(Tasks[_Row],Tasks[_Pred4UID],Tasks[[#This Row],[UID]])))</f>
        <v>0</v>
      </c>
      <c r="FA1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91" t="str">
        <f aca="false">IF(NOT(Tasks[[#This Row],[_IsLeaf]]=1),"",IF(N(Tasks[[#This Row],[_Days]])&lt;=0,Tasks[[#This Row],[_LeafLateFinish]],WORKDAY.INTL(Tasks[[#This Row],[_LeafLateFinish]],-(Tasks[[#This Row],[_Days]]-1),WorkWeek,Holidays)))</f>
        <v/>
      </c>
      <c r="FD1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0" s="90" t="b">
        <f aca="false">AND(Tasks[[#This Row],[_IsLeaf]]=1,Tasks[[#This Row],[_LeafProgress]]&lt;1,N(Tasks[[#This Row],[_LeafTotalSlack]])&lt;=CriticalSlackDays)</f>
        <v>0</v>
      </c>
      <c r="FF130" s="43" t="n">
        <f aca="false">IF(AND(Tasks[[#This Row],[_IsLeaf]]=1,Tasks[[#This Row],[_ConstraintCode]]=1,Tasks[[#This Row],[Mode]]&lt;&gt;"Manual",N(Tasks[[#This Row],[Actual Start]])=0),MAX(0,N(Tasks[[#This Row],[Free Slack]])),0)</f>
        <v>0</v>
      </c>
      <c r="FG130" s="91" t="str">
        <f aca="false">IF(NOT(Tasks[[#This Row],[_IsLeaf]]=1),"",IF(Tasks[[#This Row],[_AlapShift]]=0,Tasks[[#This Row],[_LeafCalcStart]],WORKDAY.INTL(Tasks[[#This Row],[_LeafCalcStart]],Tasks[[#This Row],[_AlapShift]],WorkWeek,Holidays)))</f>
        <v/>
      </c>
      <c r="FH130" s="91" t="str">
        <f aca="false">IF(NOT(Tasks[[#This Row],[_IsLeaf]]=1),"",IF(Tasks[[#This Row],[_AlapShift]]=0,Tasks[[#This Row],[_LeafCalcFinish]],WORKDAY.INTL(Tasks[[#This Row],[_LeafCalcFinish]],Tasks[[#This Row],[_AlapShift]],WorkWeek,Holidays)))</f>
        <v/>
      </c>
      <c r="FI130" s="91" t="str">
        <f aca="false">IF(NOT(Tasks[[#This Row],[_IsLeaf]]=1),"",IF(Tasks[[#This Row],[_AlapShift]]=0,Tasks[[#This Row],[_LeafFcstStart]],WORKDAY.INTL(Tasks[[#This Row],[_LeafFcstStart]],Tasks[[#This Row],[_AlapShift]],WorkWeek,Holidays)))</f>
        <v/>
      </c>
      <c r="FJ130" s="91" t="str">
        <f aca="false">IF(NOT(Tasks[[#This Row],[_IsLeaf]]=1),"",IF(Tasks[[#This Row],[_AlapShift]]=0,Tasks[[#This Row],[_LeafFcstFinish]],WORKDAY.INTL(Tasks[[#This Row],[_LeafFcstFinish]],Tasks[[#This Row],[_AlapShift]],WorkWeek,Holidays)))</f>
        <v/>
      </c>
      <c r="FK130" s="91" t="str">
        <f aca="false">IF(Tasks[[#This Row],[Task Name]]="","",IF(Tasks[[#This Row],[_IsSummary]],MIN(INDEX(Tasks[_ShownCalcStart],Tasks[[#This Row],[_Row]]+1):INDEX(Tasks[_ShownCalcStart],Tasks[[#This Row],[_Row]]+Tasks[[#This Row],[_Descendants]])),Tasks[[#This Row],[_ShownCalcStart]]))</f>
        <v/>
      </c>
      <c r="FL130" s="91" t="str">
        <f aca="false">IF(Tasks[[#This Row],[Task Name]]="","",IF(Tasks[[#This Row],[_IsSummary]],MAX(INDEX(Tasks[_ShownCalcFinish],Tasks[[#This Row],[_Row]]+1):INDEX(Tasks[_ShownCalcFinish],Tasks[[#This Row],[_Row]]+Tasks[[#This Row],[_Descendants]])),Tasks[[#This Row],[_ShownCalcFinish]]))</f>
        <v/>
      </c>
      <c r="FM1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0" s="43" t="n">
        <f aca="false">IF(AND(Tasks[[#This Row],[_IsLeaf]]=1,Tasks[[#This Row],[_LeafTotalWork]]&gt;0),NETWORKDAYS.INTL(ProjectStart,Tasks[[#This Row],[_ShownFcstStart]],WorkWeek,Holidays),0)</f>
        <v>0</v>
      </c>
      <c r="FZ130" s="43" t="n">
        <f aca="false">IF(AND(Tasks[[#This Row],[_IsLeaf]]=1,Tasks[[#This Row],[_LeafTotalWork]]&gt;0),MAX(Tasks[[#This Row],[_StartWorkday]],NETWORKDAYS.INTL(ProjectStart,Tasks[[#This Row],[_ShownFcstFinish]],WorkWeek,Holidays)),0)</f>
        <v>0</v>
      </c>
      <c r="GA130" s="43" t="n">
        <f aca="false">IF(AND(Tasks[[#This Row],[_IsLeaf]]=1,Tasks[[#This Row],[_LeafTotalWork]]&gt;0),Tasks[[#This Row],[_LeafWork]]/(Tasks[[#This Row],[_FinishWorkday]]-Tasks[[#This Row],[_StartWorkday]]+1),0)</f>
        <v>0</v>
      </c>
      <c r="GB130" s="43" t="n">
        <f aca="false">Tasks[[#This Row],[_WorkPerWorkday]]*(Tasks[[#This Row],[_StartWorkday]]-1)</f>
        <v>-0</v>
      </c>
      <c r="GC130" s="43" t="n">
        <f aca="false">IF(Tasks[[#This Row],[_IsLeaf]]=1,MAX(N(Tasks[[#This Row],[_Days]]),0.1),0)</f>
        <v>0</v>
      </c>
      <c r="GD130" s="43" t="n">
        <f aca="false">Tasks[[#This Row],[_WeightDur]]*Tasks[[#This Row],[_LeafProgress]]</f>
        <v>0</v>
      </c>
      <c r="GE130" s="43" t="n">
        <f aca="false">Tasks[[#This Row],[_WeightDur]]*Tasks[[#This Row],[_PlannedPct]]</f>
        <v>0</v>
      </c>
      <c r="GF1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3" t="str">
        <f aca="false">IF(AND(Tasks[[#This Row],[_IsLeaf]]=1,N(Tasks[[#This Row],[_Days]])=0,Tasks[[#This Row],[_LeafProgress]]&lt;1),Tasks[[#This Row],[_ShownFcstFinish]]+Tasks[[#This Row],[_Row]]/100000,"")</f>
        <v/>
      </c>
      <c r="GH1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0" s="43" t="str">
        <f aca="false">IF(Tasks[[#This Row],[Task Name]]="","",LEFT(Tasks[[#This Row],[WBS]],FIND(".",Tasks[[#This Row],[WBS]]&amp;".")-1))</f>
        <v/>
      </c>
      <c r="GJ130" s="43" t="str">
        <f aca="false">IF(AND(Tasks[[#This Row],[Task Name]]&lt;&gt;"",Tasks[[#This Row],[_Level]]=1),Tasks[[#This Row],[_Row]],"")</f>
        <v/>
      </c>
      <c r="GK130" s="43" t="str">
        <f aca="false">IF(AND(Tasks[[#This Row],[_IsLeaf]]=1,N(Tasks[[#This Row],[_Days]])=0),Tasks[[#This Row],[Planned Finish]]+Tasks[[#This Row],[_Row]]/100000,"")</f>
        <v/>
      </c>
      <c r="GL130" s="43" t="str">
        <f aca="false">IF(AND(Tasks[[#This Row],[_IsLeaf]]=1,Tasks[[#This Row],[_LeafProgress]]&lt;1,OR(N(Tasks[[#This Row],[Finish Var]])&gt;0,Tasks[[#This Row],[Status]]="Late Start")),MAX(0,Tasks[[#This Row],[Finish Var]])+1-Tasks[[#This Row],[_Row]]/1000000,"")</f>
        <v/>
      </c>
      <c r="GM130" s="43" t="str">
        <f aca="false">IF(AND(Tasks[[#This Row],[_IsLeaf]]=1,N(Tasks[[#This Row],[Actual Start]])=0,Tasks[[#This Row],[_ShownFcstStart]]&gt;=StatusDate,Tasks[[#This Row],[_ShownFcstStart]]&lt;=LookaheadEnd),Tasks[[#This Row],[_ShownFcstStart]]+Tasks[[#This Row],[_Row]]/100000,"")</f>
        <v/>
      </c>
      <c r="GN130" s="43" t="str">
        <f aca="false">IF(AND(Tasks[[#This Row],[_IsLeaf]]=1,Tasks[[#This Row],[_LeafProgress]]&lt;1,Tasks[[#This Row],[_ShownFcstFinish]]&gt;=StatusDate,Tasks[[#This Row],[_ShownFcstFinish]]&lt;=LookaheadEnd),Tasks[[#This Row],[_ShownFcstFinish]]+Tasks[[#This Row],[_Row]]/100000,"")</f>
        <v/>
      </c>
      <c r="GO130" s="43" t="str">
        <f aca="false">IF(Tasks[[#This Row],[_LeafCritical]],Tasks[[#This Row],[_ShownFcstStart]]+Tasks[[#This Row],[_Row]]/100000,"")</f>
        <v/>
      </c>
      <c r="GP130" s="43" t="n">
        <f aca="false">Tasks[[#This Row],[_LeafWork]]*Tasks[[#This Row],[_LeafProgress]]</f>
        <v>0</v>
      </c>
      <c r="GQ130" s="91" t="str">
        <f aca="false">IF(AND(Tasks[[#This Row],[_IsLeaf]]=1,Tasks[[#This Row],[_LeafProgress]]&gt;=1),IF(N(Tasks[[#This Row],[Actual Finish]])&gt;0,Tasks[[#This Row],[Actual Finish]],Tasks[[#This Row],[_ShownFcstFinish]]),"")</f>
        <v/>
      </c>
      <c r="GR130" s="43" t="n">
        <f aca="false">IF(Tasks[[#This Row],[_IsLeaf]]=1,N(Tasks[[#This Row],[Story Points]]),0)</f>
        <v>0</v>
      </c>
      <c r="GS130" s="43" t="str">
        <f aca="false">""</f>
        <v/>
      </c>
      <c r="GT130" s="90" t="b">
        <f aca="false">IF(Tasks[[#This Row],[Task Name]]="",FALSE(),AND(Tasks[[#This Row],[_IsLeaf]]=1,N(Tasks[[#This Row],[_Days]])=0))</f>
        <v>0</v>
      </c>
      <c r="GU130" s="91" t="n">
        <f aca="false">IF(Tasks[[#This Row],[Task Name]]="",0,IF(AND(Tasks[[#This Row],[_IsLeaf]]=1,NOT(Tasks[[#This Row],[_IsMilestone]]),N(Tasks[[#This Row],[Progress]])&gt;0),Tasks[[#This Row],[Start]],0))</f>
        <v>0</v>
      </c>
      <c r="GV130" s="91" t="n">
        <f aca="false">IF(Tasks[[#This Row],[_DoneFrom]]=0,0,IF(Tasks[[#This Row],[Progress]]&gt;=1,Tasks[[#This Row],[Finish]],MAX(Tasks[[#This Row],[_DoneFrom]],Tasks[[#This Row],[Start]]+ROUND((Tasks[[#This Row],[Finish]]-Tasks[[#This Row],[Start]]+1)*Tasks[[#This Row],[Progress]],0)-1)))</f>
        <v>0</v>
      </c>
      <c r="GW130" s="91" t="n">
        <f aca="false">IF(Tasks[[#This Row],[Task Name]]="",0,IF(OR(NOT(Tasks[[#This Row],[_IsLeaf]]=1),Tasks[[#This Row],[_IsMilestone]],N(Tasks[[#This Row],[Progress]])&gt;=1),0,IF(Tasks[[#This Row],[_DoneTo]]&gt;0,Tasks[[#This Row],[_DoneTo]]+1,Tasks[[#This Row],[Start]])))</f>
        <v>0</v>
      </c>
      <c r="GX130" s="91" t="n">
        <f aca="false">IF(Tasks[[#This Row],[_RemFrom]]=0,0,Tasks[[#This Row],[Finish]])</f>
        <v>0</v>
      </c>
      <c r="GY130" s="90" t="b">
        <f aca="false">IF(Tasks[[#This Row],[Task Name]]="",FALSE(),OR(NOT(BaselineSet),N(Tasks[[#This Row],[Baseline Start]])&gt;0))</f>
        <v>0</v>
      </c>
      <c r="GZ13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92" t="str">
        <f aca="false">IF(Tasks[[#This Row],[_IsLeaf]]=1,Tasks[[#This Row],[_Row]],"")</f>
        <v/>
      </c>
      <c r="HD130" s="92" t="str">
        <f aca="false">IFERROR(INDEX(Tasks[UID],SMALL(Tasks[_PickKey],Tasks[[#This Row],[_Row]]))&amp;" "&amp;INDEX(Tasks[Task Name],SMALL(Tasks[_PickKey],Tasks[[#This Row],[_Row]])),"")</f>
        <v/>
      </c>
      <c r="HE130" s="43" t="str">
        <f aca="false">IF(Tasks[[#This Row],[Task Name]]="","",IF(Tasks[[#This Row],[_IsSummary]],NETWORKDAYS.INTL(Tasks[[#This Row],[Start]],Tasks[[#This Row],[Finish]],WorkWeek,Holidays),N(Tasks[[#This Row],[_Days]])))</f>
        <v/>
      </c>
      <c r="HF130" s="43" t="n">
        <f aca="false">IF(Tasks[[#This Row],[Expected]]="",0,((Tasks[[#This Row],[Pessimistic]]-Tasks[[#This Row],[Optimistic]])/6)^2)</f>
        <v>0</v>
      </c>
      <c r="HG130" s="43" t="n">
        <f aca="false">IF(Tasks[[#This Row],[Expected]]="",0,Tasks[[#This Row],[Expected]]-N(Tasks[[#This Row],[_Days]]))</f>
        <v>0</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4"/>
      <c r="U131" s="23"/>
      <c r="V131" s="84"/>
      <c r="W131" s="23"/>
      <c r="X131" s="84"/>
      <c r="Y131" s="23"/>
      <c r="Z131" s="84"/>
      <c r="AA131" s="23"/>
      <c r="AB131" s="23"/>
      <c r="AC131" s="7"/>
      <c r="AD131" s="7"/>
      <c r="AE131" s="63" t="str">
        <f aca="false">IF(Tasks[[#This Row],[Task Name]]="","",IF(Tasks[[#This Row],[_IsSummary]],MIN(INDEX(Tasks[_ShownFcstStart],Tasks[[#This Row],[_Row]]+1):INDEX(Tasks[_ShownFcstStart],Tasks[[#This Row],[_Row]]+Tasks[[#This Row],[_Descendants]])),Tasks[[#This Row],[_ShownFcstStart]]))</f>
        <v/>
      </c>
      <c r="AF131" s="63"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1" s="7"/>
      <c r="AK131" s="22"/>
      <c r="AL131" s="23"/>
      <c r="AM131" s="7"/>
      <c r="AN131" s="47"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3" t="str">
        <f aca="false">IF(Tasks[[#This Row],[Task Name]]="","",IF(N(Tasks[[#This Row],[Baseline Start]])&gt;0,Tasks[[#This Row],[Baseline Start]],Tasks[[#This Row],[_CalcStart]]))</f>
        <v/>
      </c>
      <c r="AR131" s="63" t="str">
        <f aca="false">IF(Tasks[[#This Row],[Task Name]]="","",IF(N(Tasks[[#This Row],[Baseline Finish]])&gt;0,Tasks[[#This Row],[Baseline Finish]],Tasks[[#This Row],[_CalcFinish]]))</f>
        <v/>
      </c>
      <c r="AS131" s="47" t="str">
        <f aca="false">IF(Tasks[[#This Row],[Task Name]]="","",IF(Tasks[[#This Row],[Start]]&gt;=Tasks[[#This Row],[Planned Start]],NETWORKDAYS.INTL(Tasks[[#This Row],[Planned Start]],Tasks[[#This Row],[Start]],WorkWeek,Holidays)-1,1-NETWORKDAYS.INTL(Tasks[[#This Row],[Start]],Tasks[[#This Row],[Planned Start]],WorkWeek,Holidays)))</f>
        <v/>
      </c>
      <c r="AT131" s="63" t="str">
        <f aca="false">IF(Tasks[[#This Row],[Task Name]]="","",IF(Tasks[[#This Row],[_IsSummary]],MIN(INDEX(Tasks[_LeafLateStart],Tasks[[#This Row],[_Row]]+1):INDEX(Tasks[_LeafLateStart],Tasks[[#This Row],[_Row]]+Tasks[[#This Row],[_Descendants]])),Tasks[[#This Row],[_LeafLateStart]]))</f>
        <v/>
      </c>
      <c r="AU131" s="63" t="str">
        <f aca="false">IF(Tasks[[#This Row],[Task Name]]="","",IF(Tasks[[#This Row],[_IsSummary]],MAX(INDEX(Tasks[_LeafLateFinish],Tasks[[#This Row],[_Row]]+1):INDEX(Tasks[_LeafLateFinish],Tasks[[#This Row],[_Row]]+Tasks[[#This Row],[_Descendants]])),Tasks[[#This Row],[_LeafLateFinish]]))</f>
        <v/>
      </c>
      <c r="AV131" s="47"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5"/>
      <c r="BA1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6"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7"/>
      <c r="BJ131" s="22"/>
      <c r="BK131" s="47" t="str">
        <f aca="false">IF(OR(Tasks[[#This Row],[Task Name]]="",Tasks[[#This Row],[Baseline Duration]]=""),"",Tasks[[#This Row],[_SpanDays]]-N(Tasks[[#This Row],[Baseline Duration]]))</f>
        <v/>
      </c>
      <c r="BL131" s="86" t="str">
        <f aca="false">IF(OR(Tasks[[#This Row],[Task Name]]="",Tasks[[#This Row],[Baseline Work]]=""),"",Tasks[[#This Row],[Work]]-N(Tasks[[#This Row],[Baseline Work]]))</f>
        <v/>
      </c>
      <c r="BM131" s="63" t="str">
        <f aca="false">IF(Tasks[[#This Row],[Task Name]]="","",IF(OR(TakeBaseline="Yes",N(Tasks[[#This Row],[Baseline Start]])=0),Tasks[[#This Row],[Start]],Tasks[[#This Row],[Baseline Start]]))</f>
        <v/>
      </c>
      <c r="BN131" s="63" t="str">
        <f aca="false">IF(Tasks[[#This Row],[Task Name]]="","",IF(OR(TakeBaseline="Yes",N(Tasks[[#This Row],[Baseline Finish]])=0),Tasks[[#This Row],[Finish]],Tasks[[#This Row],[Baseline Finish]]))</f>
        <v/>
      </c>
      <c r="BO131" s="21" t="str">
        <f aca="false">IF(Tasks[[#This Row],[Task Name]]="","",IF(OR(TakeBaseline="Yes",N(Tasks[[#This Row],[Baseline Duration]])=0),Tasks[[#This Row],[_SpanDays]],Tasks[[#This Row],[Baseline Duration]]))</f>
        <v/>
      </c>
      <c r="BP131" s="86" t="str">
        <f aca="false">IF(Tasks[[#This Row],[Task Name]]="","",IF(OR(TakeBaseline="Yes",N(Tasks[[#This Row],[Baseline Work]])=0),Tasks[[#This Row],[Work]],Tasks[[#This Row],[Baseline Work]]))</f>
        <v/>
      </c>
      <c r="BQ131" s="7"/>
      <c r="BR131" s="7"/>
      <c r="BS131" s="22"/>
      <c r="BT131" s="88"/>
      <c r="BU131" s="23"/>
      <c r="BV131" s="23"/>
      <c r="BW131" s="23"/>
      <c r="BX131" s="89" t="str">
        <f aca="false">IF(AND(Tasks[[#This Row],[_IsLeaf]]=1,ISNUMBER(Tasks[[#This Row],[Optimistic]]),ISNUMBER(Tasks[[#This Row],[Pessimistic]])),ROUND((Tasks[[#This Row],[Optimistic]]+4*N(Tasks[[#This Row],[_Days]])+Tasks[[#This Row],[Pessimistic]])/6,1),"")</f>
        <v/>
      </c>
      <c r="BY131" s="87"/>
      <c r="BZ131" s="87"/>
      <c r="CA131" s="22"/>
      <c r="CB131" s="43" t="str">
        <f aca="false">IF(Tasks[[#This Row],[Task Name]]="","",MAX(1,N(Tasks[[#This Row],[Level]])))</f>
        <v/>
      </c>
      <c r="CC131" s="43" t="n">
        <f aca="false">ROW()-ROW(Tasks[[#Headers],[ID]])</f>
        <v>126</v>
      </c>
      <c r="CD131" s="43" t="n">
        <f aca="false">IF(OR(Tasks[[#This Row],[Task Name]]="",Tasks[[#This Row],[_Level]]&lt;=1),0,IFERROR(LOOKUP(2,1/(Tasks[[#Headers],[_Level]]:Tasks[[#This Row],[_Level]]=Tasks[[#This Row],[_Level]]-1),ROW(Tasks[[#Headers],[_Level]]:Tasks[[#This Row],[_Level]])),0))</f>
        <v>0</v>
      </c>
      <c r="CE131" s="43" t="n">
        <f aca="false">IFERROR(N(INDEX(Tasks[_Level],Tasks[[#This Row],[_Row]]+1)),0)</f>
        <v>0</v>
      </c>
      <c r="CF131" s="90" t="b">
        <f aca="false">AND(Tasks[[#This Row],[Task Name]]&lt;&gt;"",Tasks[[#This Row],[_NextLevel]]&gt;Tasks[[#This Row],[_Level]])</f>
        <v>0</v>
      </c>
      <c r="CG131" s="43" t="n">
        <f aca="false">IF(Tasks[[#This Row],[_IsSummary]],COUNTIF(Tasks[WBS],Tasks[[#This Row],[WBS]]&amp;".*"),0)</f>
        <v>0</v>
      </c>
      <c r="CH131" s="43" t="n">
        <f aca="false">IF(AND(Tasks[[#This Row],[Task Name]]&lt;&gt;"",NOT(Tasks[[#This Row],[_IsSummary]])),1,0)</f>
        <v>0</v>
      </c>
      <c r="CI131" s="43" t="n">
        <f aca="false">IF(N(Tasks[[#This Row],[_Pred1UID]])=0,0,IFERROR(MATCH(Tasks[[#This Row],[_Pred1UID]],Tasks[UID],0),-1))</f>
        <v>0</v>
      </c>
      <c r="CJ131" s="43" t="n">
        <f aca="false">IF(N(Tasks[[#This Row],[_Pred2UID]])=0,0,IFERROR(MATCH(Tasks[[#This Row],[_Pred2UID]],Tasks[UID],0),-1))</f>
        <v>0</v>
      </c>
      <c r="CK131" s="43" t="n">
        <f aca="false">IF(N(Tasks[[#This Row],[_Pred3UID]])=0,0,IFERROR(MATCH(Tasks[[#This Row],[_Pred3UID]],Tasks[UID],0),-1))</f>
        <v>0</v>
      </c>
      <c r="CL131" s="43" t="n">
        <f aca="false">IF(N(Tasks[[#This Row],[_Pred4UID]])=0,0,IFERROR(MATCH(Tasks[[#This Row],[_Pred4UID]],Tasks[UID],0),-1))</f>
        <v>0</v>
      </c>
      <c r="CM1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1" s="91" t="n">
        <f aca="false">IF(OR(Tasks[[#This Row],[_ConstraintCode]]=2,Tasks[[#This Row],[_ConstraintCode]]=3,Tasks[[#This Row],[_ConstraintCode]]=4,Tasks[[#This Row],[_ConstraintCode]]=6),Tasks[[#This Row],[_ConstraintStart]],0)</f>
        <v>0</v>
      </c>
      <c r="CP131" s="91" t="n">
        <f aca="false">IF(OR(Tasks[[#This Row],[_ConstraintCode]]=2,Tasks[[#This Row],[_ConstraintCode]]=3,Tasks[[#This Row],[_ConstraintCode]]=5,Tasks[[#This Row],[_ConstraintCode]]=7),Tasks[[#This Row],[_ConstraintStart]],2958465)</f>
        <v>2958465</v>
      </c>
      <c r="CQ1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91" t="str">
        <f aca="false">IF(NOT(Tasks[[#This Row],[_IsLeaf]]=1),"",IF(N(Tasks[[#This Row],[_Days]])&lt;=0,Tasks[[#This Row],[_LeafCalcStart]],WORKDAY.INTL(Tasks[[#This Row],[_LeafCalcStart]],Tasks[[#This Row],[_Days]]-1,WorkWeek,Holidays)))</f>
        <v/>
      </c>
      <c r="CS1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3" t="str">
        <f aca="false">IF(Tasks[[#This Row],[_Predecessors]]="","",TRIM(MID(SUBSTITUTE(SUBSTITUTE(SUBSTITUTE(UPPER(Tasks[[#This Row],[_Predecessors]]),";",",")," ",""),",",REPT(" ",99)),1,99)))</f>
        <v/>
      </c>
      <c r="CV131" s="43" t="str">
        <f aca="false">IF(Tasks[[#This Row],[_Pred1Text]]="","",IFERROR(VALUE(LEFT(Tasks[[#This Row],[_Pred1Text]],MIN(FIND("F",Tasks[[#This Row],[_Pred1Text]]&amp;"F"),FIND("S",Tasks[[#This Row],[_Pred1Text]]&amp;"S"),FIND("+",Tasks[[#This Row],[_Pred1Text]]&amp;"+"),FIND("-",Tasks[[#This Row],[_Pred1Text]]&amp;"-"))-1)),""))</f>
        <v/>
      </c>
      <c r="CW1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3" t="str">
        <f aca="false">IF(Tasks[[#This Row],[_Pred1Text]]="","",TRIM(MID(SUBSTITUTE(SUBSTITUTE(SUBSTITUTE(UPPER(Tasks[[#This Row],[_Predecessors]]),";",",")," ",""),",",REPT(" ",99)),100,99)))</f>
        <v/>
      </c>
      <c r="CZ131" s="43" t="str">
        <f aca="false">IF(Tasks[[#This Row],[_Pred2Text]]="","",IFERROR(VALUE(LEFT(Tasks[[#This Row],[_Pred2Text]],MIN(FIND("F",Tasks[[#This Row],[_Pred2Text]]&amp;"F"),FIND("S",Tasks[[#This Row],[_Pred2Text]]&amp;"S"),FIND("+",Tasks[[#This Row],[_Pred2Text]]&amp;"+"),FIND("-",Tasks[[#This Row],[_Pred2Text]]&amp;"-"))-1)),""))</f>
        <v/>
      </c>
      <c r="DA1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3" t="str">
        <f aca="false">IF(Tasks[[#This Row],[_Pred2Text]]="","",TRIM(MID(SUBSTITUTE(SUBSTITUTE(SUBSTITUTE(UPPER(Tasks[[#This Row],[_Predecessors]]),";",",")," ",""),",",REPT(" ",99)),199,99)))</f>
        <v/>
      </c>
      <c r="DD131" s="43" t="str">
        <f aca="false">IF(Tasks[[#This Row],[_Pred3Text]]="","",IFERROR(VALUE(LEFT(Tasks[[#This Row],[_Pred3Text]],MIN(FIND("F",Tasks[[#This Row],[_Pred3Text]]&amp;"F"),FIND("S",Tasks[[#This Row],[_Pred3Text]]&amp;"S"),FIND("+",Tasks[[#This Row],[_Pred3Text]]&amp;"+"),FIND("-",Tasks[[#This Row],[_Pred3Text]]&amp;"-"))-1)),""))</f>
        <v/>
      </c>
      <c r="DE1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3" t="str">
        <f aca="false">IF(Tasks[[#This Row],[_Pred3Text]]="","",TRIM(MID(SUBSTITUTE(SUBSTITUTE(SUBSTITUTE(UPPER(Tasks[[#This Row],[_Predecessors]]),";",",")," ",""),",",REPT(" ",99)),298,99)))</f>
        <v/>
      </c>
      <c r="DH131" s="43" t="str">
        <f aca="false">IF(Tasks[[#This Row],[_Pred4Text]]="","",IFERROR(VALUE(LEFT(Tasks[[#This Row],[_Pred4Text]],MIN(FIND("F",Tasks[[#This Row],[_Pred4Text]]&amp;"F"),FIND("S",Tasks[[#This Row],[_Pred4Text]]&amp;"S"),FIND("+",Tasks[[#This Row],[_Pred4Text]]&amp;"+"),FIND("-",Tasks[[#This Row],[_Pred4Text]]&amp;"-"))-1)),""))</f>
        <v/>
      </c>
      <c r="DI1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3" t="str">
        <f aca="false">IF(OR(Tasks[[#This Row],[Task Name]]="",Tasks[[#This Row],[_Resources]]=""),"",TRIM(MID(SUBSTITUTE(Tasks[[#This Row],[_Resources]],",",REPT(" ",99)),1,99)))</f>
        <v/>
      </c>
      <c r="DL131" s="43" t="str">
        <f aca="false">IF(Tasks[[#This Row],[_Res1Text]]="","",TRIM(MID(SUBSTITUTE(Tasks[[#This Row],[_Resources]],",",REPT(" ",99)),100,99)))</f>
        <v/>
      </c>
      <c r="DM131" s="43" t="str">
        <f aca="false">IF(Tasks[[#This Row],[_Res2Text]]="","",TRIM(MID(SUBSTITUTE(Tasks[[#This Row],[_Resources]],",",REPT(" ",99)),199,99)))</f>
        <v/>
      </c>
      <c r="DN131" s="43" t="str">
        <f aca="false">IF(Tasks[[#This Row],[_Res3Text]]="","",TRIM(MID(SUBSTITUTE(Tasks[[#This Row],[_Resources]],",",REPT(" ",99)),298,99)))</f>
        <v/>
      </c>
      <c r="DO131" s="43" t="n">
        <f aca="false">IF(Tasks[[#This Row],[_Res1Text]]="",0,IFERROR(MATCH(TRIM(LEFT(Tasks[[#This Row],[_Res1Text]],FIND("[",Tasks[[#This Row],[_Res1Text]]&amp;"[")-1)),res_Name,0),IFERROR(MATCH(TRIM(LEFT(Tasks[[#This Row],[_Res1Text]],FIND("[",Tasks[[#This Row],[_Res1Text]]&amp;"[")-1)),res_Initials,0),0)))</f>
        <v>0</v>
      </c>
      <c r="DP131" s="43" t="n">
        <f aca="false">IF(Tasks[[#This Row],[_Res2Text]]="",0,IFERROR(MATCH(TRIM(LEFT(Tasks[[#This Row],[_Res2Text]],FIND("[",Tasks[[#This Row],[_Res2Text]]&amp;"[")-1)),res_Name,0),IFERROR(MATCH(TRIM(LEFT(Tasks[[#This Row],[_Res2Text]],FIND("[",Tasks[[#This Row],[_Res2Text]]&amp;"[")-1)),res_Initials,0),0)))</f>
        <v>0</v>
      </c>
      <c r="DQ131" s="43" t="n">
        <f aca="false">IF(Tasks[[#This Row],[_Res3Text]]="",0,IFERROR(MATCH(TRIM(LEFT(Tasks[[#This Row],[_Res3Text]],FIND("[",Tasks[[#This Row],[_Res3Text]]&amp;"[")-1)),res_Name,0),IFERROR(MATCH(TRIM(LEFT(Tasks[[#This Row],[_Res3Text]],FIND("[",Tasks[[#This Row],[_Res3Text]]&amp;"[")-1)),res_Initials,0),0)))</f>
        <v>0</v>
      </c>
      <c r="DR131" s="43" t="n">
        <f aca="false">IF(Tasks[[#This Row],[_Res4Text]]="",0,IFERROR(MATCH(TRIM(LEFT(Tasks[[#This Row],[_Res4Text]],FIND("[",Tasks[[#This Row],[_Res4Text]]&amp;"[")-1)),res_Name,0),IFERROR(MATCH(TRIM(LEFT(Tasks[[#This Row],[_Res4Text]],FIND("[",Tasks[[#This Row],[_Res4Text]]&amp;"[")-1)),res_Initials,0),0)))</f>
        <v>0</v>
      </c>
      <c r="DS131" s="43" t="str">
        <f aca="false">IF(Tasks[[#This Row],[_Res1Text]]="","",IF(Tasks[[#This Row],[_Res1Row]]&gt;0,INDEX(res_Name,Tasks[[#This Row],[_Res1Row]]),TRIM(LEFT(Tasks[[#This Row],[_Res1Text]],FIND("[",Tasks[[#This Row],[_Res1Text]]&amp;"[")-1))))</f>
        <v/>
      </c>
      <c r="DT1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3" t="n">
        <f aca="false">IF(NOT(Tasks[[#This Row],[_IsLeaf]]=1),0,(Tasks[[#This Row],[_Resource1]]&lt;&gt;"")+(Tasks[[#This Row],[_Res2]]&lt;&gt;"")+(Tasks[[#This Row],[_Res3]]&lt;&gt;"")+(Tasks[[#This Row],[_Res4]]&lt;&gt;""))</f>
        <v>0</v>
      </c>
      <c r="DV131" s="43" t="str">
        <f aca="false">IF(Tasks[[#This Row],[_Res2Text]]="","",IF(Tasks[[#This Row],[_Res2Row]]&gt;0,INDEX(res_Name,Tasks[[#This Row],[_Res2Row]]),TRIM(LEFT(Tasks[[#This Row],[_Res2Text]],FIND("[",Tasks[[#This Row],[_Res2Text]]&amp;"[")-1))))</f>
        <v/>
      </c>
      <c r="DW1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3" t="n">
        <f aca="false">IF(OR(NOT(Tasks[[#This Row],[_IsLeaf]]=1),Tasks[[#This Row],[_Res2Row]]=0),0,N(Tasks[[#This Row],[_Days]])*HoursPerDay*IF(Tasks[[#This Row],[_Res2Units]]="",DefaultUnits,Tasks[[#This Row],[_Res2Units]]))</f>
        <v>0</v>
      </c>
      <c r="DY131" s="43" t="n">
        <f aca="false">IF(AND(AND(Tasks[[#This Row],[_IsLeaf]]=1,Tasks[[#This Row],[_LeafTotalWork]]&gt;0),Tasks[[#This Row],[_Res2Work]]&gt;0),Tasks[[#This Row],[_Res2Work]]/(Tasks[[#This Row],[_FinishWorkday]]-Tasks[[#This Row],[_StartWorkday]]+1),0)</f>
        <v>0</v>
      </c>
      <c r="DZ131" s="43" t="n">
        <f aca="false">Tasks[[#This Row],[_Res2WorkPerWD]]*MAX(0,Tasks[[#This Row],[_StartWorkday]]-1)</f>
        <v>0</v>
      </c>
      <c r="EA131" s="43" t="n">
        <f aca="false">Tasks[[#This Row],[_Res2Work]]*Tasks[[#This Row],[_LeafProgress]]</f>
        <v>0</v>
      </c>
      <c r="EB131" s="43" t="str">
        <f aca="false">IF(Tasks[[#This Row],[_Res3Text]]="","",IF(Tasks[[#This Row],[_Res3Row]]&gt;0,INDEX(res_Name,Tasks[[#This Row],[_Res3Row]]),TRIM(LEFT(Tasks[[#This Row],[_Res3Text]],FIND("[",Tasks[[#This Row],[_Res3Text]]&amp;"[")-1))))</f>
        <v/>
      </c>
      <c r="EC1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3" t="n">
        <f aca="false">IF(OR(NOT(Tasks[[#This Row],[_IsLeaf]]=1),Tasks[[#This Row],[_Res3Row]]=0),0,N(Tasks[[#This Row],[_Days]])*HoursPerDay*IF(Tasks[[#This Row],[_Res3Units]]="",DefaultUnits,Tasks[[#This Row],[_Res3Units]]))</f>
        <v>0</v>
      </c>
      <c r="EE131" s="43" t="n">
        <f aca="false">IF(AND(AND(Tasks[[#This Row],[_IsLeaf]]=1,Tasks[[#This Row],[_LeafTotalWork]]&gt;0),Tasks[[#This Row],[_Res3Work]]&gt;0),Tasks[[#This Row],[_Res3Work]]/(Tasks[[#This Row],[_FinishWorkday]]-Tasks[[#This Row],[_StartWorkday]]+1),0)</f>
        <v>0</v>
      </c>
      <c r="EF131" s="43" t="n">
        <f aca="false">Tasks[[#This Row],[_Res3WorkPerWD]]*MAX(0,Tasks[[#This Row],[_StartWorkday]]-1)</f>
        <v>0</v>
      </c>
      <c r="EG131" s="43" t="n">
        <f aca="false">Tasks[[#This Row],[_Res3Work]]*Tasks[[#This Row],[_LeafProgress]]</f>
        <v>0</v>
      </c>
      <c r="EH131" s="43" t="str">
        <f aca="false">IF(Tasks[[#This Row],[_Res4Text]]="","",IF(Tasks[[#This Row],[_Res4Row]]&gt;0,INDEX(res_Name,Tasks[[#This Row],[_Res4Row]]),TRIM(LEFT(Tasks[[#This Row],[_Res4Text]],FIND("[",Tasks[[#This Row],[_Res4Text]]&amp;"[")-1))))</f>
        <v/>
      </c>
      <c r="EI1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3" t="n">
        <f aca="false">IF(OR(NOT(Tasks[[#This Row],[_IsLeaf]]=1),Tasks[[#This Row],[_Res4Row]]=0),0,N(Tasks[[#This Row],[_Days]])*HoursPerDay*IF(Tasks[[#This Row],[_Res4Units]]="",DefaultUnits,Tasks[[#This Row],[_Res4Units]]))</f>
        <v>0</v>
      </c>
      <c r="EK131" s="43" t="n">
        <f aca="false">IF(AND(AND(Tasks[[#This Row],[_IsLeaf]]=1,Tasks[[#This Row],[_LeafTotalWork]]&gt;0),Tasks[[#This Row],[_Res4Work]]&gt;0),Tasks[[#This Row],[_Res4Work]]/(Tasks[[#This Row],[_FinishWorkday]]-Tasks[[#This Row],[_StartWorkday]]+1),0)</f>
        <v>0</v>
      </c>
      <c r="EL131" s="43" t="n">
        <f aca="false">Tasks[[#This Row],[_Res4WorkPerWD]]*MAX(0,Tasks[[#This Row],[_StartWorkday]]-1)</f>
        <v>0</v>
      </c>
      <c r="EM131" s="43" t="n">
        <f aca="false">Tasks[[#This Row],[_Res4Work]]*Tasks[[#This Row],[_LeafProgress]]</f>
        <v>0</v>
      </c>
      <c r="EN131" s="43" t="n">
        <f aca="false">IF(ISNUMBER(Tasks[[#This Row],[% Complete]]),Tasks[[#This Row],[% Complete]],IF(Tasks[[#This Row],[Stage]]="",0,IFERROR(INDEX(stg_Pct,MATCH(Tasks[[#This Row],[Stage]],stg_Name,0)),0)))</f>
        <v>0</v>
      </c>
      <c r="EO131" s="43" t="n">
        <f aca="false">IF(NOT(Tasks[[#This Row],[_IsLeaf]]=1),0,IF(N(Tasks[[#This Row],[Actual Finish]])&gt;0,1,MIN(1,Tasks[[#This Row],[_Pct]])))</f>
        <v>0</v>
      </c>
      <c r="EP131" s="43" t="n">
        <f aca="false">IF(OR(NOT(Tasks[[#This Row],[_IsLeaf]]=1),Tasks[[#This Row],[_Res1Row]]=0),0,N(Tasks[[#This Row],[_Days]])*HoursPerDay*IF(Tasks[[#This Row],[_Units1]]="",DefaultUnits,Tasks[[#This Row],[_Units1]]))</f>
        <v>0</v>
      </c>
      <c r="EQ131" s="43" t="n">
        <f aca="false">Tasks[[#This Row],[_LeafWork]]+Tasks[[#This Row],[_Res2Work]]+Tasks[[#This Row],[_Res3Work]]+Tasks[[#This Row],[_Res4Work]]</f>
        <v>0</v>
      </c>
      <c r="ER1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3" t="n">
        <f aca="false">IF(NOT(Tasks[[#This Row],[_IsLeaf]]=1),0,MAX(_xlfn.MAXIFS(Tasks[_Row],Tasks[_Pred1UID],Tasks[[#This Row],[UID]]),_xlfn.MAXIFS(Tasks[_Row],Tasks[_Pred2UID],Tasks[[#This Row],[UID]]),_xlfn.MAXIFS(Tasks[_Row],Tasks[_Pred3UID],Tasks[[#This Row],[UID]]),_xlfn.MAXIFS(Tasks[_Row],Tasks[_Pred4UID],Tasks[[#This Row],[UID]])))</f>
        <v>0</v>
      </c>
      <c r="FA1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91" t="str">
        <f aca="false">IF(NOT(Tasks[[#This Row],[_IsLeaf]]=1),"",IF(N(Tasks[[#This Row],[_Days]])&lt;=0,Tasks[[#This Row],[_LeafLateFinish]],WORKDAY.INTL(Tasks[[#This Row],[_LeafLateFinish]],-(Tasks[[#This Row],[_Days]]-1),WorkWeek,Holidays)))</f>
        <v/>
      </c>
      <c r="FD1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1" s="90" t="b">
        <f aca="false">AND(Tasks[[#This Row],[_IsLeaf]]=1,Tasks[[#This Row],[_LeafProgress]]&lt;1,N(Tasks[[#This Row],[_LeafTotalSlack]])&lt;=CriticalSlackDays)</f>
        <v>0</v>
      </c>
      <c r="FF131" s="43" t="n">
        <f aca="false">IF(AND(Tasks[[#This Row],[_IsLeaf]]=1,Tasks[[#This Row],[_ConstraintCode]]=1,Tasks[[#This Row],[Mode]]&lt;&gt;"Manual",N(Tasks[[#This Row],[Actual Start]])=0),MAX(0,N(Tasks[[#This Row],[Free Slack]])),0)</f>
        <v>0</v>
      </c>
      <c r="FG131" s="91" t="str">
        <f aca="false">IF(NOT(Tasks[[#This Row],[_IsLeaf]]=1),"",IF(Tasks[[#This Row],[_AlapShift]]=0,Tasks[[#This Row],[_LeafCalcStart]],WORKDAY.INTL(Tasks[[#This Row],[_LeafCalcStart]],Tasks[[#This Row],[_AlapShift]],WorkWeek,Holidays)))</f>
        <v/>
      </c>
      <c r="FH131" s="91" t="str">
        <f aca="false">IF(NOT(Tasks[[#This Row],[_IsLeaf]]=1),"",IF(Tasks[[#This Row],[_AlapShift]]=0,Tasks[[#This Row],[_LeafCalcFinish]],WORKDAY.INTL(Tasks[[#This Row],[_LeafCalcFinish]],Tasks[[#This Row],[_AlapShift]],WorkWeek,Holidays)))</f>
        <v/>
      </c>
      <c r="FI131" s="91" t="str">
        <f aca="false">IF(NOT(Tasks[[#This Row],[_IsLeaf]]=1),"",IF(Tasks[[#This Row],[_AlapShift]]=0,Tasks[[#This Row],[_LeafFcstStart]],WORKDAY.INTL(Tasks[[#This Row],[_LeafFcstStart]],Tasks[[#This Row],[_AlapShift]],WorkWeek,Holidays)))</f>
        <v/>
      </c>
      <c r="FJ131" s="91" t="str">
        <f aca="false">IF(NOT(Tasks[[#This Row],[_IsLeaf]]=1),"",IF(Tasks[[#This Row],[_AlapShift]]=0,Tasks[[#This Row],[_LeafFcstFinish]],WORKDAY.INTL(Tasks[[#This Row],[_LeafFcstFinish]],Tasks[[#This Row],[_AlapShift]],WorkWeek,Holidays)))</f>
        <v/>
      </c>
      <c r="FK131" s="91" t="str">
        <f aca="false">IF(Tasks[[#This Row],[Task Name]]="","",IF(Tasks[[#This Row],[_IsSummary]],MIN(INDEX(Tasks[_ShownCalcStart],Tasks[[#This Row],[_Row]]+1):INDEX(Tasks[_ShownCalcStart],Tasks[[#This Row],[_Row]]+Tasks[[#This Row],[_Descendants]])),Tasks[[#This Row],[_ShownCalcStart]]))</f>
        <v/>
      </c>
      <c r="FL131" s="91" t="str">
        <f aca="false">IF(Tasks[[#This Row],[Task Name]]="","",IF(Tasks[[#This Row],[_IsSummary]],MAX(INDEX(Tasks[_ShownCalcFinish],Tasks[[#This Row],[_Row]]+1):INDEX(Tasks[_ShownCalcFinish],Tasks[[#This Row],[_Row]]+Tasks[[#This Row],[_Descendants]])),Tasks[[#This Row],[_ShownCalcFinish]]))</f>
        <v/>
      </c>
      <c r="FM1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1" s="43" t="n">
        <f aca="false">IF(AND(Tasks[[#This Row],[_IsLeaf]]=1,Tasks[[#This Row],[_LeafTotalWork]]&gt;0),NETWORKDAYS.INTL(ProjectStart,Tasks[[#This Row],[_ShownFcstStart]],WorkWeek,Holidays),0)</f>
        <v>0</v>
      </c>
      <c r="FZ131" s="43" t="n">
        <f aca="false">IF(AND(Tasks[[#This Row],[_IsLeaf]]=1,Tasks[[#This Row],[_LeafTotalWork]]&gt;0),MAX(Tasks[[#This Row],[_StartWorkday]],NETWORKDAYS.INTL(ProjectStart,Tasks[[#This Row],[_ShownFcstFinish]],WorkWeek,Holidays)),0)</f>
        <v>0</v>
      </c>
      <c r="GA131" s="43" t="n">
        <f aca="false">IF(AND(Tasks[[#This Row],[_IsLeaf]]=1,Tasks[[#This Row],[_LeafTotalWork]]&gt;0),Tasks[[#This Row],[_LeafWork]]/(Tasks[[#This Row],[_FinishWorkday]]-Tasks[[#This Row],[_StartWorkday]]+1),0)</f>
        <v>0</v>
      </c>
      <c r="GB131" s="43" t="n">
        <f aca="false">Tasks[[#This Row],[_WorkPerWorkday]]*(Tasks[[#This Row],[_StartWorkday]]-1)</f>
        <v>-0</v>
      </c>
      <c r="GC131" s="43" t="n">
        <f aca="false">IF(Tasks[[#This Row],[_IsLeaf]]=1,MAX(N(Tasks[[#This Row],[_Days]]),0.1),0)</f>
        <v>0</v>
      </c>
      <c r="GD131" s="43" t="n">
        <f aca="false">Tasks[[#This Row],[_WeightDur]]*Tasks[[#This Row],[_LeafProgress]]</f>
        <v>0</v>
      </c>
      <c r="GE131" s="43" t="n">
        <f aca="false">Tasks[[#This Row],[_WeightDur]]*Tasks[[#This Row],[_PlannedPct]]</f>
        <v>0</v>
      </c>
      <c r="GF1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3" t="str">
        <f aca="false">IF(AND(Tasks[[#This Row],[_IsLeaf]]=1,N(Tasks[[#This Row],[_Days]])=0,Tasks[[#This Row],[_LeafProgress]]&lt;1),Tasks[[#This Row],[_ShownFcstFinish]]+Tasks[[#This Row],[_Row]]/100000,"")</f>
        <v/>
      </c>
      <c r="GH1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1" s="43" t="str">
        <f aca="false">IF(Tasks[[#This Row],[Task Name]]="","",LEFT(Tasks[[#This Row],[WBS]],FIND(".",Tasks[[#This Row],[WBS]]&amp;".")-1))</f>
        <v/>
      </c>
      <c r="GJ131" s="43" t="str">
        <f aca="false">IF(AND(Tasks[[#This Row],[Task Name]]&lt;&gt;"",Tasks[[#This Row],[_Level]]=1),Tasks[[#This Row],[_Row]],"")</f>
        <v/>
      </c>
      <c r="GK131" s="43" t="str">
        <f aca="false">IF(AND(Tasks[[#This Row],[_IsLeaf]]=1,N(Tasks[[#This Row],[_Days]])=0),Tasks[[#This Row],[Planned Finish]]+Tasks[[#This Row],[_Row]]/100000,"")</f>
        <v/>
      </c>
      <c r="GL131" s="43" t="str">
        <f aca="false">IF(AND(Tasks[[#This Row],[_IsLeaf]]=1,Tasks[[#This Row],[_LeafProgress]]&lt;1,OR(N(Tasks[[#This Row],[Finish Var]])&gt;0,Tasks[[#This Row],[Status]]="Late Start")),MAX(0,Tasks[[#This Row],[Finish Var]])+1-Tasks[[#This Row],[_Row]]/1000000,"")</f>
        <v/>
      </c>
      <c r="GM131" s="43" t="str">
        <f aca="false">IF(AND(Tasks[[#This Row],[_IsLeaf]]=1,N(Tasks[[#This Row],[Actual Start]])=0,Tasks[[#This Row],[_ShownFcstStart]]&gt;=StatusDate,Tasks[[#This Row],[_ShownFcstStart]]&lt;=LookaheadEnd),Tasks[[#This Row],[_ShownFcstStart]]+Tasks[[#This Row],[_Row]]/100000,"")</f>
        <v/>
      </c>
      <c r="GN131" s="43" t="str">
        <f aca="false">IF(AND(Tasks[[#This Row],[_IsLeaf]]=1,Tasks[[#This Row],[_LeafProgress]]&lt;1,Tasks[[#This Row],[_ShownFcstFinish]]&gt;=StatusDate,Tasks[[#This Row],[_ShownFcstFinish]]&lt;=LookaheadEnd),Tasks[[#This Row],[_ShownFcstFinish]]+Tasks[[#This Row],[_Row]]/100000,"")</f>
        <v/>
      </c>
      <c r="GO131" s="43" t="str">
        <f aca="false">IF(Tasks[[#This Row],[_LeafCritical]],Tasks[[#This Row],[_ShownFcstStart]]+Tasks[[#This Row],[_Row]]/100000,"")</f>
        <v/>
      </c>
      <c r="GP131" s="43" t="n">
        <f aca="false">Tasks[[#This Row],[_LeafWork]]*Tasks[[#This Row],[_LeafProgress]]</f>
        <v>0</v>
      </c>
      <c r="GQ131" s="91" t="str">
        <f aca="false">IF(AND(Tasks[[#This Row],[_IsLeaf]]=1,Tasks[[#This Row],[_LeafProgress]]&gt;=1),IF(N(Tasks[[#This Row],[Actual Finish]])&gt;0,Tasks[[#This Row],[Actual Finish]],Tasks[[#This Row],[_ShownFcstFinish]]),"")</f>
        <v/>
      </c>
      <c r="GR131" s="43" t="n">
        <f aca="false">IF(Tasks[[#This Row],[_IsLeaf]]=1,N(Tasks[[#This Row],[Story Points]]),0)</f>
        <v>0</v>
      </c>
      <c r="GS131" s="43" t="str">
        <f aca="false">""</f>
        <v/>
      </c>
      <c r="GT131" s="90" t="b">
        <f aca="false">IF(Tasks[[#This Row],[Task Name]]="",FALSE(),AND(Tasks[[#This Row],[_IsLeaf]]=1,N(Tasks[[#This Row],[_Days]])=0))</f>
        <v>0</v>
      </c>
      <c r="GU131" s="91" t="n">
        <f aca="false">IF(Tasks[[#This Row],[Task Name]]="",0,IF(AND(Tasks[[#This Row],[_IsLeaf]]=1,NOT(Tasks[[#This Row],[_IsMilestone]]),N(Tasks[[#This Row],[Progress]])&gt;0),Tasks[[#This Row],[Start]],0))</f>
        <v>0</v>
      </c>
      <c r="GV131" s="91" t="n">
        <f aca="false">IF(Tasks[[#This Row],[_DoneFrom]]=0,0,IF(Tasks[[#This Row],[Progress]]&gt;=1,Tasks[[#This Row],[Finish]],MAX(Tasks[[#This Row],[_DoneFrom]],Tasks[[#This Row],[Start]]+ROUND((Tasks[[#This Row],[Finish]]-Tasks[[#This Row],[Start]]+1)*Tasks[[#This Row],[Progress]],0)-1)))</f>
        <v>0</v>
      </c>
      <c r="GW131" s="91" t="n">
        <f aca="false">IF(Tasks[[#This Row],[Task Name]]="",0,IF(OR(NOT(Tasks[[#This Row],[_IsLeaf]]=1),Tasks[[#This Row],[_IsMilestone]],N(Tasks[[#This Row],[Progress]])&gt;=1),0,IF(Tasks[[#This Row],[_DoneTo]]&gt;0,Tasks[[#This Row],[_DoneTo]]+1,Tasks[[#This Row],[Start]])))</f>
        <v>0</v>
      </c>
      <c r="GX131" s="91" t="n">
        <f aca="false">IF(Tasks[[#This Row],[_RemFrom]]=0,0,Tasks[[#This Row],[Finish]])</f>
        <v>0</v>
      </c>
      <c r="GY131" s="90" t="b">
        <f aca="false">IF(Tasks[[#This Row],[Task Name]]="",FALSE(),OR(NOT(BaselineSet),N(Tasks[[#This Row],[Baseline Start]])&gt;0))</f>
        <v>0</v>
      </c>
      <c r="GZ13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92" t="str">
        <f aca="false">IF(Tasks[[#This Row],[_IsLeaf]]=1,Tasks[[#This Row],[_Row]],"")</f>
        <v/>
      </c>
      <c r="HD131" s="92" t="str">
        <f aca="false">IFERROR(INDEX(Tasks[UID],SMALL(Tasks[_PickKey],Tasks[[#This Row],[_Row]]))&amp;" "&amp;INDEX(Tasks[Task Name],SMALL(Tasks[_PickKey],Tasks[[#This Row],[_Row]])),"")</f>
        <v/>
      </c>
      <c r="HE131" s="43" t="str">
        <f aca="false">IF(Tasks[[#This Row],[Task Name]]="","",IF(Tasks[[#This Row],[_IsSummary]],NETWORKDAYS.INTL(Tasks[[#This Row],[Start]],Tasks[[#This Row],[Finish]],WorkWeek,Holidays),N(Tasks[[#This Row],[_Days]])))</f>
        <v/>
      </c>
      <c r="HF131" s="43" t="n">
        <f aca="false">IF(Tasks[[#This Row],[Expected]]="",0,((Tasks[[#This Row],[Pessimistic]]-Tasks[[#This Row],[Optimistic]])/6)^2)</f>
        <v>0</v>
      </c>
      <c r="HG131" s="43" t="n">
        <f aca="false">IF(Tasks[[#This Row],[Expected]]="",0,Tasks[[#This Row],[Expected]]-N(Tasks[[#This Row],[_Days]]))</f>
        <v>0</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4"/>
      <c r="U132" s="23"/>
      <c r="V132" s="84"/>
      <c r="W132" s="23"/>
      <c r="X132" s="84"/>
      <c r="Y132" s="23"/>
      <c r="Z132" s="84"/>
      <c r="AA132" s="23"/>
      <c r="AB132" s="23"/>
      <c r="AC132" s="7"/>
      <c r="AD132" s="7"/>
      <c r="AE132" s="63" t="str">
        <f aca="false">IF(Tasks[[#This Row],[Task Name]]="","",IF(Tasks[[#This Row],[_IsSummary]],MIN(INDEX(Tasks[_ShownFcstStart],Tasks[[#This Row],[_Row]]+1):INDEX(Tasks[_ShownFcstStart],Tasks[[#This Row],[_Row]]+Tasks[[#This Row],[_Descendants]])),Tasks[[#This Row],[_ShownFcstStart]]))</f>
        <v/>
      </c>
      <c r="AF132" s="63"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2" s="7"/>
      <c r="AK132" s="22"/>
      <c r="AL132" s="23"/>
      <c r="AM132" s="7"/>
      <c r="AN132" s="47"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3" t="str">
        <f aca="false">IF(Tasks[[#This Row],[Task Name]]="","",IF(N(Tasks[[#This Row],[Baseline Start]])&gt;0,Tasks[[#This Row],[Baseline Start]],Tasks[[#This Row],[_CalcStart]]))</f>
        <v/>
      </c>
      <c r="AR132" s="63" t="str">
        <f aca="false">IF(Tasks[[#This Row],[Task Name]]="","",IF(N(Tasks[[#This Row],[Baseline Finish]])&gt;0,Tasks[[#This Row],[Baseline Finish]],Tasks[[#This Row],[_CalcFinish]]))</f>
        <v/>
      </c>
      <c r="AS132" s="47" t="str">
        <f aca="false">IF(Tasks[[#This Row],[Task Name]]="","",IF(Tasks[[#This Row],[Start]]&gt;=Tasks[[#This Row],[Planned Start]],NETWORKDAYS.INTL(Tasks[[#This Row],[Planned Start]],Tasks[[#This Row],[Start]],WorkWeek,Holidays)-1,1-NETWORKDAYS.INTL(Tasks[[#This Row],[Start]],Tasks[[#This Row],[Planned Start]],WorkWeek,Holidays)))</f>
        <v/>
      </c>
      <c r="AT132" s="63" t="str">
        <f aca="false">IF(Tasks[[#This Row],[Task Name]]="","",IF(Tasks[[#This Row],[_IsSummary]],MIN(INDEX(Tasks[_LeafLateStart],Tasks[[#This Row],[_Row]]+1):INDEX(Tasks[_LeafLateStart],Tasks[[#This Row],[_Row]]+Tasks[[#This Row],[_Descendants]])),Tasks[[#This Row],[_LeafLateStart]]))</f>
        <v/>
      </c>
      <c r="AU132" s="63" t="str">
        <f aca="false">IF(Tasks[[#This Row],[Task Name]]="","",IF(Tasks[[#This Row],[_IsSummary]],MAX(INDEX(Tasks[_LeafLateFinish],Tasks[[#This Row],[_Row]]+1):INDEX(Tasks[_LeafLateFinish],Tasks[[#This Row],[_Row]]+Tasks[[#This Row],[_Descendants]])),Tasks[[#This Row],[_LeafLateFinish]]))</f>
        <v/>
      </c>
      <c r="AV132" s="47"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5"/>
      <c r="BA1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6"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7"/>
      <c r="BJ132" s="22"/>
      <c r="BK132" s="47" t="str">
        <f aca="false">IF(OR(Tasks[[#This Row],[Task Name]]="",Tasks[[#This Row],[Baseline Duration]]=""),"",Tasks[[#This Row],[_SpanDays]]-N(Tasks[[#This Row],[Baseline Duration]]))</f>
        <v/>
      </c>
      <c r="BL132" s="86" t="str">
        <f aca="false">IF(OR(Tasks[[#This Row],[Task Name]]="",Tasks[[#This Row],[Baseline Work]]=""),"",Tasks[[#This Row],[Work]]-N(Tasks[[#This Row],[Baseline Work]]))</f>
        <v/>
      </c>
      <c r="BM132" s="63" t="str">
        <f aca="false">IF(Tasks[[#This Row],[Task Name]]="","",IF(OR(TakeBaseline="Yes",N(Tasks[[#This Row],[Baseline Start]])=0),Tasks[[#This Row],[Start]],Tasks[[#This Row],[Baseline Start]]))</f>
        <v/>
      </c>
      <c r="BN132" s="63" t="str">
        <f aca="false">IF(Tasks[[#This Row],[Task Name]]="","",IF(OR(TakeBaseline="Yes",N(Tasks[[#This Row],[Baseline Finish]])=0),Tasks[[#This Row],[Finish]],Tasks[[#This Row],[Baseline Finish]]))</f>
        <v/>
      </c>
      <c r="BO132" s="21" t="str">
        <f aca="false">IF(Tasks[[#This Row],[Task Name]]="","",IF(OR(TakeBaseline="Yes",N(Tasks[[#This Row],[Baseline Duration]])=0),Tasks[[#This Row],[_SpanDays]],Tasks[[#This Row],[Baseline Duration]]))</f>
        <v/>
      </c>
      <c r="BP132" s="86" t="str">
        <f aca="false">IF(Tasks[[#This Row],[Task Name]]="","",IF(OR(TakeBaseline="Yes",N(Tasks[[#This Row],[Baseline Work]])=0),Tasks[[#This Row],[Work]],Tasks[[#This Row],[Baseline Work]]))</f>
        <v/>
      </c>
      <c r="BQ132" s="7"/>
      <c r="BR132" s="7"/>
      <c r="BS132" s="22"/>
      <c r="BT132" s="88"/>
      <c r="BU132" s="23"/>
      <c r="BV132" s="23"/>
      <c r="BW132" s="23"/>
      <c r="BX132" s="89" t="str">
        <f aca="false">IF(AND(Tasks[[#This Row],[_IsLeaf]]=1,ISNUMBER(Tasks[[#This Row],[Optimistic]]),ISNUMBER(Tasks[[#This Row],[Pessimistic]])),ROUND((Tasks[[#This Row],[Optimistic]]+4*N(Tasks[[#This Row],[_Days]])+Tasks[[#This Row],[Pessimistic]])/6,1),"")</f>
        <v/>
      </c>
      <c r="BY132" s="87"/>
      <c r="BZ132" s="87"/>
      <c r="CA132" s="22"/>
      <c r="CB132" s="43" t="str">
        <f aca="false">IF(Tasks[[#This Row],[Task Name]]="","",MAX(1,N(Tasks[[#This Row],[Level]])))</f>
        <v/>
      </c>
      <c r="CC132" s="43" t="n">
        <f aca="false">ROW()-ROW(Tasks[[#Headers],[ID]])</f>
        <v>127</v>
      </c>
      <c r="CD132" s="43" t="n">
        <f aca="false">IF(OR(Tasks[[#This Row],[Task Name]]="",Tasks[[#This Row],[_Level]]&lt;=1),0,IFERROR(LOOKUP(2,1/(Tasks[[#Headers],[_Level]]:Tasks[[#This Row],[_Level]]=Tasks[[#This Row],[_Level]]-1),ROW(Tasks[[#Headers],[_Level]]:Tasks[[#This Row],[_Level]])),0))</f>
        <v>0</v>
      </c>
      <c r="CE132" s="43" t="n">
        <f aca="false">IFERROR(N(INDEX(Tasks[_Level],Tasks[[#This Row],[_Row]]+1)),0)</f>
        <v>0</v>
      </c>
      <c r="CF132" s="90" t="b">
        <f aca="false">AND(Tasks[[#This Row],[Task Name]]&lt;&gt;"",Tasks[[#This Row],[_NextLevel]]&gt;Tasks[[#This Row],[_Level]])</f>
        <v>0</v>
      </c>
      <c r="CG132" s="43" t="n">
        <f aca="false">IF(Tasks[[#This Row],[_IsSummary]],COUNTIF(Tasks[WBS],Tasks[[#This Row],[WBS]]&amp;".*"),0)</f>
        <v>0</v>
      </c>
      <c r="CH132" s="43" t="n">
        <f aca="false">IF(AND(Tasks[[#This Row],[Task Name]]&lt;&gt;"",NOT(Tasks[[#This Row],[_IsSummary]])),1,0)</f>
        <v>0</v>
      </c>
      <c r="CI132" s="43" t="n">
        <f aca="false">IF(N(Tasks[[#This Row],[_Pred1UID]])=0,0,IFERROR(MATCH(Tasks[[#This Row],[_Pred1UID]],Tasks[UID],0),-1))</f>
        <v>0</v>
      </c>
      <c r="CJ132" s="43" t="n">
        <f aca="false">IF(N(Tasks[[#This Row],[_Pred2UID]])=0,0,IFERROR(MATCH(Tasks[[#This Row],[_Pred2UID]],Tasks[UID],0),-1))</f>
        <v>0</v>
      </c>
      <c r="CK132" s="43" t="n">
        <f aca="false">IF(N(Tasks[[#This Row],[_Pred3UID]])=0,0,IFERROR(MATCH(Tasks[[#This Row],[_Pred3UID]],Tasks[UID],0),-1))</f>
        <v>0</v>
      </c>
      <c r="CL132" s="43" t="n">
        <f aca="false">IF(N(Tasks[[#This Row],[_Pred4UID]])=0,0,IFERROR(MATCH(Tasks[[#This Row],[_Pred4UID]],Tasks[UID],0),-1))</f>
        <v>0</v>
      </c>
      <c r="CM1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2" s="91" t="n">
        <f aca="false">IF(OR(Tasks[[#This Row],[_ConstraintCode]]=2,Tasks[[#This Row],[_ConstraintCode]]=3,Tasks[[#This Row],[_ConstraintCode]]=4,Tasks[[#This Row],[_ConstraintCode]]=6),Tasks[[#This Row],[_ConstraintStart]],0)</f>
        <v>0</v>
      </c>
      <c r="CP132" s="91" t="n">
        <f aca="false">IF(OR(Tasks[[#This Row],[_ConstraintCode]]=2,Tasks[[#This Row],[_ConstraintCode]]=3,Tasks[[#This Row],[_ConstraintCode]]=5,Tasks[[#This Row],[_ConstraintCode]]=7),Tasks[[#This Row],[_ConstraintStart]],2958465)</f>
        <v>2958465</v>
      </c>
      <c r="CQ1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91" t="str">
        <f aca="false">IF(NOT(Tasks[[#This Row],[_IsLeaf]]=1),"",IF(N(Tasks[[#This Row],[_Days]])&lt;=0,Tasks[[#This Row],[_LeafCalcStart]],WORKDAY.INTL(Tasks[[#This Row],[_LeafCalcStart]],Tasks[[#This Row],[_Days]]-1,WorkWeek,Holidays)))</f>
        <v/>
      </c>
      <c r="CS1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3" t="str">
        <f aca="false">IF(Tasks[[#This Row],[_Predecessors]]="","",TRIM(MID(SUBSTITUTE(SUBSTITUTE(SUBSTITUTE(UPPER(Tasks[[#This Row],[_Predecessors]]),";",",")," ",""),",",REPT(" ",99)),1,99)))</f>
        <v/>
      </c>
      <c r="CV132" s="43" t="str">
        <f aca="false">IF(Tasks[[#This Row],[_Pred1Text]]="","",IFERROR(VALUE(LEFT(Tasks[[#This Row],[_Pred1Text]],MIN(FIND("F",Tasks[[#This Row],[_Pred1Text]]&amp;"F"),FIND("S",Tasks[[#This Row],[_Pred1Text]]&amp;"S"),FIND("+",Tasks[[#This Row],[_Pred1Text]]&amp;"+"),FIND("-",Tasks[[#This Row],[_Pred1Text]]&amp;"-"))-1)),""))</f>
        <v/>
      </c>
      <c r="CW1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3" t="str">
        <f aca="false">IF(Tasks[[#This Row],[_Pred1Text]]="","",TRIM(MID(SUBSTITUTE(SUBSTITUTE(SUBSTITUTE(UPPER(Tasks[[#This Row],[_Predecessors]]),";",",")," ",""),",",REPT(" ",99)),100,99)))</f>
        <v/>
      </c>
      <c r="CZ132" s="43" t="str">
        <f aca="false">IF(Tasks[[#This Row],[_Pred2Text]]="","",IFERROR(VALUE(LEFT(Tasks[[#This Row],[_Pred2Text]],MIN(FIND("F",Tasks[[#This Row],[_Pred2Text]]&amp;"F"),FIND("S",Tasks[[#This Row],[_Pred2Text]]&amp;"S"),FIND("+",Tasks[[#This Row],[_Pred2Text]]&amp;"+"),FIND("-",Tasks[[#This Row],[_Pred2Text]]&amp;"-"))-1)),""))</f>
        <v/>
      </c>
      <c r="DA1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3" t="str">
        <f aca="false">IF(Tasks[[#This Row],[_Pred2Text]]="","",TRIM(MID(SUBSTITUTE(SUBSTITUTE(SUBSTITUTE(UPPER(Tasks[[#This Row],[_Predecessors]]),";",",")," ",""),",",REPT(" ",99)),199,99)))</f>
        <v/>
      </c>
      <c r="DD132" s="43" t="str">
        <f aca="false">IF(Tasks[[#This Row],[_Pred3Text]]="","",IFERROR(VALUE(LEFT(Tasks[[#This Row],[_Pred3Text]],MIN(FIND("F",Tasks[[#This Row],[_Pred3Text]]&amp;"F"),FIND("S",Tasks[[#This Row],[_Pred3Text]]&amp;"S"),FIND("+",Tasks[[#This Row],[_Pred3Text]]&amp;"+"),FIND("-",Tasks[[#This Row],[_Pred3Text]]&amp;"-"))-1)),""))</f>
        <v/>
      </c>
      <c r="DE1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3" t="str">
        <f aca="false">IF(Tasks[[#This Row],[_Pred3Text]]="","",TRIM(MID(SUBSTITUTE(SUBSTITUTE(SUBSTITUTE(UPPER(Tasks[[#This Row],[_Predecessors]]),";",",")," ",""),",",REPT(" ",99)),298,99)))</f>
        <v/>
      </c>
      <c r="DH132" s="43" t="str">
        <f aca="false">IF(Tasks[[#This Row],[_Pred4Text]]="","",IFERROR(VALUE(LEFT(Tasks[[#This Row],[_Pred4Text]],MIN(FIND("F",Tasks[[#This Row],[_Pred4Text]]&amp;"F"),FIND("S",Tasks[[#This Row],[_Pred4Text]]&amp;"S"),FIND("+",Tasks[[#This Row],[_Pred4Text]]&amp;"+"),FIND("-",Tasks[[#This Row],[_Pred4Text]]&amp;"-"))-1)),""))</f>
        <v/>
      </c>
      <c r="DI1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3" t="str">
        <f aca="false">IF(OR(Tasks[[#This Row],[Task Name]]="",Tasks[[#This Row],[_Resources]]=""),"",TRIM(MID(SUBSTITUTE(Tasks[[#This Row],[_Resources]],",",REPT(" ",99)),1,99)))</f>
        <v/>
      </c>
      <c r="DL132" s="43" t="str">
        <f aca="false">IF(Tasks[[#This Row],[_Res1Text]]="","",TRIM(MID(SUBSTITUTE(Tasks[[#This Row],[_Resources]],",",REPT(" ",99)),100,99)))</f>
        <v/>
      </c>
      <c r="DM132" s="43" t="str">
        <f aca="false">IF(Tasks[[#This Row],[_Res2Text]]="","",TRIM(MID(SUBSTITUTE(Tasks[[#This Row],[_Resources]],",",REPT(" ",99)),199,99)))</f>
        <v/>
      </c>
      <c r="DN132" s="43" t="str">
        <f aca="false">IF(Tasks[[#This Row],[_Res3Text]]="","",TRIM(MID(SUBSTITUTE(Tasks[[#This Row],[_Resources]],",",REPT(" ",99)),298,99)))</f>
        <v/>
      </c>
      <c r="DO132" s="43" t="n">
        <f aca="false">IF(Tasks[[#This Row],[_Res1Text]]="",0,IFERROR(MATCH(TRIM(LEFT(Tasks[[#This Row],[_Res1Text]],FIND("[",Tasks[[#This Row],[_Res1Text]]&amp;"[")-1)),res_Name,0),IFERROR(MATCH(TRIM(LEFT(Tasks[[#This Row],[_Res1Text]],FIND("[",Tasks[[#This Row],[_Res1Text]]&amp;"[")-1)),res_Initials,0),0)))</f>
        <v>0</v>
      </c>
      <c r="DP132" s="43" t="n">
        <f aca="false">IF(Tasks[[#This Row],[_Res2Text]]="",0,IFERROR(MATCH(TRIM(LEFT(Tasks[[#This Row],[_Res2Text]],FIND("[",Tasks[[#This Row],[_Res2Text]]&amp;"[")-1)),res_Name,0),IFERROR(MATCH(TRIM(LEFT(Tasks[[#This Row],[_Res2Text]],FIND("[",Tasks[[#This Row],[_Res2Text]]&amp;"[")-1)),res_Initials,0),0)))</f>
        <v>0</v>
      </c>
      <c r="DQ132" s="43" t="n">
        <f aca="false">IF(Tasks[[#This Row],[_Res3Text]]="",0,IFERROR(MATCH(TRIM(LEFT(Tasks[[#This Row],[_Res3Text]],FIND("[",Tasks[[#This Row],[_Res3Text]]&amp;"[")-1)),res_Name,0),IFERROR(MATCH(TRIM(LEFT(Tasks[[#This Row],[_Res3Text]],FIND("[",Tasks[[#This Row],[_Res3Text]]&amp;"[")-1)),res_Initials,0),0)))</f>
        <v>0</v>
      </c>
      <c r="DR132" s="43" t="n">
        <f aca="false">IF(Tasks[[#This Row],[_Res4Text]]="",0,IFERROR(MATCH(TRIM(LEFT(Tasks[[#This Row],[_Res4Text]],FIND("[",Tasks[[#This Row],[_Res4Text]]&amp;"[")-1)),res_Name,0),IFERROR(MATCH(TRIM(LEFT(Tasks[[#This Row],[_Res4Text]],FIND("[",Tasks[[#This Row],[_Res4Text]]&amp;"[")-1)),res_Initials,0),0)))</f>
        <v>0</v>
      </c>
      <c r="DS132" s="43" t="str">
        <f aca="false">IF(Tasks[[#This Row],[_Res1Text]]="","",IF(Tasks[[#This Row],[_Res1Row]]&gt;0,INDEX(res_Name,Tasks[[#This Row],[_Res1Row]]),TRIM(LEFT(Tasks[[#This Row],[_Res1Text]],FIND("[",Tasks[[#This Row],[_Res1Text]]&amp;"[")-1))))</f>
        <v/>
      </c>
      <c r="DT1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3" t="n">
        <f aca="false">IF(NOT(Tasks[[#This Row],[_IsLeaf]]=1),0,(Tasks[[#This Row],[_Resource1]]&lt;&gt;"")+(Tasks[[#This Row],[_Res2]]&lt;&gt;"")+(Tasks[[#This Row],[_Res3]]&lt;&gt;"")+(Tasks[[#This Row],[_Res4]]&lt;&gt;""))</f>
        <v>0</v>
      </c>
      <c r="DV132" s="43" t="str">
        <f aca="false">IF(Tasks[[#This Row],[_Res2Text]]="","",IF(Tasks[[#This Row],[_Res2Row]]&gt;0,INDEX(res_Name,Tasks[[#This Row],[_Res2Row]]),TRIM(LEFT(Tasks[[#This Row],[_Res2Text]],FIND("[",Tasks[[#This Row],[_Res2Text]]&amp;"[")-1))))</f>
        <v/>
      </c>
      <c r="DW1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3" t="n">
        <f aca="false">IF(OR(NOT(Tasks[[#This Row],[_IsLeaf]]=1),Tasks[[#This Row],[_Res2Row]]=0),0,N(Tasks[[#This Row],[_Days]])*HoursPerDay*IF(Tasks[[#This Row],[_Res2Units]]="",DefaultUnits,Tasks[[#This Row],[_Res2Units]]))</f>
        <v>0</v>
      </c>
      <c r="DY132" s="43" t="n">
        <f aca="false">IF(AND(AND(Tasks[[#This Row],[_IsLeaf]]=1,Tasks[[#This Row],[_LeafTotalWork]]&gt;0),Tasks[[#This Row],[_Res2Work]]&gt;0),Tasks[[#This Row],[_Res2Work]]/(Tasks[[#This Row],[_FinishWorkday]]-Tasks[[#This Row],[_StartWorkday]]+1),0)</f>
        <v>0</v>
      </c>
      <c r="DZ132" s="43" t="n">
        <f aca="false">Tasks[[#This Row],[_Res2WorkPerWD]]*MAX(0,Tasks[[#This Row],[_StartWorkday]]-1)</f>
        <v>0</v>
      </c>
      <c r="EA132" s="43" t="n">
        <f aca="false">Tasks[[#This Row],[_Res2Work]]*Tasks[[#This Row],[_LeafProgress]]</f>
        <v>0</v>
      </c>
      <c r="EB132" s="43" t="str">
        <f aca="false">IF(Tasks[[#This Row],[_Res3Text]]="","",IF(Tasks[[#This Row],[_Res3Row]]&gt;0,INDEX(res_Name,Tasks[[#This Row],[_Res3Row]]),TRIM(LEFT(Tasks[[#This Row],[_Res3Text]],FIND("[",Tasks[[#This Row],[_Res3Text]]&amp;"[")-1))))</f>
        <v/>
      </c>
      <c r="EC1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3" t="n">
        <f aca="false">IF(OR(NOT(Tasks[[#This Row],[_IsLeaf]]=1),Tasks[[#This Row],[_Res3Row]]=0),0,N(Tasks[[#This Row],[_Days]])*HoursPerDay*IF(Tasks[[#This Row],[_Res3Units]]="",DefaultUnits,Tasks[[#This Row],[_Res3Units]]))</f>
        <v>0</v>
      </c>
      <c r="EE132" s="43" t="n">
        <f aca="false">IF(AND(AND(Tasks[[#This Row],[_IsLeaf]]=1,Tasks[[#This Row],[_LeafTotalWork]]&gt;0),Tasks[[#This Row],[_Res3Work]]&gt;0),Tasks[[#This Row],[_Res3Work]]/(Tasks[[#This Row],[_FinishWorkday]]-Tasks[[#This Row],[_StartWorkday]]+1),0)</f>
        <v>0</v>
      </c>
      <c r="EF132" s="43" t="n">
        <f aca="false">Tasks[[#This Row],[_Res3WorkPerWD]]*MAX(0,Tasks[[#This Row],[_StartWorkday]]-1)</f>
        <v>0</v>
      </c>
      <c r="EG132" s="43" t="n">
        <f aca="false">Tasks[[#This Row],[_Res3Work]]*Tasks[[#This Row],[_LeafProgress]]</f>
        <v>0</v>
      </c>
      <c r="EH132" s="43" t="str">
        <f aca="false">IF(Tasks[[#This Row],[_Res4Text]]="","",IF(Tasks[[#This Row],[_Res4Row]]&gt;0,INDEX(res_Name,Tasks[[#This Row],[_Res4Row]]),TRIM(LEFT(Tasks[[#This Row],[_Res4Text]],FIND("[",Tasks[[#This Row],[_Res4Text]]&amp;"[")-1))))</f>
        <v/>
      </c>
      <c r="EI1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3" t="n">
        <f aca="false">IF(OR(NOT(Tasks[[#This Row],[_IsLeaf]]=1),Tasks[[#This Row],[_Res4Row]]=0),0,N(Tasks[[#This Row],[_Days]])*HoursPerDay*IF(Tasks[[#This Row],[_Res4Units]]="",DefaultUnits,Tasks[[#This Row],[_Res4Units]]))</f>
        <v>0</v>
      </c>
      <c r="EK132" s="43" t="n">
        <f aca="false">IF(AND(AND(Tasks[[#This Row],[_IsLeaf]]=1,Tasks[[#This Row],[_LeafTotalWork]]&gt;0),Tasks[[#This Row],[_Res4Work]]&gt;0),Tasks[[#This Row],[_Res4Work]]/(Tasks[[#This Row],[_FinishWorkday]]-Tasks[[#This Row],[_StartWorkday]]+1),0)</f>
        <v>0</v>
      </c>
      <c r="EL132" s="43" t="n">
        <f aca="false">Tasks[[#This Row],[_Res4WorkPerWD]]*MAX(0,Tasks[[#This Row],[_StartWorkday]]-1)</f>
        <v>0</v>
      </c>
      <c r="EM132" s="43" t="n">
        <f aca="false">Tasks[[#This Row],[_Res4Work]]*Tasks[[#This Row],[_LeafProgress]]</f>
        <v>0</v>
      </c>
      <c r="EN132" s="43" t="n">
        <f aca="false">IF(ISNUMBER(Tasks[[#This Row],[% Complete]]),Tasks[[#This Row],[% Complete]],IF(Tasks[[#This Row],[Stage]]="",0,IFERROR(INDEX(stg_Pct,MATCH(Tasks[[#This Row],[Stage]],stg_Name,0)),0)))</f>
        <v>0</v>
      </c>
      <c r="EO132" s="43" t="n">
        <f aca="false">IF(NOT(Tasks[[#This Row],[_IsLeaf]]=1),0,IF(N(Tasks[[#This Row],[Actual Finish]])&gt;0,1,MIN(1,Tasks[[#This Row],[_Pct]])))</f>
        <v>0</v>
      </c>
      <c r="EP132" s="43" t="n">
        <f aca="false">IF(OR(NOT(Tasks[[#This Row],[_IsLeaf]]=1),Tasks[[#This Row],[_Res1Row]]=0),0,N(Tasks[[#This Row],[_Days]])*HoursPerDay*IF(Tasks[[#This Row],[_Units1]]="",DefaultUnits,Tasks[[#This Row],[_Units1]]))</f>
        <v>0</v>
      </c>
      <c r="EQ132" s="43" t="n">
        <f aca="false">Tasks[[#This Row],[_LeafWork]]+Tasks[[#This Row],[_Res2Work]]+Tasks[[#This Row],[_Res3Work]]+Tasks[[#This Row],[_Res4Work]]</f>
        <v>0</v>
      </c>
      <c r="ER1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3" t="n">
        <f aca="false">IF(NOT(Tasks[[#This Row],[_IsLeaf]]=1),0,MAX(_xlfn.MAXIFS(Tasks[_Row],Tasks[_Pred1UID],Tasks[[#This Row],[UID]]),_xlfn.MAXIFS(Tasks[_Row],Tasks[_Pred2UID],Tasks[[#This Row],[UID]]),_xlfn.MAXIFS(Tasks[_Row],Tasks[_Pred3UID],Tasks[[#This Row],[UID]]),_xlfn.MAXIFS(Tasks[_Row],Tasks[_Pred4UID],Tasks[[#This Row],[UID]])))</f>
        <v>0</v>
      </c>
      <c r="FA1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91" t="str">
        <f aca="false">IF(NOT(Tasks[[#This Row],[_IsLeaf]]=1),"",IF(N(Tasks[[#This Row],[_Days]])&lt;=0,Tasks[[#This Row],[_LeafLateFinish]],WORKDAY.INTL(Tasks[[#This Row],[_LeafLateFinish]],-(Tasks[[#This Row],[_Days]]-1),WorkWeek,Holidays)))</f>
        <v/>
      </c>
      <c r="FD1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2" s="90" t="b">
        <f aca="false">AND(Tasks[[#This Row],[_IsLeaf]]=1,Tasks[[#This Row],[_LeafProgress]]&lt;1,N(Tasks[[#This Row],[_LeafTotalSlack]])&lt;=CriticalSlackDays)</f>
        <v>0</v>
      </c>
      <c r="FF132" s="43" t="n">
        <f aca="false">IF(AND(Tasks[[#This Row],[_IsLeaf]]=1,Tasks[[#This Row],[_ConstraintCode]]=1,Tasks[[#This Row],[Mode]]&lt;&gt;"Manual",N(Tasks[[#This Row],[Actual Start]])=0),MAX(0,N(Tasks[[#This Row],[Free Slack]])),0)</f>
        <v>0</v>
      </c>
      <c r="FG132" s="91" t="str">
        <f aca="false">IF(NOT(Tasks[[#This Row],[_IsLeaf]]=1),"",IF(Tasks[[#This Row],[_AlapShift]]=0,Tasks[[#This Row],[_LeafCalcStart]],WORKDAY.INTL(Tasks[[#This Row],[_LeafCalcStart]],Tasks[[#This Row],[_AlapShift]],WorkWeek,Holidays)))</f>
        <v/>
      </c>
      <c r="FH132" s="91" t="str">
        <f aca="false">IF(NOT(Tasks[[#This Row],[_IsLeaf]]=1),"",IF(Tasks[[#This Row],[_AlapShift]]=0,Tasks[[#This Row],[_LeafCalcFinish]],WORKDAY.INTL(Tasks[[#This Row],[_LeafCalcFinish]],Tasks[[#This Row],[_AlapShift]],WorkWeek,Holidays)))</f>
        <v/>
      </c>
      <c r="FI132" s="91" t="str">
        <f aca="false">IF(NOT(Tasks[[#This Row],[_IsLeaf]]=1),"",IF(Tasks[[#This Row],[_AlapShift]]=0,Tasks[[#This Row],[_LeafFcstStart]],WORKDAY.INTL(Tasks[[#This Row],[_LeafFcstStart]],Tasks[[#This Row],[_AlapShift]],WorkWeek,Holidays)))</f>
        <v/>
      </c>
      <c r="FJ132" s="91" t="str">
        <f aca="false">IF(NOT(Tasks[[#This Row],[_IsLeaf]]=1),"",IF(Tasks[[#This Row],[_AlapShift]]=0,Tasks[[#This Row],[_LeafFcstFinish]],WORKDAY.INTL(Tasks[[#This Row],[_LeafFcstFinish]],Tasks[[#This Row],[_AlapShift]],WorkWeek,Holidays)))</f>
        <v/>
      </c>
      <c r="FK132" s="91" t="str">
        <f aca="false">IF(Tasks[[#This Row],[Task Name]]="","",IF(Tasks[[#This Row],[_IsSummary]],MIN(INDEX(Tasks[_ShownCalcStart],Tasks[[#This Row],[_Row]]+1):INDEX(Tasks[_ShownCalcStart],Tasks[[#This Row],[_Row]]+Tasks[[#This Row],[_Descendants]])),Tasks[[#This Row],[_ShownCalcStart]]))</f>
        <v/>
      </c>
      <c r="FL132" s="91" t="str">
        <f aca="false">IF(Tasks[[#This Row],[Task Name]]="","",IF(Tasks[[#This Row],[_IsSummary]],MAX(INDEX(Tasks[_ShownCalcFinish],Tasks[[#This Row],[_Row]]+1):INDEX(Tasks[_ShownCalcFinish],Tasks[[#This Row],[_Row]]+Tasks[[#This Row],[_Descendants]])),Tasks[[#This Row],[_ShownCalcFinish]]))</f>
        <v/>
      </c>
      <c r="FM1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2" s="43" t="n">
        <f aca="false">IF(AND(Tasks[[#This Row],[_IsLeaf]]=1,Tasks[[#This Row],[_LeafTotalWork]]&gt;0),NETWORKDAYS.INTL(ProjectStart,Tasks[[#This Row],[_ShownFcstStart]],WorkWeek,Holidays),0)</f>
        <v>0</v>
      </c>
      <c r="FZ132" s="43" t="n">
        <f aca="false">IF(AND(Tasks[[#This Row],[_IsLeaf]]=1,Tasks[[#This Row],[_LeafTotalWork]]&gt;0),MAX(Tasks[[#This Row],[_StartWorkday]],NETWORKDAYS.INTL(ProjectStart,Tasks[[#This Row],[_ShownFcstFinish]],WorkWeek,Holidays)),0)</f>
        <v>0</v>
      </c>
      <c r="GA132" s="43" t="n">
        <f aca="false">IF(AND(Tasks[[#This Row],[_IsLeaf]]=1,Tasks[[#This Row],[_LeafTotalWork]]&gt;0),Tasks[[#This Row],[_LeafWork]]/(Tasks[[#This Row],[_FinishWorkday]]-Tasks[[#This Row],[_StartWorkday]]+1),0)</f>
        <v>0</v>
      </c>
      <c r="GB132" s="43" t="n">
        <f aca="false">Tasks[[#This Row],[_WorkPerWorkday]]*(Tasks[[#This Row],[_StartWorkday]]-1)</f>
        <v>-0</v>
      </c>
      <c r="GC132" s="43" t="n">
        <f aca="false">IF(Tasks[[#This Row],[_IsLeaf]]=1,MAX(N(Tasks[[#This Row],[_Days]]),0.1),0)</f>
        <v>0</v>
      </c>
      <c r="GD132" s="43" t="n">
        <f aca="false">Tasks[[#This Row],[_WeightDur]]*Tasks[[#This Row],[_LeafProgress]]</f>
        <v>0</v>
      </c>
      <c r="GE132" s="43" t="n">
        <f aca="false">Tasks[[#This Row],[_WeightDur]]*Tasks[[#This Row],[_PlannedPct]]</f>
        <v>0</v>
      </c>
      <c r="GF1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3" t="str">
        <f aca="false">IF(AND(Tasks[[#This Row],[_IsLeaf]]=1,N(Tasks[[#This Row],[_Days]])=0,Tasks[[#This Row],[_LeafProgress]]&lt;1),Tasks[[#This Row],[_ShownFcstFinish]]+Tasks[[#This Row],[_Row]]/100000,"")</f>
        <v/>
      </c>
      <c r="GH1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2" s="43" t="str">
        <f aca="false">IF(Tasks[[#This Row],[Task Name]]="","",LEFT(Tasks[[#This Row],[WBS]],FIND(".",Tasks[[#This Row],[WBS]]&amp;".")-1))</f>
        <v/>
      </c>
      <c r="GJ132" s="43" t="str">
        <f aca="false">IF(AND(Tasks[[#This Row],[Task Name]]&lt;&gt;"",Tasks[[#This Row],[_Level]]=1),Tasks[[#This Row],[_Row]],"")</f>
        <v/>
      </c>
      <c r="GK132" s="43" t="str">
        <f aca="false">IF(AND(Tasks[[#This Row],[_IsLeaf]]=1,N(Tasks[[#This Row],[_Days]])=0),Tasks[[#This Row],[Planned Finish]]+Tasks[[#This Row],[_Row]]/100000,"")</f>
        <v/>
      </c>
      <c r="GL132" s="43" t="str">
        <f aca="false">IF(AND(Tasks[[#This Row],[_IsLeaf]]=1,Tasks[[#This Row],[_LeafProgress]]&lt;1,OR(N(Tasks[[#This Row],[Finish Var]])&gt;0,Tasks[[#This Row],[Status]]="Late Start")),MAX(0,Tasks[[#This Row],[Finish Var]])+1-Tasks[[#This Row],[_Row]]/1000000,"")</f>
        <v/>
      </c>
      <c r="GM132" s="43" t="str">
        <f aca="false">IF(AND(Tasks[[#This Row],[_IsLeaf]]=1,N(Tasks[[#This Row],[Actual Start]])=0,Tasks[[#This Row],[_ShownFcstStart]]&gt;=StatusDate,Tasks[[#This Row],[_ShownFcstStart]]&lt;=LookaheadEnd),Tasks[[#This Row],[_ShownFcstStart]]+Tasks[[#This Row],[_Row]]/100000,"")</f>
        <v/>
      </c>
      <c r="GN132" s="43" t="str">
        <f aca="false">IF(AND(Tasks[[#This Row],[_IsLeaf]]=1,Tasks[[#This Row],[_LeafProgress]]&lt;1,Tasks[[#This Row],[_ShownFcstFinish]]&gt;=StatusDate,Tasks[[#This Row],[_ShownFcstFinish]]&lt;=LookaheadEnd),Tasks[[#This Row],[_ShownFcstFinish]]+Tasks[[#This Row],[_Row]]/100000,"")</f>
        <v/>
      </c>
      <c r="GO132" s="43" t="str">
        <f aca="false">IF(Tasks[[#This Row],[_LeafCritical]],Tasks[[#This Row],[_ShownFcstStart]]+Tasks[[#This Row],[_Row]]/100000,"")</f>
        <v/>
      </c>
      <c r="GP132" s="43" t="n">
        <f aca="false">Tasks[[#This Row],[_LeafWork]]*Tasks[[#This Row],[_LeafProgress]]</f>
        <v>0</v>
      </c>
      <c r="GQ132" s="91" t="str">
        <f aca="false">IF(AND(Tasks[[#This Row],[_IsLeaf]]=1,Tasks[[#This Row],[_LeafProgress]]&gt;=1),IF(N(Tasks[[#This Row],[Actual Finish]])&gt;0,Tasks[[#This Row],[Actual Finish]],Tasks[[#This Row],[_ShownFcstFinish]]),"")</f>
        <v/>
      </c>
      <c r="GR132" s="43" t="n">
        <f aca="false">IF(Tasks[[#This Row],[_IsLeaf]]=1,N(Tasks[[#This Row],[Story Points]]),0)</f>
        <v>0</v>
      </c>
      <c r="GS132" s="43" t="str">
        <f aca="false">""</f>
        <v/>
      </c>
      <c r="GT132" s="90" t="b">
        <f aca="false">IF(Tasks[[#This Row],[Task Name]]="",FALSE(),AND(Tasks[[#This Row],[_IsLeaf]]=1,N(Tasks[[#This Row],[_Days]])=0))</f>
        <v>0</v>
      </c>
      <c r="GU132" s="91" t="n">
        <f aca="false">IF(Tasks[[#This Row],[Task Name]]="",0,IF(AND(Tasks[[#This Row],[_IsLeaf]]=1,NOT(Tasks[[#This Row],[_IsMilestone]]),N(Tasks[[#This Row],[Progress]])&gt;0),Tasks[[#This Row],[Start]],0))</f>
        <v>0</v>
      </c>
      <c r="GV132" s="91" t="n">
        <f aca="false">IF(Tasks[[#This Row],[_DoneFrom]]=0,0,IF(Tasks[[#This Row],[Progress]]&gt;=1,Tasks[[#This Row],[Finish]],MAX(Tasks[[#This Row],[_DoneFrom]],Tasks[[#This Row],[Start]]+ROUND((Tasks[[#This Row],[Finish]]-Tasks[[#This Row],[Start]]+1)*Tasks[[#This Row],[Progress]],0)-1)))</f>
        <v>0</v>
      </c>
      <c r="GW132" s="91" t="n">
        <f aca="false">IF(Tasks[[#This Row],[Task Name]]="",0,IF(OR(NOT(Tasks[[#This Row],[_IsLeaf]]=1),Tasks[[#This Row],[_IsMilestone]],N(Tasks[[#This Row],[Progress]])&gt;=1),0,IF(Tasks[[#This Row],[_DoneTo]]&gt;0,Tasks[[#This Row],[_DoneTo]]+1,Tasks[[#This Row],[Start]])))</f>
        <v>0</v>
      </c>
      <c r="GX132" s="91" t="n">
        <f aca="false">IF(Tasks[[#This Row],[_RemFrom]]=0,0,Tasks[[#This Row],[Finish]])</f>
        <v>0</v>
      </c>
      <c r="GY132" s="90" t="b">
        <f aca="false">IF(Tasks[[#This Row],[Task Name]]="",FALSE(),OR(NOT(BaselineSet),N(Tasks[[#This Row],[Baseline Start]])&gt;0))</f>
        <v>0</v>
      </c>
      <c r="GZ13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92" t="str">
        <f aca="false">IF(Tasks[[#This Row],[_IsLeaf]]=1,Tasks[[#This Row],[_Row]],"")</f>
        <v/>
      </c>
      <c r="HD132" s="92" t="str">
        <f aca="false">IFERROR(INDEX(Tasks[UID],SMALL(Tasks[_PickKey],Tasks[[#This Row],[_Row]]))&amp;" "&amp;INDEX(Tasks[Task Name],SMALL(Tasks[_PickKey],Tasks[[#This Row],[_Row]])),"")</f>
        <v/>
      </c>
      <c r="HE132" s="43" t="str">
        <f aca="false">IF(Tasks[[#This Row],[Task Name]]="","",IF(Tasks[[#This Row],[_IsSummary]],NETWORKDAYS.INTL(Tasks[[#This Row],[Start]],Tasks[[#This Row],[Finish]],WorkWeek,Holidays),N(Tasks[[#This Row],[_Days]])))</f>
        <v/>
      </c>
      <c r="HF132" s="43" t="n">
        <f aca="false">IF(Tasks[[#This Row],[Expected]]="",0,((Tasks[[#This Row],[Pessimistic]]-Tasks[[#This Row],[Optimistic]])/6)^2)</f>
        <v>0</v>
      </c>
      <c r="HG132" s="43" t="n">
        <f aca="false">IF(Tasks[[#This Row],[Expected]]="",0,Tasks[[#This Row],[Expected]]-N(Tasks[[#This Row],[_Days]]))</f>
        <v>0</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4"/>
      <c r="U133" s="23"/>
      <c r="V133" s="84"/>
      <c r="W133" s="23"/>
      <c r="X133" s="84"/>
      <c r="Y133" s="23"/>
      <c r="Z133" s="84"/>
      <c r="AA133" s="23"/>
      <c r="AB133" s="23"/>
      <c r="AC133" s="7"/>
      <c r="AD133" s="7"/>
      <c r="AE133" s="63" t="str">
        <f aca="false">IF(Tasks[[#This Row],[Task Name]]="","",IF(Tasks[[#This Row],[_IsSummary]],MIN(INDEX(Tasks[_ShownFcstStart],Tasks[[#This Row],[_Row]]+1):INDEX(Tasks[_ShownFcstStart],Tasks[[#This Row],[_Row]]+Tasks[[#This Row],[_Descendants]])),Tasks[[#This Row],[_ShownFcstStart]]))</f>
        <v/>
      </c>
      <c r="AF133" s="63"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3" s="7"/>
      <c r="AK133" s="22"/>
      <c r="AL133" s="23"/>
      <c r="AM133" s="7"/>
      <c r="AN133" s="47"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3" t="str">
        <f aca="false">IF(Tasks[[#This Row],[Task Name]]="","",IF(N(Tasks[[#This Row],[Baseline Start]])&gt;0,Tasks[[#This Row],[Baseline Start]],Tasks[[#This Row],[_CalcStart]]))</f>
        <v/>
      </c>
      <c r="AR133" s="63" t="str">
        <f aca="false">IF(Tasks[[#This Row],[Task Name]]="","",IF(N(Tasks[[#This Row],[Baseline Finish]])&gt;0,Tasks[[#This Row],[Baseline Finish]],Tasks[[#This Row],[_CalcFinish]]))</f>
        <v/>
      </c>
      <c r="AS133" s="47" t="str">
        <f aca="false">IF(Tasks[[#This Row],[Task Name]]="","",IF(Tasks[[#This Row],[Start]]&gt;=Tasks[[#This Row],[Planned Start]],NETWORKDAYS.INTL(Tasks[[#This Row],[Planned Start]],Tasks[[#This Row],[Start]],WorkWeek,Holidays)-1,1-NETWORKDAYS.INTL(Tasks[[#This Row],[Start]],Tasks[[#This Row],[Planned Start]],WorkWeek,Holidays)))</f>
        <v/>
      </c>
      <c r="AT133" s="63" t="str">
        <f aca="false">IF(Tasks[[#This Row],[Task Name]]="","",IF(Tasks[[#This Row],[_IsSummary]],MIN(INDEX(Tasks[_LeafLateStart],Tasks[[#This Row],[_Row]]+1):INDEX(Tasks[_LeafLateStart],Tasks[[#This Row],[_Row]]+Tasks[[#This Row],[_Descendants]])),Tasks[[#This Row],[_LeafLateStart]]))</f>
        <v/>
      </c>
      <c r="AU133" s="63" t="str">
        <f aca="false">IF(Tasks[[#This Row],[Task Name]]="","",IF(Tasks[[#This Row],[_IsSummary]],MAX(INDEX(Tasks[_LeafLateFinish],Tasks[[#This Row],[_Row]]+1):INDEX(Tasks[_LeafLateFinish],Tasks[[#This Row],[_Row]]+Tasks[[#This Row],[_Descendants]])),Tasks[[#This Row],[_LeafLateFinish]]))</f>
        <v/>
      </c>
      <c r="AV133" s="47"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5"/>
      <c r="BA1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6"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7"/>
      <c r="BJ133" s="22"/>
      <c r="BK133" s="47" t="str">
        <f aca="false">IF(OR(Tasks[[#This Row],[Task Name]]="",Tasks[[#This Row],[Baseline Duration]]=""),"",Tasks[[#This Row],[_SpanDays]]-N(Tasks[[#This Row],[Baseline Duration]]))</f>
        <v/>
      </c>
      <c r="BL133" s="86" t="str">
        <f aca="false">IF(OR(Tasks[[#This Row],[Task Name]]="",Tasks[[#This Row],[Baseline Work]]=""),"",Tasks[[#This Row],[Work]]-N(Tasks[[#This Row],[Baseline Work]]))</f>
        <v/>
      </c>
      <c r="BM133" s="63" t="str">
        <f aca="false">IF(Tasks[[#This Row],[Task Name]]="","",IF(OR(TakeBaseline="Yes",N(Tasks[[#This Row],[Baseline Start]])=0),Tasks[[#This Row],[Start]],Tasks[[#This Row],[Baseline Start]]))</f>
        <v/>
      </c>
      <c r="BN133" s="63" t="str">
        <f aca="false">IF(Tasks[[#This Row],[Task Name]]="","",IF(OR(TakeBaseline="Yes",N(Tasks[[#This Row],[Baseline Finish]])=0),Tasks[[#This Row],[Finish]],Tasks[[#This Row],[Baseline Finish]]))</f>
        <v/>
      </c>
      <c r="BO133" s="21" t="str">
        <f aca="false">IF(Tasks[[#This Row],[Task Name]]="","",IF(OR(TakeBaseline="Yes",N(Tasks[[#This Row],[Baseline Duration]])=0),Tasks[[#This Row],[_SpanDays]],Tasks[[#This Row],[Baseline Duration]]))</f>
        <v/>
      </c>
      <c r="BP133" s="86" t="str">
        <f aca="false">IF(Tasks[[#This Row],[Task Name]]="","",IF(OR(TakeBaseline="Yes",N(Tasks[[#This Row],[Baseline Work]])=0),Tasks[[#This Row],[Work]],Tasks[[#This Row],[Baseline Work]]))</f>
        <v/>
      </c>
      <c r="BQ133" s="7"/>
      <c r="BR133" s="7"/>
      <c r="BS133" s="22"/>
      <c r="BT133" s="88"/>
      <c r="BU133" s="23"/>
      <c r="BV133" s="23"/>
      <c r="BW133" s="23"/>
      <c r="BX133" s="89" t="str">
        <f aca="false">IF(AND(Tasks[[#This Row],[_IsLeaf]]=1,ISNUMBER(Tasks[[#This Row],[Optimistic]]),ISNUMBER(Tasks[[#This Row],[Pessimistic]])),ROUND((Tasks[[#This Row],[Optimistic]]+4*N(Tasks[[#This Row],[_Days]])+Tasks[[#This Row],[Pessimistic]])/6,1),"")</f>
        <v/>
      </c>
      <c r="BY133" s="87"/>
      <c r="BZ133" s="87"/>
      <c r="CA133" s="22"/>
      <c r="CB133" s="43" t="str">
        <f aca="false">IF(Tasks[[#This Row],[Task Name]]="","",MAX(1,N(Tasks[[#This Row],[Level]])))</f>
        <v/>
      </c>
      <c r="CC133" s="43" t="n">
        <f aca="false">ROW()-ROW(Tasks[[#Headers],[ID]])</f>
        <v>128</v>
      </c>
      <c r="CD133" s="43" t="n">
        <f aca="false">IF(OR(Tasks[[#This Row],[Task Name]]="",Tasks[[#This Row],[_Level]]&lt;=1),0,IFERROR(LOOKUP(2,1/(Tasks[[#Headers],[_Level]]:Tasks[[#This Row],[_Level]]=Tasks[[#This Row],[_Level]]-1),ROW(Tasks[[#Headers],[_Level]]:Tasks[[#This Row],[_Level]])),0))</f>
        <v>0</v>
      </c>
      <c r="CE133" s="43" t="n">
        <f aca="false">IFERROR(N(INDEX(Tasks[_Level],Tasks[[#This Row],[_Row]]+1)),0)</f>
        <v>0</v>
      </c>
      <c r="CF133" s="90" t="b">
        <f aca="false">AND(Tasks[[#This Row],[Task Name]]&lt;&gt;"",Tasks[[#This Row],[_NextLevel]]&gt;Tasks[[#This Row],[_Level]])</f>
        <v>0</v>
      </c>
      <c r="CG133" s="43" t="n">
        <f aca="false">IF(Tasks[[#This Row],[_IsSummary]],COUNTIF(Tasks[WBS],Tasks[[#This Row],[WBS]]&amp;".*"),0)</f>
        <v>0</v>
      </c>
      <c r="CH133" s="43" t="n">
        <f aca="false">IF(AND(Tasks[[#This Row],[Task Name]]&lt;&gt;"",NOT(Tasks[[#This Row],[_IsSummary]])),1,0)</f>
        <v>0</v>
      </c>
      <c r="CI133" s="43" t="n">
        <f aca="false">IF(N(Tasks[[#This Row],[_Pred1UID]])=0,0,IFERROR(MATCH(Tasks[[#This Row],[_Pred1UID]],Tasks[UID],0),-1))</f>
        <v>0</v>
      </c>
      <c r="CJ133" s="43" t="n">
        <f aca="false">IF(N(Tasks[[#This Row],[_Pred2UID]])=0,0,IFERROR(MATCH(Tasks[[#This Row],[_Pred2UID]],Tasks[UID],0),-1))</f>
        <v>0</v>
      </c>
      <c r="CK133" s="43" t="n">
        <f aca="false">IF(N(Tasks[[#This Row],[_Pred3UID]])=0,0,IFERROR(MATCH(Tasks[[#This Row],[_Pred3UID]],Tasks[UID],0),-1))</f>
        <v>0</v>
      </c>
      <c r="CL133" s="43" t="n">
        <f aca="false">IF(N(Tasks[[#This Row],[_Pred4UID]])=0,0,IFERROR(MATCH(Tasks[[#This Row],[_Pred4UID]],Tasks[UID],0),-1))</f>
        <v>0</v>
      </c>
      <c r="CM1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3" s="91" t="n">
        <f aca="false">IF(OR(Tasks[[#This Row],[_ConstraintCode]]=2,Tasks[[#This Row],[_ConstraintCode]]=3,Tasks[[#This Row],[_ConstraintCode]]=4,Tasks[[#This Row],[_ConstraintCode]]=6),Tasks[[#This Row],[_ConstraintStart]],0)</f>
        <v>0</v>
      </c>
      <c r="CP133" s="91" t="n">
        <f aca="false">IF(OR(Tasks[[#This Row],[_ConstraintCode]]=2,Tasks[[#This Row],[_ConstraintCode]]=3,Tasks[[#This Row],[_ConstraintCode]]=5,Tasks[[#This Row],[_ConstraintCode]]=7),Tasks[[#This Row],[_ConstraintStart]],2958465)</f>
        <v>2958465</v>
      </c>
      <c r="CQ1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91" t="str">
        <f aca="false">IF(NOT(Tasks[[#This Row],[_IsLeaf]]=1),"",IF(N(Tasks[[#This Row],[_Days]])&lt;=0,Tasks[[#This Row],[_LeafCalcStart]],WORKDAY.INTL(Tasks[[#This Row],[_LeafCalcStart]],Tasks[[#This Row],[_Days]]-1,WorkWeek,Holidays)))</f>
        <v/>
      </c>
      <c r="CS1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3" t="str">
        <f aca="false">IF(Tasks[[#This Row],[_Predecessors]]="","",TRIM(MID(SUBSTITUTE(SUBSTITUTE(SUBSTITUTE(UPPER(Tasks[[#This Row],[_Predecessors]]),";",",")," ",""),",",REPT(" ",99)),1,99)))</f>
        <v/>
      </c>
      <c r="CV133" s="43" t="str">
        <f aca="false">IF(Tasks[[#This Row],[_Pred1Text]]="","",IFERROR(VALUE(LEFT(Tasks[[#This Row],[_Pred1Text]],MIN(FIND("F",Tasks[[#This Row],[_Pred1Text]]&amp;"F"),FIND("S",Tasks[[#This Row],[_Pred1Text]]&amp;"S"),FIND("+",Tasks[[#This Row],[_Pred1Text]]&amp;"+"),FIND("-",Tasks[[#This Row],[_Pred1Text]]&amp;"-"))-1)),""))</f>
        <v/>
      </c>
      <c r="CW1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3" t="str">
        <f aca="false">IF(Tasks[[#This Row],[_Pred1Text]]="","",TRIM(MID(SUBSTITUTE(SUBSTITUTE(SUBSTITUTE(UPPER(Tasks[[#This Row],[_Predecessors]]),";",",")," ",""),",",REPT(" ",99)),100,99)))</f>
        <v/>
      </c>
      <c r="CZ133" s="43" t="str">
        <f aca="false">IF(Tasks[[#This Row],[_Pred2Text]]="","",IFERROR(VALUE(LEFT(Tasks[[#This Row],[_Pred2Text]],MIN(FIND("F",Tasks[[#This Row],[_Pred2Text]]&amp;"F"),FIND("S",Tasks[[#This Row],[_Pred2Text]]&amp;"S"),FIND("+",Tasks[[#This Row],[_Pred2Text]]&amp;"+"),FIND("-",Tasks[[#This Row],[_Pred2Text]]&amp;"-"))-1)),""))</f>
        <v/>
      </c>
      <c r="DA1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3" t="str">
        <f aca="false">IF(Tasks[[#This Row],[_Pred2Text]]="","",TRIM(MID(SUBSTITUTE(SUBSTITUTE(SUBSTITUTE(UPPER(Tasks[[#This Row],[_Predecessors]]),";",",")," ",""),",",REPT(" ",99)),199,99)))</f>
        <v/>
      </c>
      <c r="DD133" s="43" t="str">
        <f aca="false">IF(Tasks[[#This Row],[_Pred3Text]]="","",IFERROR(VALUE(LEFT(Tasks[[#This Row],[_Pred3Text]],MIN(FIND("F",Tasks[[#This Row],[_Pred3Text]]&amp;"F"),FIND("S",Tasks[[#This Row],[_Pred3Text]]&amp;"S"),FIND("+",Tasks[[#This Row],[_Pred3Text]]&amp;"+"),FIND("-",Tasks[[#This Row],[_Pred3Text]]&amp;"-"))-1)),""))</f>
        <v/>
      </c>
      <c r="DE1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3" t="str">
        <f aca="false">IF(Tasks[[#This Row],[_Pred3Text]]="","",TRIM(MID(SUBSTITUTE(SUBSTITUTE(SUBSTITUTE(UPPER(Tasks[[#This Row],[_Predecessors]]),";",",")," ",""),",",REPT(" ",99)),298,99)))</f>
        <v/>
      </c>
      <c r="DH133" s="43" t="str">
        <f aca="false">IF(Tasks[[#This Row],[_Pred4Text]]="","",IFERROR(VALUE(LEFT(Tasks[[#This Row],[_Pred4Text]],MIN(FIND("F",Tasks[[#This Row],[_Pred4Text]]&amp;"F"),FIND("S",Tasks[[#This Row],[_Pred4Text]]&amp;"S"),FIND("+",Tasks[[#This Row],[_Pred4Text]]&amp;"+"),FIND("-",Tasks[[#This Row],[_Pred4Text]]&amp;"-"))-1)),""))</f>
        <v/>
      </c>
      <c r="DI1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3" t="str">
        <f aca="false">IF(OR(Tasks[[#This Row],[Task Name]]="",Tasks[[#This Row],[_Resources]]=""),"",TRIM(MID(SUBSTITUTE(Tasks[[#This Row],[_Resources]],",",REPT(" ",99)),1,99)))</f>
        <v/>
      </c>
      <c r="DL133" s="43" t="str">
        <f aca="false">IF(Tasks[[#This Row],[_Res1Text]]="","",TRIM(MID(SUBSTITUTE(Tasks[[#This Row],[_Resources]],",",REPT(" ",99)),100,99)))</f>
        <v/>
      </c>
      <c r="DM133" s="43" t="str">
        <f aca="false">IF(Tasks[[#This Row],[_Res2Text]]="","",TRIM(MID(SUBSTITUTE(Tasks[[#This Row],[_Resources]],",",REPT(" ",99)),199,99)))</f>
        <v/>
      </c>
      <c r="DN133" s="43" t="str">
        <f aca="false">IF(Tasks[[#This Row],[_Res3Text]]="","",TRIM(MID(SUBSTITUTE(Tasks[[#This Row],[_Resources]],",",REPT(" ",99)),298,99)))</f>
        <v/>
      </c>
      <c r="DO133" s="43" t="n">
        <f aca="false">IF(Tasks[[#This Row],[_Res1Text]]="",0,IFERROR(MATCH(TRIM(LEFT(Tasks[[#This Row],[_Res1Text]],FIND("[",Tasks[[#This Row],[_Res1Text]]&amp;"[")-1)),res_Name,0),IFERROR(MATCH(TRIM(LEFT(Tasks[[#This Row],[_Res1Text]],FIND("[",Tasks[[#This Row],[_Res1Text]]&amp;"[")-1)),res_Initials,0),0)))</f>
        <v>0</v>
      </c>
      <c r="DP133" s="43" t="n">
        <f aca="false">IF(Tasks[[#This Row],[_Res2Text]]="",0,IFERROR(MATCH(TRIM(LEFT(Tasks[[#This Row],[_Res2Text]],FIND("[",Tasks[[#This Row],[_Res2Text]]&amp;"[")-1)),res_Name,0),IFERROR(MATCH(TRIM(LEFT(Tasks[[#This Row],[_Res2Text]],FIND("[",Tasks[[#This Row],[_Res2Text]]&amp;"[")-1)),res_Initials,0),0)))</f>
        <v>0</v>
      </c>
      <c r="DQ133" s="43" t="n">
        <f aca="false">IF(Tasks[[#This Row],[_Res3Text]]="",0,IFERROR(MATCH(TRIM(LEFT(Tasks[[#This Row],[_Res3Text]],FIND("[",Tasks[[#This Row],[_Res3Text]]&amp;"[")-1)),res_Name,0),IFERROR(MATCH(TRIM(LEFT(Tasks[[#This Row],[_Res3Text]],FIND("[",Tasks[[#This Row],[_Res3Text]]&amp;"[")-1)),res_Initials,0),0)))</f>
        <v>0</v>
      </c>
      <c r="DR133" s="43" t="n">
        <f aca="false">IF(Tasks[[#This Row],[_Res4Text]]="",0,IFERROR(MATCH(TRIM(LEFT(Tasks[[#This Row],[_Res4Text]],FIND("[",Tasks[[#This Row],[_Res4Text]]&amp;"[")-1)),res_Name,0),IFERROR(MATCH(TRIM(LEFT(Tasks[[#This Row],[_Res4Text]],FIND("[",Tasks[[#This Row],[_Res4Text]]&amp;"[")-1)),res_Initials,0),0)))</f>
        <v>0</v>
      </c>
      <c r="DS133" s="43" t="str">
        <f aca="false">IF(Tasks[[#This Row],[_Res1Text]]="","",IF(Tasks[[#This Row],[_Res1Row]]&gt;0,INDEX(res_Name,Tasks[[#This Row],[_Res1Row]]),TRIM(LEFT(Tasks[[#This Row],[_Res1Text]],FIND("[",Tasks[[#This Row],[_Res1Text]]&amp;"[")-1))))</f>
        <v/>
      </c>
      <c r="DT1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3" t="n">
        <f aca="false">IF(NOT(Tasks[[#This Row],[_IsLeaf]]=1),0,(Tasks[[#This Row],[_Resource1]]&lt;&gt;"")+(Tasks[[#This Row],[_Res2]]&lt;&gt;"")+(Tasks[[#This Row],[_Res3]]&lt;&gt;"")+(Tasks[[#This Row],[_Res4]]&lt;&gt;""))</f>
        <v>0</v>
      </c>
      <c r="DV133" s="43" t="str">
        <f aca="false">IF(Tasks[[#This Row],[_Res2Text]]="","",IF(Tasks[[#This Row],[_Res2Row]]&gt;0,INDEX(res_Name,Tasks[[#This Row],[_Res2Row]]),TRIM(LEFT(Tasks[[#This Row],[_Res2Text]],FIND("[",Tasks[[#This Row],[_Res2Text]]&amp;"[")-1))))</f>
        <v/>
      </c>
      <c r="DW1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3" t="n">
        <f aca="false">IF(OR(NOT(Tasks[[#This Row],[_IsLeaf]]=1),Tasks[[#This Row],[_Res2Row]]=0),0,N(Tasks[[#This Row],[_Days]])*HoursPerDay*IF(Tasks[[#This Row],[_Res2Units]]="",DefaultUnits,Tasks[[#This Row],[_Res2Units]]))</f>
        <v>0</v>
      </c>
      <c r="DY133" s="43" t="n">
        <f aca="false">IF(AND(AND(Tasks[[#This Row],[_IsLeaf]]=1,Tasks[[#This Row],[_LeafTotalWork]]&gt;0),Tasks[[#This Row],[_Res2Work]]&gt;0),Tasks[[#This Row],[_Res2Work]]/(Tasks[[#This Row],[_FinishWorkday]]-Tasks[[#This Row],[_StartWorkday]]+1),0)</f>
        <v>0</v>
      </c>
      <c r="DZ133" s="43" t="n">
        <f aca="false">Tasks[[#This Row],[_Res2WorkPerWD]]*MAX(0,Tasks[[#This Row],[_StartWorkday]]-1)</f>
        <v>0</v>
      </c>
      <c r="EA133" s="43" t="n">
        <f aca="false">Tasks[[#This Row],[_Res2Work]]*Tasks[[#This Row],[_LeafProgress]]</f>
        <v>0</v>
      </c>
      <c r="EB133" s="43" t="str">
        <f aca="false">IF(Tasks[[#This Row],[_Res3Text]]="","",IF(Tasks[[#This Row],[_Res3Row]]&gt;0,INDEX(res_Name,Tasks[[#This Row],[_Res3Row]]),TRIM(LEFT(Tasks[[#This Row],[_Res3Text]],FIND("[",Tasks[[#This Row],[_Res3Text]]&amp;"[")-1))))</f>
        <v/>
      </c>
      <c r="EC1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3" t="n">
        <f aca="false">IF(OR(NOT(Tasks[[#This Row],[_IsLeaf]]=1),Tasks[[#This Row],[_Res3Row]]=0),0,N(Tasks[[#This Row],[_Days]])*HoursPerDay*IF(Tasks[[#This Row],[_Res3Units]]="",DefaultUnits,Tasks[[#This Row],[_Res3Units]]))</f>
        <v>0</v>
      </c>
      <c r="EE133" s="43" t="n">
        <f aca="false">IF(AND(AND(Tasks[[#This Row],[_IsLeaf]]=1,Tasks[[#This Row],[_LeafTotalWork]]&gt;0),Tasks[[#This Row],[_Res3Work]]&gt;0),Tasks[[#This Row],[_Res3Work]]/(Tasks[[#This Row],[_FinishWorkday]]-Tasks[[#This Row],[_StartWorkday]]+1),0)</f>
        <v>0</v>
      </c>
      <c r="EF133" s="43" t="n">
        <f aca="false">Tasks[[#This Row],[_Res3WorkPerWD]]*MAX(0,Tasks[[#This Row],[_StartWorkday]]-1)</f>
        <v>0</v>
      </c>
      <c r="EG133" s="43" t="n">
        <f aca="false">Tasks[[#This Row],[_Res3Work]]*Tasks[[#This Row],[_LeafProgress]]</f>
        <v>0</v>
      </c>
      <c r="EH133" s="43" t="str">
        <f aca="false">IF(Tasks[[#This Row],[_Res4Text]]="","",IF(Tasks[[#This Row],[_Res4Row]]&gt;0,INDEX(res_Name,Tasks[[#This Row],[_Res4Row]]),TRIM(LEFT(Tasks[[#This Row],[_Res4Text]],FIND("[",Tasks[[#This Row],[_Res4Text]]&amp;"[")-1))))</f>
        <v/>
      </c>
      <c r="EI1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3" t="n">
        <f aca="false">IF(OR(NOT(Tasks[[#This Row],[_IsLeaf]]=1),Tasks[[#This Row],[_Res4Row]]=0),0,N(Tasks[[#This Row],[_Days]])*HoursPerDay*IF(Tasks[[#This Row],[_Res4Units]]="",DefaultUnits,Tasks[[#This Row],[_Res4Units]]))</f>
        <v>0</v>
      </c>
      <c r="EK133" s="43" t="n">
        <f aca="false">IF(AND(AND(Tasks[[#This Row],[_IsLeaf]]=1,Tasks[[#This Row],[_LeafTotalWork]]&gt;0),Tasks[[#This Row],[_Res4Work]]&gt;0),Tasks[[#This Row],[_Res4Work]]/(Tasks[[#This Row],[_FinishWorkday]]-Tasks[[#This Row],[_StartWorkday]]+1),0)</f>
        <v>0</v>
      </c>
      <c r="EL133" s="43" t="n">
        <f aca="false">Tasks[[#This Row],[_Res4WorkPerWD]]*MAX(0,Tasks[[#This Row],[_StartWorkday]]-1)</f>
        <v>0</v>
      </c>
      <c r="EM133" s="43" t="n">
        <f aca="false">Tasks[[#This Row],[_Res4Work]]*Tasks[[#This Row],[_LeafProgress]]</f>
        <v>0</v>
      </c>
      <c r="EN133" s="43" t="n">
        <f aca="false">IF(ISNUMBER(Tasks[[#This Row],[% Complete]]),Tasks[[#This Row],[% Complete]],IF(Tasks[[#This Row],[Stage]]="",0,IFERROR(INDEX(stg_Pct,MATCH(Tasks[[#This Row],[Stage]],stg_Name,0)),0)))</f>
        <v>0</v>
      </c>
      <c r="EO133" s="43" t="n">
        <f aca="false">IF(NOT(Tasks[[#This Row],[_IsLeaf]]=1),0,IF(N(Tasks[[#This Row],[Actual Finish]])&gt;0,1,MIN(1,Tasks[[#This Row],[_Pct]])))</f>
        <v>0</v>
      </c>
      <c r="EP133" s="43" t="n">
        <f aca="false">IF(OR(NOT(Tasks[[#This Row],[_IsLeaf]]=1),Tasks[[#This Row],[_Res1Row]]=0),0,N(Tasks[[#This Row],[_Days]])*HoursPerDay*IF(Tasks[[#This Row],[_Units1]]="",DefaultUnits,Tasks[[#This Row],[_Units1]]))</f>
        <v>0</v>
      </c>
      <c r="EQ133" s="43" t="n">
        <f aca="false">Tasks[[#This Row],[_LeafWork]]+Tasks[[#This Row],[_Res2Work]]+Tasks[[#This Row],[_Res3Work]]+Tasks[[#This Row],[_Res4Work]]</f>
        <v>0</v>
      </c>
      <c r="ER1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3" t="n">
        <f aca="false">IF(NOT(Tasks[[#This Row],[_IsLeaf]]=1),0,MAX(_xlfn.MAXIFS(Tasks[_Row],Tasks[_Pred1UID],Tasks[[#This Row],[UID]]),_xlfn.MAXIFS(Tasks[_Row],Tasks[_Pred2UID],Tasks[[#This Row],[UID]]),_xlfn.MAXIFS(Tasks[_Row],Tasks[_Pred3UID],Tasks[[#This Row],[UID]]),_xlfn.MAXIFS(Tasks[_Row],Tasks[_Pred4UID],Tasks[[#This Row],[UID]])))</f>
        <v>0</v>
      </c>
      <c r="FA1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91" t="str">
        <f aca="false">IF(NOT(Tasks[[#This Row],[_IsLeaf]]=1),"",IF(N(Tasks[[#This Row],[_Days]])&lt;=0,Tasks[[#This Row],[_LeafLateFinish]],WORKDAY.INTL(Tasks[[#This Row],[_LeafLateFinish]],-(Tasks[[#This Row],[_Days]]-1),WorkWeek,Holidays)))</f>
        <v/>
      </c>
      <c r="FD1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3" s="90" t="b">
        <f aca="false">AND(Tasks[[#This Row],[_IsLeaf]]=1,Tasks[[#This Row],[_LeafProgress]]&lt;1,N(Tasks[[#This Row],[_LeafTotalSlack]])&lt;=CriticalSlackDays)</f>
        <v>0</v>
      </c>
      <c r="FF133" s="43" t="n">
        <f aca="false">IF(AND(Tasks[[#This Row],[_IsLeaf]]=1,Tasks[[#This Row],[_ConstraintCode]]=1,Tasks[[#This Row],[Mode]]&lt;&gt;"Manual",N(Tasks[[#This Row],[Actual Start]])=0),MAX(0,N(Tasks[[#This Row],[Free Slack]])),0)</f>
        <v>0</v>
      </c>
      <c r="FG133" s="91" t="str">
        <f aca="false">IF(NOT(Tasks[[#This Row],[_IsLeaf]]=1),"",IF(Tasks[[#This Row],[_AlapShift]]=0,Tasks[[#This Row],[_LeafCalcStart]],WORKDAY.INTL(Tasks[[#This Row],[_LeafCalcStart]],Tasks[[#This Row],[_AlapShift]],WorkWeek,Holidays)))</f>
        <v/>
      </c>
      <c r="FH133" s="91" t="str">
        <f aca="false">IF(NOT(Tasks[[#This Row],[_IsLeaf]]=1),"",IF(Tasks[[#This Row],[_AlapShift]]=0,Tasks[[#This Row],[_LeafCalcFinish]],WORKDAY.INTL(Tasks[[#This Row],[_LeafCalcFinish]],Tasks[[#This Row],[_AlapShift]],WorkWeek,Holidays)))</f>
        <v/>
      </c>
      <c r="FI133" s="91" t="str">
        <f aca="false">IF(NOT(Tasks[[#This Row],[_IsLeaf]]=1),"",IF(Tasks[[#This Row],[_AlapShift]]=0,Tasks[[#This Row],[_LeafFcstStart]],WORKDAY.INTL(Tasks[[#This Row],[_LeafFcstStart]],Tasks[[#This Row],[_AlapShift]],WorkWeek,Holidays)))</f>
        <v/>
      </c>
      <c r="FJ133" s="91" t="str">
        <f aca="false">IF(NOT(Tasks[[#This Row],[_IsLeaf]]=1),"",IF(Tasks[[#This Row],[_AlapShift]]=0,Tasks[[#This Row],[_LeafFcstFinish]],WORKDAY.INTL(Tasks[[#This Row],[_LeafFcstFinish]],Tasks[[#This Row],[_AlapShift]],WorkWeek,Holidays)))</f>
        <v/>
      </c>
      <c r="FK133" s="91" t="str">
        <f aca="false">IF(Tasks[[#This Row],[Task Name]]="","",IF(Tasks[[#This Row],[_IsSummary]],MIN(INDEX(Tasks[_ShownCalcStart],Tasks[[#This Row],[_Row]]+1):INDEX(Tasks[_ShownCalcStart],Tasks[[#This Row],[_Row]]+Tasks[[#This Row],[_Descendants]])),Tasks[[#This Row],[_ShownCalcStart]]))</f>
        <v/>
      </c>
      <c r="FL133" s="91" t="str">
        <f aca="false">IF(Tasks[[#This Row],[Task Name]]="","",IF(Tasks[[#This Row],[_IsSummary]],MAX(INDEX(Tasks[_ShownCalcFinish],Tasks[[#This Row],[_Row]]+1):INDEX(Tasks[_ShownCalcFinish],Tasks[[#This Row],[_Row]]+Tasks[[#This Row],[_Descendants]])),Tasks[[#This Row],[_ShownCalcFinish]]))</f>
        <v/>
      </c>
      <c r="FM1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3" s="43" t="n">
        <f aca="false">IF(AND(Tasks[[#This Row],[_IsLeaf]]=1,Tasks[[#This Row],[_LeafTotalWork]]&gt;0),NETWORKDAYS.INTL(ProjectStart,Tasks[[#This Row],[_ShownFcstStart]],WorkWeek,Holidays),0)</f>
        <v>0</v>
      </c>
      <c r="FZ133" s="43" t="n">
        <f aca="false">IF(AND(Tasks[[#This Row],[_IsLeaf]]=1,Tasks[[#This Row],[_LeafTotalWork]]&gt;0),MAX(Tasks[[#This Row],[_StartWorkday]],NETWORKDAYS.INTL(ProjectStart,Tasks[[#This Row],[_ShownFcstFinish]],WorkWeek,Holidays)),0)</f>
        <v>0</v>
      </c>
      <c r="GA133" s="43" t="n">
        <f aca="false">IF(AND(Tasks[[#This Row],[_IsLeaf]]=1,Tasks[[#This Row],[_LeafTotalWork]]&gt;0),Tasks[[#This Row],[_LeafWork]]/(Tasks[[#This Row],[_FinishWorkday]]-Tasks[[#This Row],[_StartWorkday]]+1),0)</f>
        <v>0</v>
      </c>
      <c r="GB133" s="43" t="n">
        <f aca="false">Tasks[[#This Row],[_WorkPerWorkday]]*(Tasks[[#This Row],[_StartWorkday]]-1)</f>
        <v>-0</v>
      </c>
      <c r="GC133" s="43" t="n">
        <f aca="false">IF(Tasks[[#This Row],[_IsLeaf]]=1,MAX(N(Tasks[[#This Row],[_Days]]),0.1),0)</f>
        <v>0</v>
      </c>
      <c r="GD133" s="43" t="n">
        <f aca="false">Tasks[[#This Row],[_WeightDur]]*Tasks[[#This Row],[_LeafProgress]]</f>
        <v>0</v>
      </c>
      <c r="GE133" s="43" t="n">
        <f aca="false">Tasks[[#This Row],[_WeightDur]]*Tasks[[#This Row],[_PlannedPct]]</f>
        <v>0</v>
      </c>
      <c r="GF1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3" t="str">
        <f aca="false">IF(AND(Tasks[[#This Row],[_IsLeaf]]=1,N(Tasks[[#This Row],[_Days]])=0,Tasks[[#This Row],[_LeafProgress]]&lt;1),Tasks[[#This Row],[_ShownFcstFinish]]+Tasks[[#This Row],[_Row]]/100000,"")</f>
        <v/>
      </c>
      <c r="GH1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3" s="43" t="str">
        <f aca="false">IF(Tasks[[#This Row],[Task Name]]="","",LEFT(Tasks[[#This Row],[WBS]],FIND(".",Tasks[[#This Row],[WBS]]&amp;".")-1))</f>
        <v/>
      </c>
      <c r="GJ133" s="43" t="str">
        <f aca="false">IF(AND(Tasks[[#This Row],[Task Name]]&lt;&gt;"",Tasks[[#This Row],[_Level]]=1),Tasks[[#This Row],[_Row]],"")</f>
        <v/>
      </c>
      <c r="GK133" s="43" t="str">
        <f aca="false">IF(AND(Tasks[[#This Row],[_IsLeaf]]=1,N(Tasks[[#This Row],[_Days]])=0),Tasks[[#This Row],[Planned Finish]]+Tasks[[#This Row],[_Row]]/100000,"")</f>
        <v/>
      </c>
      <c r="GL133" s="43" t="str">
        <f aca="false">IF(AND(Tasks[[#This Row],[_IsLeaf]]=1,Tasks[[#This Row],[_LeafProgress]]&lt;1,OR(N(Tasks[[#This Row],[Finish Var]])&gt;0,Tasks[[#This Row],[Status]]="Late Start")),MAX(0,Tasks[[#This Row],[Finish Var]])+1-Tasks[[#This Row],[_Row]]/1000000,"")</f>
        <v/>
      </c>
      <c r="GM133" s="43" t="str">
        <f aca="false">IF(AND(Tasks[[#This Row],[_IsLeaf]]=1,N(Tasks[[#This Row],[Actual Start]])=0,Tasks[[#This Row],[_ShownFcstStart]]&gt;=StatusDate,Tasks[[#This Row],[_ShownFcstStart]]&lt;=LookaheadEnd),Tasks[[#This Row],[_ShownFcstStart]]+Tasks[[#This Row],[_Row]]/100000,"")</f>
        <v/>
      </c>
      <c r="GN133" s="43" t="str">
        <f aca="false">IF(AND(Tasks[[#This Row],[_IsLeaf]]=1,Tasks[[#This Row],[_LeafProgress]]&lt;1,Tasks[[#This Row],[_ShownFcstFinish]]&gt;=StatusDate,Tasks[[#This Row],[_ShownFcstFinish]]&lt;=LookaheadEnd),Tasks[[#This Row],[_ShownFcstFinish]]+Tasks[[#This Row],[_Row]]/100000,"")</f>
        <v/>
      </c>
      <c r="GO133" s="43" t="str">
        <f aca="false">IF(Tasks[[#This Row],[_LeafCritical]],Tasks[[#This Row],[_ShownFcstStart]]+Tasks[[#This Row],[_Row]]/100000,"")</f>
        <v/>
      </c>
      <c r="GP133" s="43" t="n">
        <f aca="false">Tasks[[#This Row],[_LeafWork]]*Tasks[[#This Row],[_LeafProgress]]</f>
        <v>0</v>
      </c>
      <c r="GQ133" s="91" t="str">
        <f aca="false">IF(AND(Tasks[[#This Row],[_IsLeaf]]=1,Tasks[[#This Row],[_LeafProgress]]&gt;=1),IF(N(Tasks[[#This Row],[Actual Finish]])&gt;0,Tasks[[#This Row],[Actual Finish]],Tasks[[#This Row],[_ShownFcstFinish]]),"")</f>
        <v/>
      </c>
      <c r="GR133" s="43" t="n">
        <f aca="false">IF(Tasks[[#This Row],[_IsLeaf]]=1,N(Tasks[[#This Row],[Story Points]]),0)</f>
        <v>0</v>
      </c>
      <c r="GS133" s="43" t="str">
        <f aca="false">""</f>
        <v/>
      </c>
      <c r="GT133" s="90" t="b">
        <f aca="false">IF(Tasks[[#This Row],[Task Name]]="",FALSE(),AND(Tasks[[#This Row],[_IsLeaf]]=1,N(Tasks[[#This Row],[_Days]])=0))</f>
        <v>0</v>
      </c>
      <c r="GU133" s="91" t="n">
        <f aca="false">IF(Tasks[[#This Row],[Task Name]]="",0,IF(AND(Tasks[[#This Row],[_IsLeaf]]=1,NOT(Tasks[[#This Row],[_IsMilestone]]),N(Tasks[[#This Row],[Progress]])&gt;0),Tasks[[#This Row],[Start]],0))</f>
        <v>0</v>
      </c>
      <c r="GV133" s="91" t="n">
        <f aca="false">IF(Tasks[[#This Row],[_DoneFrom]]=0,0,IF(Tasks[[#This Row],[Progress]]&gt;=1,Tasks[[#This Row],[Finish]],MAX(Tasks[[#This Row],[_DoneFrom]],Tasks[[#This Row],[Start]]+ROUND((Tasks[[#This Row],[Finish]]-Tasks[[#This Row],[Start]]+1)*Tasks[[#This Row],[Progress]],0)-1)))</f>
        <v>0</v>
      </c>
      <c r="GW133" s="91" t="n">
        <f aca="false">IF(Tasks[[#This Row],[Task Name]]="",0,IF(OR(NOT(Tasks[[#This Row],[_IsLeaf]]=1),Tasks[[#This Row],[_IsMilestone]],N(Tasks[[#This Row],[Progress]])&gt;=1),0,IF(Tasks[[#This Row],[_DoneTo]]&gt;0,Tasks[[#This Row],[_DoneTo]]+1,Tasks[[#This Row],[Start]])))</f>
        <v>0</v>
      </c>
      <c r="GX133" s="91" t="n">
        <f aca="false">IF(Tasks[[#This Row],[_RemFrom]]=0,0,Tasks[[#This Row],[Finish]])</f>
        <v>0</v>
      </c>
      <c r="GY133" s="90" t="b">
        <f aca="false">IF(Tasks[[#This Row],[Task Name]]="",FALSE(),OR(NOT(BaselineSet),N(Tasks[[#This Row],[Baseline Start]])&gt;0))</f>
        <v>0</v>
      </c>
      <c r="GZ13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92" t="str">
        <f aca="false">IF(Tasks[[#This Row],[_IsLeaf]]=1,Tasks[[#This Row],[_Row]],"")</f>
        <v/>
      </c>
      <c r="HD133" s="92" t="str">
        <f aca="false">IFERROR(INDEX(Tasks[UID],SMALL(Tasks[_PickKey],Tasks[[#This Row],[_Row]]))&amp;" "&amp;INDEX(Tasks[Task Name],SMALL(Tasks[_PickKey],Tasks[[#This Row],[_Row]])),"")</f>
        <v/>
      </c>
      <c r="HE133" s="43" t="str">
        <f aca="false">IF(Tasks[[#This Row],[Task Name]]="","",IF(Tasks[[#This Row],[_IsSummary]],NETWORKDAYS.INTL(Tasks[[#This Row],[Start]],Tasks[[#This Row],[Finish]],WorkWeek,Holidays),N(Tasks[[#This Row],[_Days]])))</f>
        <v/>
      </c>
      <c r="HF133" s="43" t="n">
        <f aca="false">IF(Tasks[[#This Row],[Expected]]="",0,((Tasks[[#This Row],[Pessimistic]]-Tasks[[#This Row],[Optimistic]])/6)^2)</f>
        <v>0</v>
      </c>
      <c r="HG133" s="43" t="n">
        <f aca="false">IF(Tasks[[#This Row],[Expected]]="",0,Tasks[[#This Row],[Expected]]-N(Tasks[[#This Row],[_Days]]))</f>
        <v>0</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4"/>
      <c r="U134" s="23"/>
      <c r="V134" s="84"/>
      <c r="W134" s="23"/>
      <c r="X134" s="84"/>
      <c r="Y134" s="23"/>
      <c r="Z134" s="84"/>
      <c r="AA134" s="23"/>
      <c r="AB134" s="23"/>
      <c r="AC134" s="7"/>
      <c r="AD134" s="7"/>
      <c r="AE134" s="63" t="str">
        <f aca="false">IF(Tasks[[#This Row],[Task Name]]="","",IF(Tasks[[#This Row],[_IsSummary]],MIN(INDEX(Tasks[_ShownFcstStart],Tasks[[#This Row],[_Row]]+1):INDEX(Tasks[_ShownFcstStart],Tasks[[#This Row],[_Row]]+Tasks[[#This Row],[_Descendants]])),Tasks[[#This Row],[_ShownFcstStart]]))</f>
        <v/>
      </c>
      <c r="AF134" s="63"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4" s="7"/>
      <c r="AK134" s="22"/>
      <c r="AL134" s="23"/>
      <c r="AM134" s="7"/>
      <c r="AN134" s="47"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3" t="str">
        <f aca="false">IF(Tasks[[#This Row],[Task Name]]="","",IF(N(Tasks[[#This Row],[Baseline Start]])&gt;0,Tasks[[#This Row],[Baseline Start]],Tasks[[#This Row],[_CalcStart]]))</f>
        <v/>
      </c>
      <c r="AR134" s="63" t="str">
        <f aca="false">IF(Tasks[[#This Row],[Task Name]]="","",IF(N(Tasks[[#This Row],[Baseline Finish]])&gt;0,Tasks[[#This Row],[Baseline Finish]],Tasks[[#This Row],[_CalcFinish]]))</f>
        <v/>
      </c>
      <c r="AS134" s="47" t="str">
        <f aca="false">IF(Tasks[[#This Row],[Task Name]]="","",IF(Tasks[[#This Row],[Start]]&gt;=Tasks[[#This Row],[Planned Start]],NETWORKDAYS.INTL(Tasks[[#This Row],[Planned Start]],Tasks[[#This Row],[Start]],WorkWeek,Holidays)-1,1-NETWORKDAYS.INTL(Tasks[[#This Row],[Start]],Tasks[[#This Row],[Planned Start]],WorkWeek,Holidays)))</f>
        <v/>
      </c>
      <c r="AT134" s="63" t="str">
        <f aca="false">IF(Tasks[[#This Row],[Task Name]]="","",IF(Tasks[[#This Row],[_IsSummary]],MIN(INDEX(Tasks[_LeafLateStart],Tasks[[#This Row],[_Row]]+1):INDEX(Tasks[_LeafLateStart],Tasks[[#This Row],[_Row]]+Tasks[[#This Row],[_Descendants]])),Tasks[[#This Row],[_LeafLateStart]]))</f>
        <v/>
      </c>
      <c r="AU134" s="63" t="str">
        <f aca="false">IF(Tasks[[#This Row],[Task Name]]="","",IF(Tasks[[#This Row],[_IsSummary]],MAX(INDEX(Tasks[_LeafLateFinish],Tasks[[#This Row],[_Row]]+1):INDEX(Tasks[_LeafLateFinish],Tasks[[#This Row],[_Row]]+Tasks[[#This Row],[_Descendants]])),Tasks[[#This Row],[_LeafLateFinish]]))</f>
        <v/>
      </c>
      <c r="AV134" s="47"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5"/>
      <c r="BA1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6"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7"/>
      <c r="BJ134" s="22"/>
      <c r="BK134" s="47" t="str">
        <f aca="false">IF(OR(Tasks[[#This Row],[Task Name]]="",Tasks[[#This Row],[Baseline Duration]]=""),"",Tasks[[#This Row],[_SpanDays]]-N(Tasks[[#This Row],[Baseline Duration]]))</f>
        <v/>
      </c>
      <c r="BL134" s="86" t="str">
        <f aca="false">IF(OR(Tasks[[#This Row],[Task Name]]="",Tasks[[#This Row],[Baseline Work]]=""),"",Tasks[[#This Row],[Work]]-N(Tasks[[#This Row],[Baseline Work]]))</f>
        <v/>
      </c>
      <c r="BM134" s="63" t="str">
        <f aca="false">IF(Tasks[[#This Row],[Task Name]]="","",IF(OR(TakeBaseline="Yes",N(Tasks[[#This Row],[Baseline Start]])=0),Tasks[[#This Row],[Start]],Tasks[[#This Row],[Baseline Start]]))</f>
        <v/>
      </c>
      <c r="BN134" s="63" t="str">
        <f aca="false">IF(Tasks[[#This Row],[Task Name]]="","",IF(OR(TakeBaseline="Yes",N(Tasks[[#This Row],[Baseline Finish]])=0),Tasks[[#This Row],[Finish]],Tasks[[#This Row],[Baseline Finish]]))</f>
        <v/>
      </c>
      <c r="BO134" s="21" t="str">
        <f aca="false">IF(Tasks[[#This Row],[Task Name]]="","",IF(OR(TakeBaseline="Yes",N(Tasks[[#This Row],[Baseline Duration]])=0),Tasks[[#This Row],[_SpanDays]],Tasks[[#This Row],[Baseline Duration]]))</f>
        <v/>
      </c>
      <c r="BP134" s="86" t="str">
        <f aca="false">IF(Tasks[[#This Row],[Task Name]]="","",IF(OR(TakeBaseline="Yes",N(Tasks[[#This Row],[Baseline Work]])=0),Tasks[[#This Row],[Work]],Tasks[[#This Row],[Baseline Work]]))</f>
        <v/>
      </c>
      <c r="BQ134" s="7"/>
      <c r="BR134" s="7"/>
      <c r="BS134" s="22"/>
      <c r="BT134" s="88"/>
      <c r="BU134" s="23"/>
      <c r="BV134" s="23"/>
      <c r="BW134" s="23"/>
      <c r="BX134" s="89" t="str">
        <f aca="false">IF(AND(Tasks[[#This Row],[_IsLeaf]]=1,ISNUMBER(Tasks[[#This Row],[Optimistic]]),ISNUMBER(Tasks[[#This Row],[Pessimistic]])),ROUND((Tasks[[#This Row],[Optimistic]]+4*N(Tasks[[#This Row],[_Days]])+Tasks[[#This Row],[Pessimistic]])/6,1),"")</f>
        <v/>
      </c>
      <c r="BY134" s="87"/>
      <c r="BZ134" s="87"/>
      <c r="CA134" s="22"/>
      <c r="CB134" s="43" t="str">
        <f aca="false">IF(Tasks[[#This Row],[Task Name]]="","",MAX(1,N(Tasks[[#This Row],[Level]])))</f>
        <v/>
      </c>
      <c r="CC134" s="43" t="n">
        <f aca="false">ROW()-ROW(Tasks[[#Headers],[ID]])</f>
        <v>129</v>
      </c>
      <c r="CD134" s="43" t="n">
        <f aca="false">IF(OR(Tasks[[#This Row],[Task Name]]="",Tasks[[#This Row],[_Level]]&lt;=1),0,IFERROR(LOOKUP(2,1/(Tasks[[#Headers],[_Level]]:Tasks[[#This Row],[_Level]]=Tasks[[#This Row],[_Level]]-1),ROW(Tasks[[#Headers],[_Level]]:Tasks[[#This Row],[_Level]])),0))</f>
        <v>0</v>
      </c>
      <c r="CE134" s="43" t="n">
        <f aca="false">IFERROR(N(INDEX(Tasks[_Level],Tasks[[#This Row],[_Row]]+1)),0)</f>
        <v>0</v>
      </c>
      <c r="CF134" s="90" t="b">
        <f aca="false">AND(Tasks[[#This Row],[Task Name]]&lt;&gt;"",Tasks[[#This Row],[_NextLevel]]&gt;Tasks[[#This Row],[_Level]])</f>
        <v>0</v>
      </c>
      <c r="CG134" s="43" t="n">
        <f aca="false">IF(Tasks[[#This Row],[_IsSummary]],COUNTIF(Tasks[WBS],Tasks[[#This Row],[WBS]]&amp;".*"),0)</f>
        <v>0</v>
      </c>
      <c r="CH134" s="43" t="n">
        <f aca="false">IF(AND(Tasks[[#This Row],[Task Name]]&lt;&gt;"",NOT(Tasks[[#This Row],[_IsSummary]])),1,0)</f>
        <v>0</v>
      </c>
      <c r="CI134" s="43" t="n">
        <f aca="false">IF(N(Tasks[[#This Row],[_Pred1UID]])=0,0,IFERROR(MATCH(Tasks[[#This Row],[_Pred1UID]],Tasks[UID],0),-1))</f>
        <v>0</v>
      </c>
      <c r="CJ134" s="43" t="n">
        <f aca="false">IF(N(Tasks[[#This Row],[_Pred2UID]])=0,0,IFERROR(MATCH(Tasks[[#This Row],[_Pred2UID]],Tasks[UID],0),-1))</f>
        <v>0</v>
      </c>
      <c r="CK134" s="43" t="n">
        <f aca="false">IF(N(Tasks[[#This Row],[_Pred3UID]])=0,0,IFERROR(MATCH(Tasks[[#This Row],[_Pred3UID]],Tasks[UID],0),-1))</f>
        <v>0</v>
      </c>
      <c r="CL134" s="43" t="n">
        <f aca="false">IF(N(Tasks[[#This Row],[_Pred4UID]])=0,0,IFERROR(MATCH(Tasks[[#This Row],[_Pred4UID]],Tasks[UID],0),-1))</f>
        <v>0</v>
      </c>
      <c r="CM1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4" s="91" t="n">
        <f aca="false">IF(OR(Tasks[[#This Row],[_ConstraintCode]]=2,Tasks[[#This Row],[_ConstraintCode]]=3,Tasks[[#This Row],[_ConstraintCode]]=4,Tasks[[#This Row],[_ConstraintCode]]=6),Tasks[[#This Row],[_ConstraintStart]],0)</f>
        <v>0</v>
      </c>
      <c r="CP134" s="91" t="n">
        <f aca="false">IF(OR(Tasks[[#This Row],[_ConstraintCode]]=2,Tasks[[#This Row],[_ConstraintCode]]=3,Tasks[[#This Row],[_ConstraintCode]]=5,Tasks[[#This Row],[_ConstraintCode]]=7),Tasks[[#This Row],[_ConstraintStart]],2958465)</f>
        <v>2958465</v>
      </c>
      <c r="CQ1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91" t="str">
        <f aca="false">IF(NOT(Tasks[[#This Row],[_IsLeaf]]=1),"",IF(N(Tasks[[#This Row],[_Days]])&lt;=0,Tasks[[#This Row],[_LeafCalcStart]],WORKDAY.INTL(Tasks[[#This Row],[_LeafCalcStart]],Tasks[[#This Row],[_Days]]-1,WorkWeek,Holidays)))</f>
        <v/>
      </c>
      <c r="CS1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3" t="str">
        <f aca="false">IF(Tasks[[#This Row],[_Predecessors]]="","",TRIM(MID(SUBSTITUTE(SUBSTITUTE(SUBSTITUTE(UPPER(Tasks[[#This Row],[_Predecessors]]),";",",")," ",""),",",REPT(" ",99)),1,99)))</f>
        <v/>
      </c>
      <c r="CV134" s="43" t="str">
        <f aca="false">IF(Tasks[[#This Row],[_Pred1Text]]="","",IFERROR(VALUE(LEFT(Tasks[[#This Row],[_Pred1Text]],MIN(FIND("F",Tasks[[#This Row],[_Pred1Text]]&amp;"F"),FIND("S",Tasks[[#This Row],[_Pred1Text]]&amp;"S"),FIND("+",Tasks[[#This Row],[_Pred1Text]]&amp;"+"),FIND("-",Tasks[[#This Row],[_Pred1Text]]&amp;"-"))-1)),""))</f>
        <v/>
      </c>
      <c r="CW1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3" t="str">
        <f aca="false">IF(Tasks[[#This Row],[_Pred1Text]]="","",TRIM(MID(SUBSTITUTE(SUBSTITUTE(SUBSTITUTE(UPPER(Tasks[[#This Row],[_Predecessors]]),";",",")," ",""),",",REPT(" ",99)),100,99)))</f>
        <v/>
      </c>
      <c r="CZ134" s="43" t="str">
        <f aca="false">IF(Tasks[[#This Row],[_Pred2Text]]="","",IFERROR(VALUE(LEFT(Tasks[[#This Row],[_Pred2Text]],MIN(FIND("F",Tasks[[#This Row],[_Pred2Text]]&amp;"F"),FIND("S",Tasks[[#This Row],[_Pred2Text]]&amp;"S"),FIND("+",Tasks[[#This Row],[_Pred2Text]]&amp;"+"),FIND("-",Tasks[[#This Row],[_Pred2Text]]&amp;"-"))-1)),""))</f>
        <v/>
      </c>
      <c r="DA1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3" t="str">
        <f aca="false">IF(Tasks[[#This Row],[_Pred2Text]]="","",TRIM(MID(SUBSTITUTE(SUBSTITUTE(SUBSTITUTE(UPPER(Tasks[[#This Row],[_Predecessors]]),";",",")," ",""),",",REPT(" ",99)),199,99)))</f>
        <v/>
      </c>
      <c r="DD134" s="43" t="str">
        <f aca="false">IF(Tasks[[#This Row],[_Pred3Text]]="","",IFERROR(VALUE(LEFT(Tasks[[#This Row],[_Pred3Text]],MIN(FIND("F",Tasks[[#This Row],[_Pred3Text]]&amp;"F"),FIND("S",Tasks[[#This Row],[_Pred3Text]]&amp;"S"),FIND("+",Tasks[[#This Row],[_Pred3Text]]&amp;"+"),FIND("-",Tasks[[#This Row],[_Pred3Text]]&amp;"-"))-1)),""))</f>
        <v/>
      </c>
      <c r="DE1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3" t="str">
        <f aca="false">IF(Tasks[[#This Row],[_Pred3Text]]="","",TRIM(MID(SUBSTITUTE(SUBSTITUTE(SUBSTITUTE(UPPER(Tasks[[#This Row],[_Predecessors]]),";",",")," ",""),",",REPT(" ",99)),298,99)))</f>
        <v/>
      </c>
      <c r="DH134" s="43" t="str">
        <f aca="false">IF(Tasks[[#This Row],[_Pred4Text]]="","",IFERROR(VALUE(LEFT(Tasks[[#This Row],[_Pred4Text]],MIN(FIND("F",Tasks[[#This Row],[_Pred4Text]]&amp;"F"),FIND("S",Tasks[[#This Row],[_Pred4Text]]&amp;"S"),FIND("+",Tasks[[#This Row],[_Pred4Text]]&amp;"+"),FIND("-",Tasks[[#This Row],[_Pred4Text]]&amp;"-"))-1)),""))</f>
        <v/>
      </c>
      <c r="DI1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3" t="str">
        <f aca="false">IF(OR(Tasks[[#This Row],[Task Name]]="",Tasks[[#This Row],[_Resources]]=""),"",TRIM(MID(SUBSTITUTE(Tasks[[#This Row],[_Resources]],",",REPT(" ",99)),1,99)))</f>
        <v/>
      </c>
      <c r="DL134" s="43" t="str">
        <f aca="false">IF(Tasks[[#This Row],[_Res1Text]]="","",TRIM(MID(SUBSTITUTE(Tasks[[#This Row],[_Resources]],",",REPT(" ",99)),100,99)))</f>
        <v/>
      </c>
      <c r="DM134" s="43" t="str">
        <f aca="false">IF(Tasks[[#This Row],[_Res2Text]]="","",TRIM(MID(SUBSTITUTE(Tasks[[#This Row],[_Resources]],",",REPT(" ",99)),199,99)))</f>
        <v/>
      </c>
      <c r="DN134" s="43" t="str">
        <f aca="false">IF(Tasks[[#This Row],[_Res3Text]]="","",TRIM(MID(SUBSTITUTE(Tasks[[#This Row],[_Resources]],",",REPT(" ",99)),298,99)))</f>
        <v/>
      </c>
      <c r="DO134" s="43" t="n">
        <f aca="false">IF(Tasks[[#This Row],[_Res1Text]]="",0,IFERROR(MATCH(TRIM(LEFT(Tasks[[#This Row],[_Res1Text]],FIND("[",Tasks[[#This Row],[_Res1Text]]&amp;"[")-1)),res_Name,0),IFERROR(MATCH(TRIM(LEFT(Tasks[[#This Row],[_Res1Text]],FIND("[",Tasks[[#This Row],[_Res1Text]]&amp;"[")-1)),res_Initials,0),0)))</f>
        <v>0</v>
      </c>
      <c r="DP134" s="43" t="n">
        <f aca="false">IF(Tasks[[#This Row],[_Res2Text]]="",0,IFERROR(MATCH(TRIM(LEFT(Tasks[[#This Row],[_Res2Text]],FIND("[",Tasks[[#This Row],[_Res2Text]]&amp;"[")-1)),res_Name,0),IFERROR(MATCH(TRIM(LEFT(Tasks[[#This Row],[_Res2Text]],FIND("[",Tasks[[#This Row],[_Res2Text]]&amp;"[")-1)),res_Initials,0),0)))</f>
        <v>0</v>
      </c>
      <c r="DQ134" s="43" t="n">
        <f aca="false">IF(Tasks[[#This Row],[_Res3Text]]="",0,IFERROR(MATCH(TRIM(LEFT(Tasks[[#This Row],[_Res3Text]],FIND("[",Tasks[[#This Row],[_Res3Text]]&amp;"[")-1)),res_Name,0),IFERROR(MATCH(TRIM(LEFT(Tasks[[#This Row],[_Res3Text]],FIND("[",Tasks[[#This Row],[_Res3Text]]&amp;"[")-1)),res_Initials,0),0)))</f>
        <v>0</v>
      </c>
      <c r="DR134" s="43" t="n">
        <f aca="false">IF(Tasks[[#This Row],[_Res4Text]]="",0,IFERROR(MATCH(TRIM(LEFT(Tasks[[#This Row],[_Res4Text]],FIND("[",Tasks[[#This Row],[_Res4Text]]&amp;"[")-1)),res_Name,0),IFERROR(MATCH(TRIM(LEFT(Tasks[[#This Row],[_Res4Text]],FIND("[",Tasks[[#This Row],[_Res4Text]]&amp;"[")-1)),res_Initials,0),0)))</f>
        <v>0</v>
      </c>
      <c r="DS134" s="43" t="str">
        <f aca="false">IF(Tasks[[#This Row],[_Res1Text]]="","",IF(Tasks[[#This Row],[_Res1Row]]&gt;0,INDEX(res_Name,Tasks[[#This Row],[_Res1Row]]),TRIM(LEFT(Tasks[[#This Row],[_Res1Text]],FIND("[",Tasks[[#This Row],[_Res1Text]]&amp;"[")-1))))</f>
        <v/>
      </c>
      <c r="DT1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3" t="n">
        <f aca="false">IF(NOT(Tasks[[#This Row],[_IsLeaf]]=1),0,(Tasks[[#This Row],[_Resource1]]&lt;&gt;"")+(Tasks[[#This Row],[_Res2]]&lt;&gt;"")+(Tasks[[#This Row],[_Res3]]&lt;&gt;"")+(Tasks[[#This Row],[_Res4]]&lt;&gt;""))</f>
        <v>0</v>
      </c>
      <c r="DV134" s="43" t="str">
        <f aca="false">IF(Tasks[[#This Row],[_Res2Text]]="","",IF(Tasks[[#This Row],[_Res2Row]]&gt;0,INDEX(res_Name,Tasks[[#This Row],[_Res2Row]]),TRIM(LEFT(Tasks[[#This Row],[_Res2Text]],FIND("[",Tasks[[#This Row],[_Res2Text]]&amp;"[")-1))))</f>
        <v/>
      </c>
      <c r="DW1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3" t="n">
        <f aca="false">IF(OR(NOT(Tasks[[#This Row],[_IsLeaf]]=1),Tasks[[#This Row],[_Res2Row]]=0),0,N(Tasks[[#This Row],[_Days]])*HoursPerDay*IF(Tasks[[#This Row],[_Res2Units]]="",DefaultUnits,Tasks[[#This Row],[_Res2Units]]))</f>
        <v>0</v>
      </c>
      <c r="DY134" s="43" t="n">
        <f aca="false">IF(AND(AND(Tasks[[#This Row],[_IsLeaf]]=1,Tasks[[#This Row],[_LeafTotalWork]]&gt;0),Tasks[[#This Row],[_Res2Work]]&gt;0),Tasks[[#This Row],[_Res2Work]]/(Tasks[[#This Row],[_FinishWorkday]]-Tasks[[#This Row],[_StartWorkday]]+1),0)</f>
        <v>0</v>
      </c>
      <c r="DZ134" s="43" t="n">
        <f aca="false">Tasks[[#This Row],[_Res2WorkPerWD]]*MAX(0,Tasks[[#This Row],[_StartWorkday]]-1)</f>
        <v>0</v>
      </c>
      <c r="EA134" s="43" t="n">
        <f aca="false">Tasks[[#This Row],[_Res2Work]]*Tasks[[#This Row],[_LeafProgress]]</f>
        <v>0</v>
      </c>
      <c r="EB134" s="43" t="str">
        <f aca="false">IF(Tasks[[#This Row],[_Res3Text]]="","",IF(Tasks[[#This Row],[_Res3Row]]&gt;0,INDEX(res_Name,Tasks[[#This Row],[_Res3Row]]),TRIM(LEFT(Tasks[[#This Row],[_Res3Text]],FIND("[",Tasks[[#This Row],[_Res3Text]]&amp;"[")-1))))</f>
        <v/>
      </c>
      <c r="EC1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3" t="n">
        <f aca="false">IF(OR(NOT(Tasks[[#This Row],[_IsLeaf]]=1),Tasks[[#This Row],[_Res3Row]]=0),0,N(Tasks[[#This Row],[_Days]])*HoursPerDay*IF(Tasks[[#This Row],[_Res3Units]]="",DefaultUnits,Tasks[[#This Row],[_Res3Units]]))</f>
        <v>0</v>
      </c>
      <c r="EE134" s="43" t="n">
        <f aca="false">IF(AND(AND(Tasks[[#This Row],[_IsLeaf]]=1,Tasks[[#This Row],[_LeafTotalWork]]&gt;0),Tasks[[#This Row],[_Res3Work]]&gt;0),Tasks[[#This Row],[_Res3Work]]/(Tasks[[#This Row],[_FinishWorkday]]-Tasks[[#This Row],[_StartWorkday]]+1),0)</f>
        <v>0</v>
      </c>
      <c r="EF134" s="43" t="n">
        <f aca="false">Tasks[[#This Row],[_Res3WorkPerWD]]*MAX(0,Tasks[[#This Row],[_StartWorkday]]-1)</f>
        <v>0</v>
      </c>
      <c r="EG134" s="43" t="n">
        <f aca="false">Tasks[[#This Row],[_Res3Work]]*Tasks[[#This Row],[_LeafProgress]]</f>
        <v>0</v>
      </c>
      <c r="EH134" s="43" t="str">
        <f aca="false">IF(Tasks[[#This Row],[_Res4Text]]="","",IF(Tasks[[#This Row],[_Res4Row]]&gt;0,INDEX(res_Name,Tasks[[#This Row],[_Res4Row]]),TRIM(LEFT(Tasks[[#This Row],[_Res4Text]],FIND("[",Tasks[[#This Row],[_Res4Text]]&amp;"[")-1))))</f>
        <v/>
      </c>
      <c r="EI1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3" t="n">
        <f aca="false">IF(OR(NOT(Tasks[[#This Row],[_IsLeaf]]=1),Tasks[[#This Row],[_Res4Row]]=0),0,N(Tasks[[#This Row],[_Days]])*HoursPerDay*IF(Tasks[[#This Row],[_Res4Units]]="",DefaultUnits,Tasks[[#This Row],[_Res4Units]]))</f>
        <v>0</v>
      </c>
      <c r="EK134" s="43" t="n">
        <f aca="false">IF(AND(AND(Tasks[[#This Row],[_IsLeaf]]=1,Tasks[[#This Row],[_LeafTotalWork]]&gt;0),Tasks[[#This Row],[_Res4Work]]&gt;0),Tasks[[#This Row],[_Res4Work]]/(Tasks[[#This Row],[_FinishWorkday]]-Tasks[[#This Row],[_StartWorkday]]+1),0)</f>
        <v>0</v>
      </c>
      <c r="EL134" s="43" t="n">
        <f aca="false">Tasks[[#This Row],[_Res4WorkPerWD]]*MAX(0,Tasks[[#This Row],[_StartWorkday]]-1)</f>
        <v>0</v>
      </c>
      <c r="EM134" s="43" t="n">
        <f aca="false">Tasks[[#This Row],[_Res4Work]]*Tasks[[#This Row],[_LeafProgress]]</f>
        <v>0</v>
      </c>
      <c r="EN134" s="43" t="n">
        <f aca="false">IF(ISNUMBER(Tasks[[#This Row],[% Complete]]),Tasks[[#This Row],[% Complete]],IF(Tasks[[#This Row],[Stage]]="",0,IFERROR(INDEX(stg_Pct,MATCH(Tasks[[#This Row],[Stage]],stg_Name,0)),0)))</f>
        <v>0</v>
      </c>
      <c r="EO134" s="43" t="n">
        <f aca="false">IF(NOT(Tasks[[#This Row],[_IsLeaf]]=1),0,IF(N(Tasks[[#This Row],[Actual Finish]])&gt;0,1,MIN(1,Tasks[[#This Row],[_Pct]])))</f>
        <v>0</v>
      </c>
      <c r="EP134" s="43" t="n">
        <f aca="false">IF(OR(NOT(Tasks[[#This Row],[_IsLeaf]]=1),Tasks[[#This Row],[_Res1Row]]=0),0,N(Tasks[[#This Row],[_Days]])*HoursPerDay*IF(Tasks[[#This Row],[_Units1]]="",DefaultUnits,Tasks[[#This Row],[_Units1]]))</f>
        <v>0</v>
      </c>
      <c r="EQ134" s="43" t="n">
        <f aca="false">Tasks[[#This Row],[_LeafWork]]+Tasks[[#This Row],[_Res2Work]]+Tasks[[#This Row],[_Res3Work]]+Tasks[[#This Row],[_Res4Work]]</f>
        <v>0</v>
      </c>
      <c r="ER1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3" t="n">
        <f aca="false">IF(NOT(Tasks[[#This Row],[_IsLeaf]]=1),0,MAX(_xlfn.MAXIFS(Tasks[_Row],Tasks[_Pred1UID],Tasks[[#This Row],[UID]]),_xlfn.MAXIFS(Tasks[_Row],Tasks[_Pred2UID],Tasks[[#This Row],[UID]]),_xlfn.MAXIFS(Tasks[_Row],Tasks[_Pred3UID],Tasks[[#This Row],[UID]]),_xlfn.MAXIFS(Tasks[_Row],Tasks[_Pred4UID],Tasks[[#This Row],[UID]])))</f>
        <v>0</v>
      </c>
      <c r="FA1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91" t="str">
        <f aca="false">IF(NOT(Tasks[[#This Row],[_IsLeaf]]=1),"",IF(N(Tasks[[#This Row],[_Days]])&lt;=0,Tasks[[#This Row],[_LeafLateFinish]],WORKDAY.INTL(Tasks[[#This Row],[_LeafLateFinish]],-(Tasks[[#This Row],[_Days]]-1),WorkWeek,Holidays)))</f>
        <v/>
      </c>
      <c r="FD1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4" s="90" t="b">
        <f aca="false">AND(Tasks[[#This Row],[_IsLeaf]]=1,Tasks[[#This Row],[_LeafProgress]]&lt;1,N(Tasks[[#This Row],[_LeafTotalSlack]])&lt;=CriticalSlackDays)</f>
        <v>0</v>
      </c>
      <c r="FF134" s="43" t="n">
        <f aca="false">IF(AND(Tasks[[#This Row],[_IsLeaf]]=1,Tasks[[#This Row],[_ConstraintCode]]=1,Tasks[[#This Row],[Mode]]&lt;&gt;"Manual",N(Tasks[[#This Row],[Actual Start]])=0),MAX(0,N(Tasks[[#This Row],[Free Slack]])),0)</f>
        <v>0</v>
      </c>
      <c r="FG134" s="91" t="str">
        <f aca="false">IF(NOT(Tasks[[#This Row],[_IsLeaf]]=1),"",IF(Tasks[[#This Row],[_AlapShift]]=0,Tasks[[#This Row],[_LeafCalcStart]],WORKDAY.INTL(Tasks[[#This Row],[_LeafCalcStart]],Tasks[[#This Row],[_AlapShift]],WorkWeek,Holidays)))</f>
        <v/>
      </c>
      <c r="FH134" s="91" t="str">
        <f aca="false">IF(NOT(Tasks[[#This Row],[_IsLeaf]]=1),"",IF(Tasks[[#This Row],[_AlapShift]]=0,Tasks[[#This Row],[_LeafCalcFinish]],WORKDAY.INTL(Tasks[[#This Row],[_LeafCalcFinish]],Tasks[[#This Row],[_AlapShift]],WorkWeek,Holidays)))</f>
        <v/>
      </c>
      <c r="FI134" s="91" t="str">
        <f aca="false">IF(NOT(Tasks[[#This Row],[_IsLeaf]]=1),"",IF(Tasks[[#This Row],[_AlapShift]]=0,Tasks[[#This Row],[_LeafFcstStart]],WORKDAY.INTL(Tasks[[#This Row],[_LeafFcstStart]],Tasks[[#This Row],[_AlapShift]],WorkWeek,Holidays)))</f>
        <v/>
      </c>
      <c r="FJ134" s="91" t="str">
        <f aca="false">IF(NOT(Tasks[[#This Row],[_IsLeaf]]=1),"",IF(Tasks[[#This Row],[_AlapShift]]=0,Tasks[[#This Row],[_LeafFcstFinish]],WORKDAY.INTL(Tasks[[#This Row],[_LeafFcstFinish]],Tasks[[#This Row],[_AlapShift]],WorkWeek,Holidays)))</f>
        <v/>
      </c>
      <c r="FK134" s="91" t="str">
        <f aca="false">IF(Tasks[[#This Row],[Task Name]]="","",IF(Tasks[[#This Row],[_IsSummary]],MIN(INDEX(Tasks[_ShownCalcStart],Tasks[[#This Row],[_Row]]+1):INDEX(Tasks[_ShownCalcStart],Tasks[[#This Row],[_Row]]+Tasks[[#This Row],[_Descendants]])),Tasks[[#This Row],[_ShownCalcStart]]))</f>
        <v/>
      </c>
      <c r="FL134" s="91" t="str">
        <f aca="false">IF(Tasks[[#This Row],[Task Name]]="","",IF(Tasks[[#This Row],[_IsSummary]],MAX(INDEX(Tasks[_ShownCalcFinish],Tasks[[#This Row],[_Row]]+1):INDEX(Tasks[_ShownCalcFinish],Tasks[[#This Row],[_Row]]+Tasks[[#This Row],[_Descendants]])),Tasks[[#This Row],[_ShownCalcFinish]]))</f>
        <v/>
      </c>
      <c r="FM1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4" s="43" t="n">
        <f aca="false">IF(AND(Tasks[[#This Row],[_IsLeaf]]=1,Tasks[[#This Row],[_LeafTotalWork]]&gt;0),NETWORKDAYS.INTL(ProjectStart,Tasks[[#This Row],[_ShownFcstStart]],WorkWeek,Holidays),0)</f>
        <v>0</v>
      </c>
      <c r="FZ134" s="43" t="n">
        <f aca="false">IF(AND(Tasks[[#This Row],[_IsLeaf]]=1,Tasks[[#This Row],[_LeafTotalWork]]&gt;0),MAX(Tasks[[#This Row],[_StartWorkday]],NETWORKDAYS.INTL(ProjectStart,Tasks[[#This Row],[_ShownFcstFinish]],WorkWeek,Holidays)),0)</f>
        <v>0</v>
      </c>
      <c r="GA134" s="43" t="n">
        <f aca="false">IF(AND(Tasks[[#This Row],[_IsLeaf]]=1,Tasks[[#This Row],[_LeafTotalWork]]&gt;0),Tasks[[#This Row],[_LeafWork]]/(Tasks[[#This Row],[_FinishWorkday]]-Tasks[[#This Row],[_StartWorkday]]+1),0)</f>
        <v>0</v>
      </c>
      <c r="GB134" s="43" t="n">
        <f aca="false">Tasks[[#This Row],[_WorkPerWorkday]]*(Tasks[[#This Row],[_StartWorkday]]-1)</f>
        <v>-0</v>
      </c>
      <c r="GC134" s="43" t="n">
        <f aca="false">IF(Tasks[[#This Row],[_IsLeaf]]=1,MAX(N(Tasks[[#This Row],[_Days]]),0.1),0)</f>
        <v>0</v>
      </c>
      <c r="GD134" s="43" t="n">
        <f aca="false">Tasks[[#This Row],[_WeightDur]]*Tasks[[#This Row],[_LeafProgress]]</f>
        <v>0</v>
      </c>
      <c r="GE134" s="43" t="n">
        <f aca="false">Tasks[[#This Row],[_WeightDur]]*Tasks[[#This Row],[_PlannedPct]]</f>
        <v>0</v>
      </c>
      <c r="GF1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3" t="str">
        <f aca="false">IF(AND(Tasks[[#This Row],[_IsLeaf]]=1,N(Tasks[[#This Row],[_Days]])=0,Tasks[[#This Row],[_LeafProgress]]&lt;1),Tasks[[#This Row],[_ShownFcstFinish]]+Tasks[[#This Row],[_Row]]/100000,"")</f>
        <v/>
      </c>
      <c r="GH1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4" s="43" t="str">
        <f aca="false">IF(Tasks[[#This Row],[Task Name]]="","",LEFT(Tasks[[#This Row],[WBS]],FIND(".",Tasks[[#This Row],[WBS]]&amp;".")-1))</f>
        <v/>
      </c>
      <c r="GJ134" s="43" t="str">
        <f aca="false">IF(AND(Tasks[[#This Row],[Task Name]]&lt;&gt;"",Tasks[[#This Row],[_Level]]=1),Tasks[[#This Row],[_Row]],"")</f>
        <v/>
      </c>
      <c r="GK134" s="43" t="str">
        <f aca="false">IF(AND(Tasks[[#This Row],[_IsLeaf]]=1,N(Tasks[[#This Row],[_Days]])=0),Tasks[[#This Row],[Planned Finish]]+Tasks[[#This Row],[_Row]]/100000,"")</f>
        <v/>
      </c>
      <c r="GL134" s="43" t="str">
        <f aca="false">IF(AND(Tasks[[#This Row],[_IsLeaf]]=1,Tasks[[#This Row],[_LeafProgress]]&lt;1,OR(N(Tasks[[#This Row],[Finish Var]])&gt;0,Tasks[[#This Row],[Status]]="Late Start")),MAX(0,Tasks[[#This Row],[Finish Var]])+1-Tasks[[#This Row],[_Row]]/1000000,"")</f>
        <v/>
      </c>
      <c r="GM134" s="43" t="str">
        <f aca="false">IF(AND(Tasks[[#This Row],[_IsLeaf]]=1,N(Tasks[[#This Row],[Actual Start]])=0,Tasks[[#This Row],[_ShownFcstStart]]&gt;=StatusDate,Tasks[[#This Row],[_ShownFcstStart]]&lt;=LookaheadEnd),Tasks[[#This Row],[_ShownFcstStart]]+Tasks[[#This Row],[_Row]]/100000,"")</f>
        <v/>
      </c>
      <c r="GN134" s="43" t="str">
        <f aca="false">IF(AND(Tasks[[#This Row],[_IsLeaf]]=1,Tasks[[#This Row],[_LeafProgress]]&lt;1,Tasks[[#This Row],[_ShownFcstFinish]]&gt;=StatusDate,Tasks[[#This Row],[_ShownFcstFinish]]&lt;=LookaheadEnd),Tasks[[#This Row],[_ShownFcstFinish]]+Tasks[[#This Row],[_Row]]/100000,"")</f>
        <v/>
      </c>
      <c r="GO134" s="43" t="str">
        <f aca="false">IF(Tasks[[#This Row],[_LeafCritical]],Tasks[[#This Row],[_ShownFcstStart]]+Tasks[[#This Row],[_Row]]/100000,"")</f>
        <v/>
      </c>
      <c r="GP134" s="43" t="n">
        <f aca="false">Tasks[[#This Row],[_LeafWork]]*Tasks[[#This Row],[_LeafProgress]]</f>
        <v>0</v>
      </c>
      <c r="GQ134" s="91" t="str">
        <f aca="false">IF(AND(Tasks[[#This Row],[_IsLeaf]]=1,Tasks[[#This Row],[_LeafProgress]]&gt;=1),IF(N(Tasks[[#This Row],[Actual Finish]])&gt;0,Tasks[[#This Row],[Actual Finish]],Tasks[[#This Row],[_ShownFcstFinish]]),"")</f>
        <v/>
      </c>
      <c r="GR134" s="43" t="n">
        <f aca="false">IF(Tasks[[#This Row],[_IsLeaf]]=1,N(Tasks[[#This Row],[Story Points]]),0)</f>
        <v>0</v>
      </c>
      <c r="GS134" s="43" t="str">
        <f aca="false">""</f>
        <v/>
      </c>
      <c r="GT134" s="90" t="b">
        <f aca="false">IF(Tasks[[#This Row],[Task Name]]="",FALSE(),AND(Tasks[[#This Row],[_IsLeaf]]=1,N(Tasks[[#This Row],[_Days]])=0))</f>
        <v>0</v>
      </c>
      <c r="GU134" s="91" t="n">
        <f aca="false">IF(Tasks[[#This Row],[Task Name]]="",0,IF(AND(Tasks[[#This Row],[_IsLeaf]]=1,NOT(Tasks[[#This Row],[_IsMilestone]]),N(Tasks[[#This Row],[Progress]])&gt;0),Tasks[[#This Row],[Start]],0))</f>
        <v>0</v>
      </c>
      <c r="GV134" s="91" t="n">
        <f aca="false">IF(Tasks[[#This Row],[_DoneFrom]]=0,0,IF(Tasks[[#This Row],[Progress]]&gt;=1,Tasks[[#This Row],[Finish]],MAX(Tasks[[#This Row],[_DoneFrom]],Tasks[[#This Row],[Start]]+ROUND((Tasks[[#This Row],[Finish]]-Tasks[[#This Row],[Start]]+1)*Tasks[[#This Row],[Progress]],0)-1)))</f>
        <v>0</v>
      </c>
      <c r="GW134" s="91" t="n">
        <f aca="false">IF(Tasks[[#This Row],[Task Name]]="",0,IF(OR(NOT(Tasks[[#This Row],[_IsLeaf]]=1),Tasks[[#This Row],[_IsMilestone]],N(Tasks[[#This Row],[Progress]])&gt;=1),0,IF(Tasks[[#This Row],[_DoneTo]]&gt;0,Tasks[[#This Row],[_DoneTo]]+1,Tasks[[#This Row],[Start]])))</f>
        <v>0</v>
      </c>
      <c r="GX134" s="91" t="n">
        <f aca="false">IF(Tasks[[#This Row],[_RemFrom]]=0,0,Tasks[[#This Row],[Finish]])</f>
        <v>0</v>
      </c>
      <c r="GY134" s="90" t="b">
        <f aca="false">IF(Tasks[[#This Row],[Task Name]]="",FALSE(),OR(NOT(BaselineSet),N(Tasks[[#This Row],[Baseline Start]])&gt;0))</f>
        <v>0</v>
      </c>
      <c r="GZ13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92" t="str">
        <f aca="false">IF(Tasks[[#This Row],[_IsLeaf]]=1,Tasks[[#This Row],[_Row]],"")</f>
        <v/>
      </c>
      <c r="HD134" s="92" t="str">
        <f aca="false">IFERROR(INDEX(Tasks[UID],SMALL(Tasks[_PickKey],Tasks[[#This Row],[_Row]]))&amp;" "&amp;INDEX(Tasks[Task Name],SMALL(Tasks[_PickKey],Tasks[[#This Row],[_Row]])),"")</f>
        <v/>
      </c>
      <c r="HE134" s="43" t="str">
        <f aca="false">IF(Tasks[[#This Row],[Task Name]]="","",IF(Tasks[[#This Row],[_IsSummary]],NETWORKDAYS.INTL(Tasks[[#This Row],[Start]],Tasks[[#This Row],[Finish]],WorkWeek,Holidays),N(Tasks[[#This Row],[_Days]])))</f>
        <v/>
      </c>
      <c r="HF134" s="43" t="n">
        <f aca="false">IF(Tasks[[#This Row],[Expected]]="",0,((Tasks[[#This Row],[Pessimistic]]-Tasks[[#This Row],[Optimistic]])/6)^2)</f>
        <v>0</v>
      </c>
      <c r="HG134" s="43" t="n">
        <f aca="false">IF(Tasks[[#This Row],[Expected]]="",0,Tasks[[#This Row],[Expected]]-N(Tasks[[#This Row],[_Days]]))</f>
        <v>0</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4"/>
      <c r="U135" s="23"/>
      <c r="V135" s="84"/>
      <c r="W135" s="23"/>
      <c r="X135" s="84"/>
      <c r="Y135" s="23"/>
      <c r="Z135" s="84"/>
      <c r="AA135" s="23"/>
      <c r="AB135" s="23"/>
      <c r="AC135" s="7"/>
      <c r="AD135" s="7"/>
      <c r="AE135" s="63" t="str">
        <f aca="false">IF(Tasks[[#This Row],[Task Name]]="","",IF(Tasks[[#This Row],[_IsSummary]],MIN(INDEX(Tasks[_ShownFcstStart],Tasks[[#This Row],[_Row]]+1):INDEX(Tasks[_ShownFcstStart],Tasks[[#This Row],[_Row]]+Tasks[[#This Row],[_Descendants]])),Tasks[[#This Row],[_ShownFcstStart]]))</f>
        <v/>
      </c>
      <c r="AF135" s="63"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5" s="7"/>
      <c r="AK135" s="22"/>
      <c r="AL135" s="23"/>
      <c r="AM135" s="7"/>
      <c r="AN135" s="47"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3" t="str">
        <f aca="false">IF(Tasks[[#This Row],[Task Name]]="","",IF(N(Tasks[[#This Row],[Baseline Start]])&gt;0,Tasks[[#This Row],[Baseline Start]],Tasks[[#This Row],[_CalcStart]]))</f>
        <v/>
      </c>
      <c r="AR135" s="63" t="str">
        <f aca="false">IF(Tasks[[#This Row],[Task Name]]="","",IF(N(Tasks[[#This Row],[Baseline Finish]])&gt;0,Tasks[[#This Row],[Baseline Finish]],Tasks[[#This Row],[_CalcFinish]]))</f>
        <v/>
      </c>
      <c r="AS135" s="47" t="str">
        <f aca="false">IF(Tasks[[#This Row],[Task Name]]="","",IF(Tasks[[#This Row],[Start]]&gt;=Tasks[[#This Row],[Planned Start]],NETWORKDAYS.INTL(Tasks[[#This Row],[Planned Start]],Tasks[[#This Row],[Start]],WorkWeek,Holidays)-1,1-NETWORKDAYS.INTL(Tasks[[#This Row],[Start]],Tasks[[#This Row],[Planned Start]],WorkWeek,Holidays)))</f>
        <v/>
      </c>
      <c r="AT135" s="63" t="str">
        <f aca="false">IF(Tasks[[#This Row],[Task Name]]="","",IF(Tasks[[#This Row],[_IsSummary]],MIN(INDEX(Tasks[_LeafLateStart],Tasks[[#This Row],[_Row]]+1):INDEX(Tasks[_LeafLateStart],Tasks[[#This Row],[_Row]]+Tasks[[#This Row],[_Descendants]])),Tasks[[#This Row],[_LeafLateStart]]))</f>
        <v/>
      </c>
      <c r="AU135" s="63" t="str">
        <f aca="false">IF(Tasks[[#This Row],[Task Name]]="","",IF(Tasks[[#This Row],[_IsSummary]],MAX(INDEX(Tasks[_LeafLateFinish],Tasks[[#This Row],[_Row]]+1):INDEX(Tasks[_LeafLateFinish],Tasks[[#This Row],[_Row]]+Tasks[[#This Row],[_Descendants]])),Tasks[[#This Row],[_LeafLateFinish]]))</f>
        <v/>
      </c>
      <c r="AV135" s="47"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5"/>
      <c r="BA1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6"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7"/>
      <c r="BJ135" s="22"/>
      <c r="BK135" s="47" t="str">
        <f aca="false">IF(OR(Tasks[[#This Row],[Task Name]]="",Tasks[[#This Row],[Baseline Duration]]=""),"",Tasks[[#This Row],[_SpanDays]]-N(Tasks[[#This Row],[Baseline Duration]]))</f>
        <v/>
      </c>
      <c r="BL135" s="86" t="str">
        <f aca="false">IF(OR(Tasks[[#This Row],[Task Name]]="",Tasks[[#This Row],[Baseline Work]]=""),"",Tasks[[#This Row],[Work]]-N(Tasks[[#This Row],[Baseline Work]]))</f>
        <v/>
      </c>
      <c r="BM135" s="63" t="str">
        <f aca="false">IF(Tasks[[#This Row],[Task Name]]="","",IF(OR(TakeBaseline="Yes",N(Tasks[[#This Row],[Baseline Start]])=0),Tasks[[#This Row],[Start]],Tasks[[#This Row],[Baseline Start]]))</f>
        <v/>
      </c>
      <c r="BN135" s="63" t="str">
        <f aca="false">IF(Tasks[[#This Row],[Task Name]]="","",IF(OR(TakeBaseline="Yes",N(Tasks[[#This Row],[Baseline Finish]])=0),Tasks[[#This Row],[Finish]],Tasks[[#This Row],[Baseline Finish]]))</f>
        <v/>
      </c>
      <c r="BO135" s="21" t="str">
        <f aca="false">IF(Tasks[[#This Row],[Task Name]]="","",IF(OR(TakeBaseline="Yes",N(Tasks[[#This Row],[Baseline Duration]])=0),Tasks[[#This Row],[_SpanDays]],Tasks[[#This Row],[Baseline Duration]]))</f>
        <v/>
      </c>
      <c r="BP135" s="86" t="str">
        <f aca="false">IF(Tasks[[#This Row],[Task Name]]="","",IF(OR(TakeBaseline="Yes",N(Tasks[[#This Row],[Baseline Work]])=0),Tasks[[#This Row],[Work]],Tasks[[#This Row],[Baseline Work]]))</f>
        <v/>
      </c>
      <c r="BQ135" s="7"/>
      <c r="BR135" s="7"/>
      <c r="BS135" s="22"/>
      <c r="BT135" s="88"/>
      <c r="BU135" s="23"/>
      <c r="BV135" s="23"/>
      <c r="BW135" s="23"/>
      <c r="BX135" s="89" t="str">
        <f aca="false">IF(AND(Tasks[[#This Row],[_IsLeaf]]=1,ISNUMBER(Tasks[[#This Row],[Optimistic]]),ISNUMBER(Tasks[[#This Row],[Pessimistic]])),ROUND((Tasks[[#This Row],[Optimistic]]+4*N(Tasks[[#This Row],[_Days]])+Tasks[[#This Row],[Pessimistic]])/6,1),"")</f>
        <v/>
      </c>
      <c r="BY135" s="87"/>
      <c r="BZ135" s="87"/>
      <c r="CA135" s="22"/>
      <c r="CB135" s="43" t="str">
        <f aca="false">IF(Tasks[[#This Row],[Task Name]]="","",MAX(1,N(Tasks[[#This Row],[Level]])))</f>
        <v/>
      </c>
      <c r="CC135" s="43" t="n">
        <f aca="false">ROW()-ROW(Tasks[[#Headers],[ID]])</f>
        <v>130</v>
      </c>
      <c r="CD135" s="43" t="n">
        <f aca="false">IF(OR(Tasks[[#This Row],[Task Name]]="",Tasks[[#This Row],[_Level]]&lt;=1),0,IFERROR(LOOKUP(2,1/(Tasks[[#Headers],[_Level]]:Tasks[[#This Row],[_Level]]=Tasks[[#This Row],[_Level]]-1),ROW(Tasks[[#Headers],[_Level]]:Tasks[[#This Row],[_Level]])),0))</f>
        <v>0</v>
      </c>
      <c r="CE135" s="43" t="n">
        <f aca="false">IFERROR(N(INDEX(Tasks[_Level],Tasks[[#This Row],[_Row]]+1)),0)</f>
        <v>0</v>
      </c>
      <c r="CF135" s="90" t="b">
        <f aca="false">AND(Tasks[[#This Row],[Task Name]]&lt;&gt;"",Tasks[[#This Row],[_NextLevel]]&gt;Tasks[[#This Row],[_Level]])</f>
        <v>0</v>
      </c>
      <c r="CG135" s="43" t="n">
        <f aca="false">IF(Tasks[[#This Row],[_IsSummary]],COUNTIF(Tasks[WBS],Tasks[[#This Row],[WBS]]&amp;".*"),0)</f>
        <v>0</v>
      </c>
      <c r="CH135" s="43" t="n">
        <f aca="false">IF(AND(Tasks[[#This Row],[Task Name]]&lt;&gt;"",NOT(Tasks[[#This Row],[_IsSummary]])),1,0)</f>
        <v>0</v>
      </c>
      <c r="CI135" s="43" t="n">
        <f aca="false">IF(N(Tasks[[#This Row],[_Pred1UID]])=0,0,IFERROR(MATCH(Tasks[[#This Row],[_Pred1UID]],Tasks[UID],0),-1))</f>
        <v>0</v>
      </c>
      <c r="CJ135" s="43" t="n">
        <f aca="false">IF(N(Tasks[[#This Row],[_Pred2UID]])=0,0,IFERROR(MATCH(Tasks[[#This Row],[_Pred2UID]],Tasks[UID],0),-1))</f>
        <v>0</v>
      </c>
      <c r="CK135" s="43" t="n">
        <f aca="false">IF(N(Tasks[[#This Row],[_Pred3UID]])=0,0,IFERROR(MATCH(Tasks[[#This Row],[_Pred3UID]],Tasks[UID],0),-1))</f>
        <v>0</v>
      </c>
      <c r="CL135" s="43" t="n">
        <f aca="false">IF(N(Tasks[[#This Row],[_Pred4UID]])=0,0,IFERROR(MATCH(Tasks[[#This Row],[_Pred4UID]],Tasks[UID],0),-1))</f>
        <v>0</v>
      </c>
      <c r="CM1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5" s="91" t="n">
        <f aca="false">IF(OR(Tasks[[#This Row],[_ConstraintCode]]=2,Tasks[[#This Row],[_ConstraintCode]]=3,Tasks[[#This Row],[_ConstraintCode]]=4,Tasks[[#This Row],[_ConstraintCode]]=6),Tasks[[#This Row],[_ConstraintStart]],0)</f>
        <v>0</v>
      </c>
      <c r="CP135" s="91" t="n">
        <f aca="false">IF(OR(Tasks[[#This Row],[_ConstraintCode]]=2,Tasks[[#This Row],[_ConstraintCode]]=3,Tasks[[#This Row],[_ConstraintCode]]=5,Tasks[[#This Row],[_ConstraintCode]]=7),Tasks[[#This Row],[_ConstraintStart]],2958465)</f>
        <v>2958465</v>
      </c>
      <c r="CQ1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91" t="str">
        <f aca="false">IF(NOT(Tasks[[#This Row],[_IsLeaf]]=1),"",IF(N(Tasks[[#This Row],[_Days]])&lt;=0,Tasks[[#This Row],[_LeafCalcStart]],WORKDAY.INTL(Tasks[[#This Row],[_LeafCalcStart]],Tasks[[#This Row],[_Days]]-1,WorkWeek,Holidays)))</f>
        <v/>
      </c>
      <c r="CS1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3" t="str">
        <f aca="false">IF(Tasks[[#This Row],[_Predecessors]]="","",TRIM(MID(SUBSTITUTE(SUBSTITUTE(SUBSTITUTE(UPPER(Tasks[[#This Row],[_Predecessors]]),";",",")," ",""),",",REPT(" ",99)),1,99)))</f>
        <v/>
      </c>
      <c r="CV135" s="43" t="str">
        <f aca="false">IF(Tasks[[#This Row],[_Pred1Text]]="","",IFERROR(VALUE(LEFT(Tasks[[#This Row],[_Pred1Text]],MIN(FIND("F",Tasks[[#This Row],[_Pred1Text]]&amp;"F"),FIND("S",Tasks[[#This Row],[_Pred1Text]]&amp;"S"),FIND("+",Tasks[[#This Row],[_Pred1Text]]&amp;"+"),FIND("-",Tasks[[#This Row],[_Pred1Text]]&amp;"-"))-1)),""))</f>
        <v/>
      </c>
      <c r="CW1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3" t="str">
        <f aca="false">IF(Tasks[[#This Row],[_Pred1Text]]="","",TRIM(MID(SUBSTITUTE(SUBSTITUTE(SUBSTITUTE(UPPER(Tasks[[#This Row],[_Predecessors]]),";",",")," ",""),",",REPT(" ",99)),100,99)))</f>
        <v/>
      </c>
      <c r="CZ135" s="43" t="str">
        <f aca="false">IF(Tasks[[#This Row],[_Pred2Text]]="","",IFERROR(VALUE(LEFT(Tasks[[#This Row],[_Pred2Text]],MIN(FIND("F",Tasks[[#This Row],[_Pred2Text]]&amp;"F"),FIND("S",Tasks[[#This Row],[_Pred2Text]]&amp;"S"),FIND("+",Tasks[[#This Row],[_Pred2Text]]&amp;"+"),FIND("-",Tasks[[#This Row],[_Pred2Text]]&amp;"-"))-1)),""))</f>
        <v/>
      </c>
      <c r="DA1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3" t="str">
        <f aca="false">IF(Tasks[[#This Row],[_Pred2Text]]="","",TRIM(MID(SUBSTITUTE(SUBSTITUTE(SUBSTITUTE(UPPER(Tasks[[#This Row],[_Predecessors]]),";",",")," ",""),",",REPT(" ",99)),199,99)))</f>
        <v/>
      </c>
      <c r="DD135" s="43" t="str">
        <f aca="false">IF(Tasks[[#This Row],[_Pred3Text]]="","",IFERROR(VALUE(LEFT(Tasks[[#This Row],[_Pred3Text]],MIN(FIND("F",Tasks[[#This Row],[_Pred3Text]]&amp;"F"),FIND("S",Tasks[[#This Row],[_Pred3Text]]&amp;"S"),FIND("+",Tasks[[#This Row],[_Pred3Text]]&amp;"+"),FIND("-",Tasks[[#This Row],[_Pred3Text]]&amp;"-"))-1)),""))</f>
        <v/>
      </c>
      <c r="DE1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3" t="str">
        <f aca="false">IF(Tasks[[#This Row],[_Pred3Text]]="","",TRIM(MID(SUBSTITUTE(SUBSTITUTE(SUBSTITUTE(UPPER(Tasks[[#This Row],[_Predecessors]]),";",",")," ",""),",",REPT(" ",99)),298,99)))</f>
        <v/>
      </c>
      <c r="DH135" s="43" t="str">
        <f aca="false">IF(Tasks[[#This Row],[_Pred4Text]]="","",IFERROR(VALUE(LEFT(Tasks[[#This Row],[_Pred4Text]],MIN(FIND("F",Tasks[[#This Row],[_Pred4Text]]&amp;"F"),FIND("S",Tasks[[#This Row],[_Pred4Text]]&amp;"S"),FIND("+",Tasks[[#This Row],[_Pred4Text]]&amp;"+"),FIND("-",Tasks[[#This Row],[_Pred4Text]]&amp;"-"))-1)),""))</f>
        <v/>
      </c>
      <c r="DI1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3" t="str">
        <f aca="false">IF(OR(Tasks[[#This Row],[Task Name]]="",Tasks[[#This Row],[_Resources]]=""),"",TRIM(MID(SUBSTITUTE(Tasks[[#This Row],[_Resources]],",",REPT(" ",99)),1,99)))</f>
        <v/>
      </c>
      <c r="DL135" s="43" t="str">
        <f aca="false">IF(Tasks[[#This Row],[_Res1Text]]="","",TRIM(MID(SUBSTITUTE(Tasks[[#This Row],[_Resources]],",",REPT(" ",99)),100,99)))</f>
        <v/>
      </c>
      <c r="DM135" s="43" t="str">
        <f aca="false">IF(Tasks[[#This Row],[_Res2Text]]="","",TRIM(MID(SUBSTITUTE(Tasks[[#This Row],[_Resources]],",",REPT(" ",99)),199,99)))</f>
        <v/>
      </c>
      <c r="DN135" s="43" t="str">
        <f aca="false">IF(Tasks[[#This Row],[_Res3Text]]="","",TRIM(MID(SUBSTITUTE(Tasks[[#This Row],[_Resources]],",",REPT(" ",99)),298,99)))</f>
        <v/>
      </c>
      <c r="DO135" s="43" t="n">
        <f aca="false">IF(Tasks[[#This Row],[_Res1Text]]="",0,IFERROR(MATCH(TRIM(LEFT(Tasks[[#This Row],[_Res1Text]],FIND("[",Tasks[[#This Row],[_Res1Text]]&amp;"[")-1)),res_Name,0),IFERROR(MATCH(TRIM(LEFT(Tasks[[#This Row],[_Res1Text]],FIND("[",Tasks[[#This Row],[_Res1Text]]&amp;"[")-1)),res_Initials,0),0)))</f>
        <v>0</v>
      </c>
      <c r="DP135" s="43" t="n">
        <f aca="false">IF(Tasks[[#This Row],[_Res2Text]]="",0,IFERROR(MATCH(TRIM(LEFT(Tasks[[#This Row],[_Res2Text]],FIND("[",Tasks[[#This Row],[_Res2Text]]&amp;"[")-1)),res_Name,0),IFERROR(MATCH(TRIM(LEFT(Tasks[[#This Row],[_Res2Text]],FIND("[",Tasks[[#This Row],[_Res2Text]]&amp;"[")-1)),res_Initials,0),0)))</f>
        <v>0</v>
      </c>
      <c r="DQ135" s="43" t="n">
        <f aca="false">IF(Tasks[[#This Row],[_Res3Text]]="",0,IFERROR(MATCH(TRIM(LEFT(Tasks[[#This Row],[_Res3Text]],FIND("[",Tasks[[#This Row],[_Res3Text]]&amp;"[")-1)),res_Name,0),IFERROR(MATCH(TRIM(LEFT(Tasks[[#This Row],[_Res3Text]],FIND("[",Tasks[[#This Row],[_Res3Text]]&amp;"[")-1)),res_Initials,0),0)))</f>
        <v>0</v>
      </c>
      <c r="DR135" s="43" t="n">
        <f aca="false">IF(Tasks[[#This Row],[_Res4Text]]="",0,IFERROR(MATCH(TRIM(LEFT(Tasks[[#This Row],[_Res4Text]],FIND("[",Tasks[[#This Row],[_Res4Text]]&amp;"[")-1)),res_Name,0),IFERROR(MATCH(TRIM(LEFT(Tasks[[#This Row],[_Res4Text]],FIND("[",Tasks[[#This Row],[_Res4Text]]&amp;"[")-1)),res_Initials,0),0)))</f>
        <v>0</v>
      </c>
      <c r="DS135" s="43" t="str">
        <f aca="false">IF(Tasks[[#This Row],[_Res1Text]]="","",IF(Tasks[[#This Row],[_Res1Row]]&gt;0,INDEX(res_Name,Tasks[[#This Row],[_Res1Row]]),TRIM(LEFT(Tasks[[#This Row],[_Res1Text]],FIND("[",Tasks[[#This Row],[_Res1Text]]&amp;"[")-1))))</f>
        <v/>
      </c>
      <c r="DT1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3" t="n">
        <f aca="false">IF(NOT(Tasks[[#This Row],[_IsLeaf]]=1),0,(Tasks[[#This Row],[_Resource1]]&lt;&gt;"")+(Tasks[[#This Row],[_Res2]]&lt;&gt;"")+(Tasks[[#This Row],[_Res3]]&lt;&gt;"")+(Tasks[[#This Row],[_Res4]]&lt;&gt;""))</f>
        <v>0</v>
      </c>
      <c r="DV135" s="43" t="str">
        <f aca="false">IF(Tasks[[#This Row],[_Res2Text]]="","",IF(Tasks[[#This Row],[_Res2Row]]&gt;0,INDEX(res_Name,Tasks[[#This Row],[_Res2Row]]),TRIM(LEFT(Tasks[[#This Row],[_Res2Text]],FIND("[",Tasks[[#This Row],[_Res2Text]]&amp;"[")-1))))</f>
        <v/>
      </c>
      <c r="DW1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3" t="n">
        <f aca="false">IF(OR(NOT(Tasks[[#This Row],[_IsLeaf]]=1),Tasks[[#This Row],[_Res2Row]]=0),0,N(Tasks[[#This Row],[_Days]])*HoursPerDay*IF(Tasks[[#This Row],[_Res2Units]]="",DefaultUnits,Tasks[[#This Row],[_Res2Units]]))</f>
        <v>0</v>
      </c>
      <c r="DY135" s="43" t="n">
        <f aca="false">IF(AND(AND(Tasks[[#This Row],[_IsLeaf]]=1,Tasks[[#This Row],[_LeafTotalWork]]&gt;0),Tasks[[#This Row],[_Res2Work]]&gt;0),Tasks[[#This Row],[_Res2Work]]/(Tasks[[#This Row],[_FinishWorkday]]-Tasks[[#This Row],[_StartWorkday]]+1),0)</f>
        <v>0</v>
      </c>
      <c r="DZ135" s="43" t="n">
        <f aca="false">Tasks[[#This Row],[_Res2WorkPerWD]]*MAX(0,Tasks[[#This Row],[_StartWorkday]]-1)</f>
        <v>0</v>
      </c>
      <c r="EA135" s="43" t="n">
        <f aca="false">Tasks[[#This Row],[_Res2Work]]*Tasks[[#This Row],[_LeafProgress]]</f>
        <v>0</v>
      </c>
      <c r="EB135" s="43" t="str">
        <f aca="false">IF(Tasks[[#This Row],[_Res3Text]]="","",IF(Tasks[[#This Row],[_Res3Row]]&gt;0,INDEX(res_Name,Tasks[[#This Row],[_Res3Row]]),TRIM(LEFT(Tasks[[#This Row],[_Res3Text]],FIND("[",Tasks[[#This Row],[_Res3Text]]&amp;"[")-1))))</f>
        <v/>
      </c>
      <c r="EC1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3" t="n">
        <f aca="false">IF(OR(NOT(Tasks[[#This Row],[_IsLeaf]]=1),Tasks[[#This Row],[_Res3Row]]=0),0,N(Tasks[[#This Row],[_Days]])*HoursPerDay*IF(Tasks[[#This Row],[_Res3Units]]="",DefaultUnits,Tasks[[#This Row],[_Res3Units]]))</f>
        <v>0</v>
      </c>
      <c r="EE135" s="43" t="n">
        <f aca="false">IF(AND(AND(Tasks[[#This Row],[_IsLeaf]]=1,Tasks[[#This Row],[_LeafTotalWork]]&gt;0),Tasks[[#This Row],[_Res3Work]]&gt;0),Tasks[[#This Row],[_Res3Work]]/(Tasks[[#This Row],[_FinishWorkday]]-Tasks[[#This Row],[_StartWorkday]]+1),0)</f>
        <v>0</v>
      </c>
      <c r="EF135" s="43" t="n">
        <f aca="false">Tasks[[#This Row],[_Res3WorkPerWD]]*MAX(0,Tasks[[#This Row],[_StartWorkday]]-1)</f>
        <v>0</v>
      </c>
      <c r="EG135" s="43" t="n">
        <f aca="false">Tasks[[#This Row],[_Res3Work]]*Tasks[[#This Row],[_LeafProgress]]</f>
        <v>0</v>
      </c>
      <c r="EH135" s="43" t="str">
        <f aca="false">IF(Tasks[[#This Row],[_Res4Text]]="","",IF(Tasks[[#This Row],[_Res4Row]]&gt;0,INDEX(res_Name,Tasks[[#This Row],[_Res4Row]]),TRIM(LEFT(Tasks[[#This Row],[_Res4Text]],FIND("[",Tasks[[#This Row],[_Res4Text]]&amp;"[")-1))))</f>
        <v/>
      </c>
      <c r="EI1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3" t="n">
        <f aca="false">IF(OR(NOT(Tasks[[#This Row],[_IsLeaf]]=1),Tasks[[#This Row],[_Res4Row]]=0),0,N(Tasks[[#This Row],[_Days]])*HoursPerDay*IF(Tasks[[#This Row],[_Res4Units]]="",DefaultUnits,Tasks[[#This Row],[_Res4Units]]))</f>
        <v>0</v>
      </c>
      <c r="EK135" s="43" t="n">
        <f aca="false">IF(AND(AND(Tasks[[#This Row],[_IsLeaf]]=1,Tasks[[#This Row],[_LeafTotalWork]]&gt;0),Tasks[[#This Row],[_Res4Work]]&gt;0),Tasks[[#This Row],[_Res4Work]]/(Tasks[[#This Row],[_FinishWorkday]]-Tasks[[#This Row],[_StartWorkday]]+1),0)</f>
        <v>0</v>
      </c>
      <c r="EL135" s="43" t="n">
        <f aca="false">Tasks[[#This Row],[_Res4WorkPerWD]]*MAX(0,Tasks[[#This Row],[_StartWorkday]]-1)</f>
        <v>0</v>
      </c>
      <c r="EM135" s="43" t="n">
        <f aca="false">Tasks[[#This Row],[_Res4Work]]*Tasks[[#This Row],[_LeafProgress]]</f>
        <v>0</v>
      </c>
      <c r="EN135" s="43" t="n">
        <f aca="false">IF(ISNUMBER(Tasks[[#This Row],[% Complete]]),Tasks[[#This Row],[% Complete]],IF(Tasks[[#This Row],[Stage]]="",0,IFERROR(INDEX(stg_Pct,MATCH(Tasks[[#This Row],[Stage]],stg_Name,0)),0)))</f>
        <v>0</v>
      </c>
      <c r="EO135" s="43" t="n">
        <f aca="false">IF(NOT(Tasks[[#This Row],[_IsLeaf]]=1),0,IF(N(Tasks[[#This Row],[Actual Finish]])&gt;0,1,MIN(1,Tasks[[#This Row],[_Pct]])))</f>
        <v>0</v>
      </c>
      <c r="EP135" s="43" t="n">
        <f aca="false">IF(OR(NOT(Tasks[[#This Row],[_IsLeaf]]=1),Tasks[[#This Row],[_Res1Row]]=0),0,N(Tasks[[#This Row],[_Days]])*HoursPerDay*IF(Tasks[[#This Row],[_Units1]]="",DefaultUnits,Tasks[[#This Row],[_Units1]]))</f>
        <v>0</v>
      </c>
      <c r="EQ135" s="43" t="n">
        <f aca="false">Tasks[[#This Row],[_LeafWork]]+Tasks[[#This Row],[_Res2Work]]+Tasks[[#This Row],[_Res3Work]]+Tasks[[#This Row],[_Res4Work]]</f>
        <v>0</v>
      </c>
      <c r="ER1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3" t="n">
        <f aca="false">IF(NOT(Tasks[[#This Row],[_IsLeaf]]=1),0,MAX(_xlfn.MAXIFS(Tasks[_Row],Tasks[_Pred1UID],Tasks[[#This Row],[UID]]),_xlfn.MAXIFS(Tasks[_Row],Tasks[_Pred2UID],Tasks[[#This Row],[UID]]),_xlfn.MAXIFS(Tasks[_Row],Tasks[_Pred3UID],Tasks[[#This Row],[UID]]),_xlfn.MAXIFS(Tasks[_Row],Tasks[_Pred4UID],Tasks[[#This Row],[UID]])))</f>
        <v>0</v>
      </c>
      <c r="FA1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91" t="str">
        <f aca="false">IF(NOT(Tasks[[#This Row],[_IsLeaf]]=1),"",IF(N(Tasks[[#This Row],[_Days]])&lt;=0,Tasks[[#This Row],[_LeafLateFinish]],WORKDAY.INTL(Tasks[[#This Row],[_LeafLateFinish]],-(Tasks[[#This Row],[_Days]]-1),WorkWeek,Holidays)))</f>
        <v/>
      </c>
      <c r="FD1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5" s="90" t="b">
        <f aca="false">AND(Tasks[[#This Row],[_IsLeaf]]=1,Tasks[[#This Row],[_LeafProgress]]&lt;1,N(Tasks[[#This Row],[_LeafTotalSlack]])&lt;=CriticalSlackDays)</f>
        <v>0</v>
      </c>
      <c r="FF135" s="43" t="n">
        <f aca="false">IF(AND(Tasks[[#This Row],[_IsLeaf]]=1,Tasks[[#This Row],[_ConstraintCode]]=1,Tasks[[#This Row],[Mode]]&lt;&gt;"Manual",N(Tasks[[#This Row],[Actual Start]])=0),MAX(0,N(Tasks[[#This Row],[Free Slack]])),0)</f>
        <v>0</v>
      </c>
      <c r="FG135" s="91" t="str">
        <f aca="false">IF(NOT(Tasks[[#This Row],[_IsLeaf]]=1),"",IF(Tasks[[#This Row],[_AlapShift]]=0,Tasks[[#This Row],[_LeafCalcStart]],WORKDAY.INTL(Tasks[[#This Row],[_LeafCalcStart]],Tasks[[#This Row],[_AlapShift]],WorkWeek,Holidays)))</f>
        <v/>
      </c>
      <c r="FH135" s="91" t="str">
        <f aca="false">IF(NOT(Tasks[[#This Row],[_IsLeaf]]=1),"",IF(Tasks[[#This Row],[_AlapShift]]=0,Tasks[[#This Row],[_LeafCalcFinish]],WORKDAY.INTL(Tasks[[#This Row],[_LeafCalcFinish]],Tasks[[#This Row],[_AlapShift]],WorkWeek,Holidays)))</f>
        <v/>
      </c>
      <c r="FI135" s="91" t="str">
        <f aca="false">IF(NOT(Tasks[[#This Row],[_IsLeaf]]=1),"",IF(Tasks[[#This Row],[_AlapShift]]=0,Tasks[[#This Row],[_LeafFcstStart]],WORKDAY.INTL(Tasks[[#This Row],[_LeafFcstStart]],Tasks[[#This Row],[_AlapShift]],WorkWeek,Holidays)))</f>
        <v/>
      </c>
      <c r="FJ135" s="91" t="str">
        <f aca="false">IF(NOT(Tasks[[#This Row],[_IsLeaf]]=1),"",IF(Tasks[[#This Row],[_AlapShift]]=0,Tasks[[#This Row],[_LeafFcstFinish]],WORKDAY.INTL(Tasks[[#This Row],[_LeafFcstFinish]],Tasks[[#This Row],[_AlapShift]],WorkWeek,Holidays)))</f>
        <v/>
      </c>
      <c r="FK135" s="91" t="str">
        <f aca="false">IF(Tasks[[#This Row],[Task Name]]="","",IF(Tasks[[#This Row],[_IsSummary]],MIN(INDEX(Tasks[_ShownCalcStart],Tasks[[#This Row],[_Row]]+1):INDEX(Tasks[_ShownCalcStart],Tasks[[#This Row],[_Row]]+Tasks[[#This Row],[_Descendants]])),Tasks[[#This Row],[_ShownCalcStart]]))</f>
        <v/>
      </c>
      <c r="FL135" s="91" t="str">
        <f aca="false">IF(Tasks[[#This Row],[Task Name]]="","",IF(Tasks[[#This Row],[_IsSummary]],MAX(INDEX(Tasks[_ShownCalcFinish],Tasks[[#This Row],[_Row]]+1):INDEX(Tasks[_ShownCalcFinish],Tasks[[#This Row],[_Row]]+Tasks[[#This Row],[_Descendants]])),Tasks[[#This Row],[_ShownCalcFinish]]))</f>
        <v/>
      </c>
      <c r="FM1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5" s="43" t="n">
        <f aca="false">IF(AND(Tasks[[#This Row],[_IsLeaf]]=1,Tasks[[#This Row],[_LeafTotalWork]]&gt;0),NETWORKDAYS.INTL(ProjectStart,Tasks[[#This Row],[_ShownFcstStart]],WorkWeek,Holidays),0)</f>
        <v>0</v>
      </c>
      <c r="FZ135" s="43" t="n">
        <f aca="false">IF(AND(Tasks[[#This Row],[_IsLeaf]]=1,Tasks[[#This Row],[_LeafTotalWork]]&gt;0),MAX(Tasks[[#This Row],[_StartWorkday]],NETWORKDAYS.INTL(ProjectStart,Tasks[[#This Row],[_ShownFcstFinish]],WorkWeek,Holidays)),0)</f>
        <v>0</v>
      </c>
      <c r="GA135" s="43" t="n">
        <f aca="false">IF(AND(Tasks[[#This Row],[_IsLeaf]]=1,Tasks[[#This Row],[_LeafTotalWork]]&gt;0),Tasks[[#This Row],[_LeafWork]]/(Tasks[[#This Row],[_FinishWorkday]]-Tasks[[#This Row],[_StartWorkday]]+1),0)</f>
        <v>0</v>
      </c>
      <c r="GB135" s="43" t="n">
        <f aca="false">Tasks[[#This Row],[_WorkPerWorkday]]*(Tasks[[#This Row],[_StartWorkday]]-1)</f>
        <v>-0</v>
      </c>
      <c r="GC135" s="43" t="n">
        <f aca="false">IF(Tasks[[#This Row],[_IsLeaf]]=1,MAX(N(Tasks[[#This Row],[_Days]]),0.1),0)</f>
        <v>0</v>
      </c>
      <c r="GD135" s="43" t="n">
        <f aca="false">Tasks[[#This Row],[_WeightDur]]*Tasks[[#This Row],[_LeafProgress]]</f>
        <v>0</v>
      </c>
      <c r="GE135" s="43" t="n">
        <f aca="false">Tasks[[#This Row],[_WeightDur]]*Tasks[[#This Row],[_PlannedPct]]</f>
        <v>0</v>
      </c>
      <c r="GF1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3" t="str">
        <f aca="false">IF(AND(Tasks[[#This Row],[_IsLeaf]]=1,N(Tasks[[#This Row],[_Days]])=0,Tasks[[#This Row],[_LeafProgress]]&lt;1),Tasks[[#This Row],[_ShownFcstFinish]]+Tasks[[#This Row],[_Row]]/100000,"")</f>
        <v/>
      </c>
      <c r="GH1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5" s="43" t="str">
        <f aca="false">IF(Tasks[[#This Row],[Task Name]]="","",LEFT(Tasks[[#This Row],[WBS]],FIND(".",Tasks[[#This Row],[WBS]]&amp;".")-1))</f>
        <v/>
      </c>
      <c r="GJ135" s="43" t="str">
        <f aca="false">IF(AND(Tasks[[#This Row],[Task Name]]&lt;&gt;"",Tasks[[#This Row],[_Level]]=1),Tasks[[#This Row],[_Row]],"")</f>
        <v/>
      </c>
      <c r="GK135" s="43" t="str">
        <f aca="false">IF(AND(Tasks[[#This Row],[_IsLeaf]]=1,N(Tasks[[#This Row],[_Days]])=0),Tasks[[#This Row],[Planned Finish]]+Tasks[[#This Row],[_Row]]/100000,"")</f>
        <v/>
      </c>
      <c r="GL135" s="43" t="str">
        <f aca="false">IF(AND(Tasks[[#This Row],[_IsLeaf]]=1,Tasks[[#This Row],[_LeafProgress]]&lt;1,OR(N(Tasks[[#This Row],[Finish Var]])&gt;0,Tasks[[#This Row],[Status]]="Late Start")),MAX(0,Tasks[[#This Row],[Finish Var]])+1-Tasks[[#This Row],[_Row]]/1000000,"")</f>
        <v/>
      </c>
      <c r="GM135" s="43" t="str">
        <f aca="false">IF(AND(Tasks[[#This Row],[_IsLeaf]]=1,N(Tasks[[#This Row],[Actual Start]])=0,Tasks[[#This Row],[_ShownFcstStart]]&gt;=StatusDate,Tasks[[#This Row],[_ShownFcstStart]]&lt;=LookaheadEnd),Tasks[[#This Row],[_ShownFcstStart]]+Tasks[[#This Row],[_Row]]/100000,"")</f>
        <v/>
      </c>
      <c r="GN135" s="43" t="str">
        <f aca="false">IF(AND(Tasks[[#This Row],[_IsLeaf]]=1,Tasks[[#This Row],[_LeafProgress]]&lt;1,Tasks[[#This Row],[_ShownFcstFinish]]&gt;=StatusDate,Tasks[[#This Row],[_ShownFcstFinish]]&lt;=LookaheadEnd),Tasks[[#This Row],[_ShownFcstFinish]]+Tasks[[#This Row],[_Row]]/100000,"")</f>
        <v/>
      </c>
      <c r="GO135" s="43" t="str">
        <f aca="false">IF(Tasks[[#This Row],[_LeafCritical]],Tasks[[#This Row],[_ShownFcstStart]]+Tasks[[#This Row],[_Row]]/100000,"")</f>
        <v/>
      </c>
      <c r="GP135" s="43" t="n">
        <f aca="false">Tasks[[#This Row],[_LeafWork]]*Tasks[[#This Row],[_LeafProgress]]</f>
        <v>0</v>
      </c>
      <c r="GQ135" s="91" t="str">
        <f aca="false">IF(AND(Tasks[[#This Row],[_IsLeaf]]=1,Tasks[[#This Row],[_LeafProgress]]&gt;=1),IF(N(Tasks[[#This Row],[Actual Finish]])&gt;0,Tasks[[#This Row],[Actual Finish]],Tasks[[#This Row],[_ShownFcstFinish]]),"")</f>
        <v/>
      </c>
      <c r="GR135" s="43" t="n">
        <f aca="false">IF(Tasks[[#This Row],[_IsLeaf]]=1,N(Tasks[[#This Row],[Story Points]]),0)</f>
        <v>0</v>
      </c>
      <c r="GS135" s="43" t="str">
        <f aca="false">""</f>
        <v/>
      </c>
      <c r="GT135" s="90" t="b">
        <f aca="false">IF(Tasks[[#This Row],[Task Name]]="",FALSE(),AND(Tasks[[#This Row],[_IsLeaf]]=1,N(Tasks[[#This Row],[_Days]])=0))</f>
        <v>0</v>
      </c>
      <c r="GU135" s="91" t="n">
        <f aca="false">IF(Tasks[[#This Row],[Task Name]]="",0,IF(AND(Tasks[[#This Row],[_IsLeaf]]=1,NOT(Tasks[[#This Row],[_IsMilestone]]),N(Tasks[[#This Row],[Progress]])&gt;0),Tasks[[#This Row],[Start]],0))</f>
        <v>0</v>
      </c>
      <c r="GV135" s="91" t="n">
        <f aca="false">IF(Tasks[[#This Row],[_DoneFrom]]=0,0,IF(Tasks[[#This Row],[Progress]]&gt;=1,Tasks[[#This Row],[Finish]],MAX(Tasks[[#This Row],[_DoneFrom]],Tasks[[#This Row],[Start]]+ROUND((Tasks[[#This Row],[Finish]]-Tasks[[#This Row],[Start]]+1)*Tasks[[#This Row],[Progress]],0)-1)))</f>
        <v>0</v>
      </c>
      <c r="GW135" s="91" t="n">
        <f aca="false">IF(Tasks[[#This Row],[Task Name]]="",0,IF(OR(NOT(Tasks[[#This Row],[_IsLeaf]]=1),Tasks[[#This Row],[_IsMilestone]],N(Tasks[[#This Row],[Progress]])&gt;=1),0,IF(Tasks[[#This Row],[_DoneTo]]&gt;0,Tasks[[#This Row],[_DoneTo]]+1,Tasks[[#This Row],[Start]])))</f>
        <v>0</v>
      </c>
      <c r="GX135" s="91" t="n">
        <f aca="false">IF(Tasks[[#This Row],[_RemFrom]]=0,0,Tasks[[#This Row],[Finish]])</f>
        <v>0</v>
      </c>
      <c r="GY135" s="90" t="b">
        <f aca="false">IF(Tasks[[#This Row],[Task Name]]="",FALSE(),OR(NOT(BaselineSet),N(Tasks[[#This Row],[Baseline Start]])&gt;0))</f>
        <v>0</v>
      </c>
      <c r="GZ13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92" t="str">
        <f aca="false">IF(Tasks[[#This Row],[_IsLeaf]]=1,Tasks[[#This Row],[_Row]],"")</f>
        <v/>
      </c>
      <c r="HD135" s="92" t="str">
        <f aca="false">IFERROR(INDEX(Tasks[UID],SMALL(Tasks[_PickKey],Tasks[[#This Row],[_Row]]))&amp;" "&amp;INDEX(Tasks[Task Name],SMALL(Tasks[_PickKey],Tasks[[#This Row],[_Row]])),"")</f>
        <v/>
      </c>
      <c r="HE135" s="43" t="str">
        <f aca="false">IF(Tasks[[#This Row],[Task Name]]="","",IF(Tasks[[#This Row],[_IsSummary]],NETWORKDAYS.INTL(Tasks[[#This Row],[Start]],Tasks[[#This Row],[Finish]],WorkWeek,Holidays),N(Tasks[[#This Row],[_Days]])))</f>
        <v/>
      </c>
      <c r="HF135" s="43" t="n">
        <f aca="false">IF(Tasks[[#This Row],[Expected]]="",0,((Tasks[[#This Row],[Pessimistic]]-Tasks[[#This Row],[Optimistic]])/6)^2)</f>
        <v>0</v>
      </c>
      <c r="HG135" s="43" t="n">
        <f aca="false">IF(Tasks[[#This Row],[Expected]]="",0,Tasks[[#This Row],[Expected]]-N(Tasks[[#This Row],[_Days]]))</f>
        <v>0</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4"/>
      <c r="U136" s="23"/>
      <c r="V136" s="84"/>
      <c r="W136" s="23"/>
      <c r="X136" s="84"/>
      <c r="Y136" s="23"/>
      <c r="Z136" s="84"/>
      <c r="AA136" s="23"/>
      <c r="AB136" s="23"/>
      <c r="AC136" s="7"/>
      <c r="AD136" s="7"/>
      <c r="AE136" s="63" t="str">
        <f aca="false">IF(Tasks[[#This Row],[Task Name]]="","",IF(Tasks[[#This Row],[_IsSummary]],MIN(INDEX(Tasks[_ShownFcstStart],Tasks[[#This Row],[_Row]]+1):INDEX(Tasks[_ShownFcstStart],Tasks[[#This Row],[_Row]]+Tasks[[#This Row],[_Descendants]])),Tasks[[#This Row],[_ShownFcstStart]]))</f>
        <v/>
      </c>
      <c r="AF136" s="63"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6" s="7"/>
      <c r="AK136" s="22"/>
      <c r="AL136" s="23"/>
      <c r="AM136" s="7"/>
      <c r="AN136" s="47"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3" t="str">
        <f aca="false">IF(Tasks[[#This Row],[Task Name]]="","",IF(N(Tasks[[#This Row],[Baseline Start]])&gt;0,Tasks[[#This Row],[Baseline Start]],Tasks[[#This Row],[_CalcStart]]))</f>
        <v/>
      </c>
      <c r="AR136" s="63" t="str">
        <f aca="false">IF(Tasks[[#This Row],[Task Name]]="","",IF(N(Tasks[[#This Row],[Baseline Finish]])&gt;0,Tasks[[#This Row],[Baseline Finish]],Tasks[[#This Row],[_CalcFinish]]))</f>
        <v/>
      </c>
      <c r="AS136" s="47" t="str">
        <f aca="false">IF(Tasks[[#This Row],[Task Name]]="","",IF(Tasks[[#This Row],[Start]]&gt;=Tasks[[#This Row],[Planned Start]],NETWORKDAYS.INTL(Tasks[[#This Row],[Planned Start]],Tasks[[#This Row],[Start]],WorkWeek,Holidays)-1,1-NETWORKDAYS.INTL(Tasks[[#This Row],[Start]],Tasks[[#This Row],[Planned Start]],WorkWeek,Holidays)))</f>
        <v/>
      </c>
      <c r="AT136" s="63" t="str">
        <f aca="false">IF(Tasks[[#This Row],[Task Name]]="","",IF(Tasks[[#This Row],[_IsSummary]],MIN(INDEX(Tasks[_LeafLateStart],Tasks[[#This Row],[_Row]]+1):INDEX(Tasks[_LeafLateStart],Tasks[[#This Row],[_Row]]+Tasks[[#This Row],[_Descendants]])),Tasks[[#This Row],[_LeafLateStart]]))</f>
        <v/>
      </c>
      <c r="AU136" s="63" t="str">
        <f aca="false">IF(Tasks[[#This Row],[Task Name]]="","",IF(Tasks[[#This Row],[_IsSummary]],MAX(INDEX(Tasks[_LeafLateFinish],Tasks[[#This Row],[_Row]]+1):INDEX(Tasks[_LeafLateFinish],Tasks[[#This Row],[_Row]]+Tasks[[#This Row],[_Descendants]])),Tasks[[#This Row],[_LeafLateFinish]]))</f>
        <v/>
      </c>
      <c r="AV136" s="47"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5"/>
      <c r="BA1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6"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7"/>
      <c r="BJ136" s="22"/>
      <c r="BK136" s="47" t="str">
        <f aca="false">IF(OR(Tasks[[#This Row],[Task Name]]="",Tasks[[#This Row],[Baseline Duration]]=""),"",Tasks[[#This Row],[_SpanDays]]-N(Tasks[[#This Row],[Baseline Duration]]))</f>
        <v/>
      </c>
      <c r="BL136" s="86" t="str">
        <f aca="false">IF(OR(Tasks[[#This Row],[Task Name]]="",Tasks[[#This Row],[Baseline Work]]=""),"",Tasks[[#This Row],[Work]]-N(Tasks[[#This Row],[Baseline Work]]))</f>
        <v/>
      </c>
      <c r="BM136" s="63" t="str">
        <f aca="false">IF(Tasks[[#This Row],[Task Name]]="","",IF(OR(TakeBaseline="Yes",N(Tasks[[#This Row],[Baseline Start]])=0),Tasks[[#This Row],[Start]],Tasks[[#This Row],[Baseline Start]]))</f>
        <v/>
      </c>
      <c r="BN136" s="63" t="str">
        <f aca="false">IF(Tasks[[#This Row],[Task Name]]="","",IF(OR(TakeBaseline="Yes",N(Tasks[[#This Row],[Baseline Finish]])=0),Tasks[[#This Row],[Finish]],Tasks[[#This Row],[Baseline Finish]]))</f>
        <v/>
      </c>
      <c r="BO136" s="21" t="str">
        <f aca="false">IF(Tasks[[#This Row],[Task Name]]="","",IF(OR(TakeBaseline="Yes",N(Tasks[[#This Row],[Baseline Duration]])=0),Tasks[[#This Row],[_SpanDays]],Tasks[[#This Row],[Baseline Duration]]))</f>
        <v/>
      </c>
      <c r="BP136" s="86" t="str">
        <f aca="false">IF(Tasks[[#This Row],[Task Name]]="","",IF(OR(TakeBaseline="Yes",N(Tasks[[#This Row],[Baseline Work]])=0),Tasks[[#This Row],[Work]],Tasks[[#This Row],[Baseline Work]]))</f>
        <v/>
      </c>
      <c r="BQ136" s="7"/>
      <c r="BR136" s="7"/>
      <c r="BS136" s="22"/>
      <c r="BT136" s="88"/>
      <c r="BU136" s="23"/>
      <c r="BV136" s="23"/>
      <c r="BW136" s="23"/>
      <c r="BX136" s="89" t="str">
        <f aca="false">IF(AND(Tasks[[#This Row],[_IsLeaf]]=1,ISNUMBER(Tasks[[#This Row],[Optimistic]]),ISNUMBER(Tasks[[#This Row],[Pessimistic]])),ROUND((Tasks[[#This Row],[Optimistic]]+4*N(Tasks[[#This Row],[_Days]])+Tasks[[#This Row],[Pessimistic]])/6,1),"")</f>
        <v/>
      </c>
      <c r="BY136" s="87"/>
      <c r="BZ136" s="87"/>
      <c r="CA136" s="22"/>
      <c r="CB136" s="43" t="str">
        <f aca="false">IF(Tasks[[#This Row],[Task Name]]="","",MAX(1,N(Tasks[[#This Row],[Level]])))</f>
        <v/>
      </c>
      <c r="CC136" s="43" t="n">
        <f aca="false">ROW()-ROW(Tasks[[#Headers],[ID]])</f>
        <v>131</v>
      </c>
      <c r="CD136" s="43" t="n">
        <f aca="false">IF(OR(Tasks[[#This Row],[Task Name]]="",Tasks[[#This Row],[_Level]]&lt;=1),0,IFERROR(LOOKUP(2,1/(Tasks[[#Headers],[_Level]]:Tasks[[#This Row],[_Level]]=Tasks[[#This Row],[_Level]]-1),ROW(Tasks[[#Headers],[_Level]]:Tasks[[#This Row],[_Level]])),0))</f>
        <v>0</v>
      </c>
      <c r="CE136" s="43" t="n">
        <f aca="false">IFERROR(N(INDEX(Tasks[_Level],Tasks[[#This Row],[_Row]]+1)),0)</f>
        <v>0</v>
      </c>
      <c r="CF136" s="90" t="b">
        <f aca="false">AND(Tasks[[#This Row],[Task Name]]&lt;&gt;"",Tasks[[#This Row],[_NextLevel]]&gt;Tasks[[#This Row],[_Level]])</f>
        <v>0</v>
      </c>
      <c r="CG136" s="43" t="n">
        <f aca="false">IF(Tasks[[#This Row],[_IsSummary]],COUNTIF(Tasks[WBS],Tasks[[#This Row],[WBS]]&amp;".*"),0)</f>
        <v>0</v>
      </c>
      <c r="CH136" s="43" t="n">
        <f aca="false">IF(AND(Tasks[[#This Row],[Task Name]]&lt;&gt;"",NOT(Tasks[[#This Row],[_IsSummary]])),1,0)</f>
        <v>0</v>
      </c>
      <c r="CI136" s="43" t="n">
        <f aca="false">IF(N(Tasks[[#This Row],[_Pred1UID]])=0,0,IFERROR(MATCH(Tasks[[#This Row],[_Pred1UID]],Tasks[UID],0),-1))</f>
        <v>0</v>
      </c>
      <c r="CJ136" s="43" t="n">
        <f aca="false">IF(N(Tasks[[#This Row],[_Pred2UID]])=0,0,IFERROR(MATCH(Tasks[[#This Row],[_Pred2UID]],Tasks[UID],0),-1))</f>
        <v>0</v>
      </c>
      <c r="CK136" s="43" t="n">
        <f aca="false">IF(N(Tasks[[#This Row],[_Pred3UID]])=0,0,IFERROR(MATCH(Tasks[[#This Row],[_Pred3UID]],Tasks[UID],0),-1))</f>
        <v>0</v>
      </c>
      <c r="CL136" s="43" t="n">
        <f aca="false">IF(N(Tasks[[#This Row],[_Pred4UID]])=0,0,IFERROR(MATCH(Tasks[[#This Row],[_Pred4UID]],Tasks[UID],0),-1))</f>
        <v>0</v>
      </c>
      <c r="CM1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6" s="91" t="n">
        <f aca="false">IF(OR(Tasks[[#This Row],[_ConstraintCode]]=2,Tasks[[#This Row],[_ConstraintCode]]=3,Tasks[[#This Row],[_ConstraintCode]]=4,Tasks[[#This Row],[_ConstraintCode]]=6),Tasks[[#This Row],[_ConstraintStart]],0)</f>
        <v>0</v>
      </c>
      <c r="CP136" s="91" t="n">
        <f aca="false">IF(OR(Tasks[[#This Row],[_ConstraintCode]]=2,Tasks[[#This Row],[_ConstraintCode]]=3,Tasks[[#This Row],[_ConstraintCode]]=5,Tasks[[#This Row],[_ConstraintCode]]=7),Tasks[[#This Row],[_ConstraintStart]],2958465)</f>
        <v>2958465</v>
      </c>
      <c r="CQ1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91" t="str">
        <f aca="false">IF(NOT(Tasks[[#This Row],[_IsLeaf]]=1),"",IF(N(Tasks[[#This Row],[_Days]])&lt;=0,Tasks[[#This Row],[_LeafCalcStart]],WORKDAY.INTL(Tasks[[#This Row],[_LeafCalcStart]],Tasks[[#This Row],[_Days]]-1,WorkWeek,Holidays)))</f>
        <v/>
      </c>
      <c r="CS1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3" t="str">
        <f aca="false">IF(Tasks[[#This Row],[_Predecessors]]="","",TRIM(MID(SUBSTITUTE(SUBSTITUTE(SUBSTITUTE(UPPER(Tasks[[#This Row],[_Predecessors]]),";",",")," ",""),",",REPT(" ",99)),1,99)))</f>
        <v/>
      </c>
      <c r="CV136" s="43" t="str">
        <f aca="false">IF(Tasks[[#This Row],[_Pred1Text]]="","",IFERROR(VALUE(LEFT(Tasks[[#This Row],[_Pred1Text]],MIN(FIND("F",Tasks[[#This Row],[_Pred1Text]]&amp;"F"),FIND("S",Tasks[[#This Row],[_Pred1Text]]&amp;"S"),FIND("+",Tasks[[#This Row],[_Pred1Text]]&amp;"+"),FIND("-",Tasks[[#This Row],[_Pred1Text]]&amp;"-"))-1)),""))</f>
        <v/>
      </c>
      <c r="CW1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3" t="str">
        <f aca="false">IF(Tasks[[#This Row],[_Pred1Text]]="","",TRIM(MID(SUBSTITUTE(SUBSTITUTE(SUBSTITUTE(UPPER(Tasks[[#This Row],[_Predecessors]]),";",",")," ",""),",",REPT(" ",99)),100,99)))</f>
        <v/>
      </c>
      <c r="CZ136" s="43" t="str">
        <f aca="false">IF(Tasks[[#This Row],[_Pred2Text]]="","",IFERROR(VALUE(LEFT(Tasks[[#This Row],[_Pred2Text]],MIN(FIND("F",Tasks[[#This Row],[_Pred2Text]]&amp;"F"),FIND("S",Tasks[[#This Row],[_Pred2Text]]&amp;"S"),FIND("+",Tasks[[#This Row],[_Pred2Text]]&amp;"+"),FIND("-",Tasks[[#This Row],[_Pred2Text]]&amp;"-"))-1)),""))</f>
        <v/>
      </c>
      <c r="DA1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3" t="str">
        <f aca="false">IF(Tasks[[#This Row],[_Pred2Text]]="","",TRIM(MID(SUBSTITUTE(SUBSTITUTE(SUBSTITUTE(UPPER(Tasks[[#This Row],[_Predecessors]]),";",",")," ",""),",",REPT(" ",99)),199,99)))</f>
        <v/>
      </c>
      <c r="DD136" s="43" t="str">
        <f aca="false">IF(Tasks[[#This Row],[_Pred3Text]]="","",IFERROR(VALUE(LEFT(Tasks[[#This Row],[_Pred3Text]],MIN(FIND("F",Tasks[[#This Row],[_Pred3Text]]&amp;"F"),FIND("S",Tasks[[#This Row],[_Pred3Text]]&amp;"S"),FIND("+",Tasks[[#This Row],[_Pred3Text]]&amp;"+"),FIND("-",Tasks[[#This Row],[_Pred3Text]]&amp;"-"))-1)),""))</f>
        <v/>
      </c>
      <c r="DE1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3" t="str">
        <f aca="false">IF(Tasks[[#This Row],[_Pred3Text]]="","",TRIM(MID(SUBSTITUTE(SUBSTITUTE(SUBSTITUTE(UPPER(Tasks[[#This Row],[_Predecessors]]),";",",")," ",""),",",REPT(" ",99)),298,99)))</f>
        <v/>
      </c>
      <c r="DH136" s="43" t="str">
        <f aca="false">IF(Tasks[[#This Row],[_Pred4Text]]="","",IFERROR(VALUE(LEFT(Tasks[[#This Row],[_Pred4Text]],MIN(FIND("F",Tasks[[#This Row],[_Pred4Text]]&amp;"F"),FIND("S",Tasks[[#This Row],[_Pred4Text]]&amp;"S"),FIND("+",Tasks[[#This Row],[_Pred4Text]]&amp;"+"),FIND("-",Tasks[[#This Row],[_Pred4Text]]&amp;"-"))-1)),""))</f>
        <v/>
      </c>
      <c r="DI1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3" t="str">
        <f aca="false">IF(OR(Tasks[[#This Row],[Task Name]]="",Tasks[[#This Row],[_Resources]]=""),"",TRIM(MID(SUBSTITUTE(Tasks[[#This Row],[_Resources]],",",REPT(" ",99)),1,99)))</f>
        <v/>
      </c>
      <c r="DL136" s="43" t="str">
        <f aca="false">IF(Tasks[[#This Row],[_Res1Text]]="","",TRIM(MID(SUBSTITUTE(Tasks[[#This Row],[_Resources]],",",REPT(" ",99)),100,99)))</f>
        <v/>
      </c>
      <c r="DM136" s="43" t="str">
        <f aca="false">IF(Tasks[[#This Row],[_Res2Text]]="","",TRIM(MID(SUBSTITUTE(Tasks[[#This Row],[_Resources]],",",REPT(" ",99)),199,99)))</f>
        <v/>
      </c>
      <c r="DN136" s="43" t="str">
        <f aca="false">IF(Tasks[[#This Row],[_Res3Text]]="","",TRIM(MID(SUBSTITUTE(Tasks[[#This Row],[_Resources]],",",REPT(" ",99)),298,99)))</f>
        <v/>
      </c>
      <c r="DO136" s="43" t="n">
        <f aca="false">IF(Tasks[[#This Row],[_Res1Text]]="",0,IFERROR(MATCH(TRIM(LEFT(Tasks[[#This Row],[_Res1Text]],FIND("[",Tasks[[#This Row],[_Res1Text]]&amp;"[")-1)),res_Name,0),IFERROR(MATCH(TRIM(LEFT(Tasks[[#This Row],[_Res1Text]],FIND("[",Tasks[[#This Row],[_Res1Text]]&amp;"[")-1)),res_Initials,0),0)))</f>
        <v>0</v>
      </c>
      <c r="DP136" s="43" t="n">
        <f aca="false">IF(Tasks[[#This Row],[_Res2Text]]="",0,IFERROR(MATCH(TRIM(LEFT(Tasks[[#This Row],[_Res2Text]],FIND("[",Tasks[[#This Row],[_Res2Text]]&amp;"[")-1)),res_Name,0),IFERROR(MATCH(TRIM(LEFT(Tasks[[#This Row],[_Res2Text]],FIND("[",Tasks[[#This Row],[_Res2Text]]&amp;"[")-1)),res_Initials,0),0)))</f>
        <v>0</v>
      </c>
      <c r="DQ136" s="43" t="n">
        <f aca="false">IF(Tasks[[#This Row],[_Res3Text]]="",0,IFERROR(MATCH(TRIM(LEFT(Tasks[[#This Row],[_Res3Text]],FIND("[",Tasks[[#This Row],[_Res3Text]]&amp;"[")-1)),res_Name,0),IFERROR(MATCH(TRIM(LEFT(Tasks[[#This Row],[_Res3Text]],FIND("[",Tasks[[#This Row],[_Res3Text]]&amp;"[")-1)),res_Initials,0),0)))</f>
        <v>0</v>
      </c>
      <c r="DR136" s="43" t="n">
        <f aca="false">IF(Tasks[[#This Row],[_Res4Text]]="",0,IFERROR(MATCH(TRIM(LEFT(Tasks[[#This Row],[_Res4Text]],FIND("[",Tasks[[#This Row],[_Res4Text]]&amp;"[")-1)),res_Name,0),IFERROR(MATCH(TRIM(LEFT(Tasks[[#This Row],[_Res4Text]],FIND("[",Tasks[[#This Row],[_Res4Text]]&amp;"[")-1)),res_Initials,0),0)))</f>
        <v>0</v>
      </c>
      <c r="DS136" s="43" t="str">
        <f aca="false">IF(Tasks[[#This Row],[_Res1Text]]="","",IF(Tasks[[#This Row],[_Res1Row]]&gt;0,INDEX(res_Name,Tasks[[#This Row],[_Res1Row]]),TRIM(LEFT(Tasks[[#This Row],[_Res1Text]],FIND("[",Tasks[[#This Row],[_Res1Text]]&amp;"[")-1))))</f>
        <v/>
      </c>
      <c r="DT1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3" t="n">
        <f aca="false">IF(NOT(Tasks[[#This Row],[_IsLeaf]]=1),0,(Tasks[[#This Row],[_Resource1]]&lt;&gt;"")+(Tasks[[#This Row],[_Res2]]&lt;&gt;"")+(Tasks[[#This Row],[_Res3]]&lt;&gt;"")+(Tasks[[#This Row],[_Res4]]&lt;&gt;""))</f>
        <v>0</v>
      </c>
      <c r="DV136" s="43" t="str">
        <f aca="false">IF(Tasks[[#This Row],[_Res2Text]]="","",IF(Tasks[[#This Row],[_Res2Row]]&gt;0,INDEX(res_Name,Tasks[[#This Row],[_Res2Row]]),TRIM(LEFT(Tasks[[#This Row],[_Res2Text]],FIND("[",Tasks[[#This Row],[_Res2Text]]&amp;"[")-1))))</f>
        <v/>
      </c>
      <c r="DW1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3" t="n">
        <f aca="false">IF(OR(NOT(Tasks[[#This Row],[_IsLeaf]]=1),Tasks[[#This Row],[_Res2Row]]=0),0,N(Tasks[[#This Row],[_Days]])*HoursPerDay*IF(Tasks[[#This Row],[_Res2Units]]="",DefaultUnits,Tasks[[#This Row],[_Res2Units]]))</f>
        <v>0</v>
      </c>
      <c r="DY136" s="43" t="n">
        <f aca="false">IF(AND(AND(Tasks[[#This Row],[_IsLeaf]]=1,Tasks[[#This Row],[_LeafTotalWork]]&gt;0),Tasks[[#This Row],[_Res2Work]]&gt;0),Tasks[[#This Row],[_Res2Work]]/(Tasks[[#This Row],[_FinishWorkday]]-Tasks[[#This Row],[_StartWorkday]]+1),0)</f>
        <v>0</v>
      </c>
      <c r="DZ136" s="43" t="n">
        <f aca="false">Tasks[[#This Row],[_Res2WorkPerWD]]*MAX(0,Tasks[[#This Row],[_StartWorkday]]-1)</f>
        <v>0</v>
      </c>
      <c r="EA136" s="43" t="n">
        <f aca="false">Tasks[[#This Row],[_Res2Work]]*Tasks[[#This Row],[_LeafProgress]]</f>
        <v>0</v>
      </c>
      <c r="EB136" s="43" t="str">
        <f aca="false">IF(Tasks[[#This Row],[_Res3Text]]="","",IF(Tasks[[#This Row],[_Res3Row]]&gt;0,INDEX(res_Name,Tasks[[#This Row],[_Res3Row]]),TRIM(LEFT(Tasks[[#This Row],[_Res3Text]],FIND("[",Tasks[[#This Row],[_Res3Text]]&amp;"[")-1))))</f>
        <v/>
      </c>
      <c r="EC1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3" t="n">
        <f aca="false">IF(OR(NOT(Tasks[[#This Row],[_IsLeaf]]=1),Tasks[[#This Row],[_Res3Row]]=0),0,N(Tasks[[#This Row],[_Days]])*HoursPerDay*IF(Tasks[[#This Row],[_Res3Units]]="",DefaultUnits,Tasks[[#This Row],[_Res3Units]]))</f>
        <v>0</v>
      </c>
      <c r="EE136" s="43" t="n">
        <f aca="false">IF(AND(AND(Tasks[[#This Row],[_IsLeaf]]=1,Tasks[[#This Row],[_LeafTotalWork]]&gt;0),Tasks[[#This Row],[_Res3Work]]&gt;0),Tasks[[#This Row],[_Res3Work]]/(Tasks[[#This Row],[_FinishWorkday]]-Tasks[[#This Row],[_StartWorkday]]+1),0)</f>
        <v>0</v>
      </c>
      <c r="EF136" s="43" t="n">
        <f aca="false">Tasks[[#This Row],[_Res3WorkPerWD]]*MAX(0,Tasks[[#This Row],[_StartWorkday]]-1)</f>
        <v>0</v>
      </c>
      <c r="EG136" s="43" t="n">
        <f aca="false">Tasks[[#This Row],[_Res3Work]]*Tasks[[#This Row],[_LeafProgress]]</f>
        <v>0</v>
      </c>
      <c r="EH136" s="43" t="str">
        <f aca="false">IF(Tasks[[#This Row],[_Res4Text]]="","",IF(Tasks[[#This Row],[_Res4Row]]&gt;0,INDEX(res_Name,Tasks[[#This Row],[_Res4Row]]),TRIM(LEFT(Tasks[[#This Row],[_Res4Text]],FIND("[",Tasks[[#This Row],[_Res4Text]]&amp;"[")-1))))</f>
        <v/>
      </c>
      <c r="EI1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3" t="n">
        <f aca="false">IF(OR(NOT(Tasks[[#This Row],[_IsLeaf]]=1),Tasks[[#This Row],[_Res4Row]]=0),0,N(Tasks[[#This Row],[_Days]])*HoursPerDay*IF(Tasks[[#This Row],[_Res4Units]]="",DefaultUnits,Tasks[[#This Row],[_Res4Units]]))</f>
        <v>0</v>
      </c>
      <c r="EK136" s="43" t="n">
        <f aca="false">IF(AND(AND(Tasks[[#This Row],[_IsLeaf]]=1,Tasks[[#This Row],[_LeafTotalWork]]&gt;0),Tasks[[#This Row],[_Res4Work]]&gt;0),Tasks[[#This Row],[_Res4Work]]/(Tasks[[#This Row],[_FinishWorkday]]-Tasks[[#This Row],[_StartWorkday]]+1),0)</f>
        <v>0</v>
      </c>
      <c r="EL136" s="43" t="n">
        <f aca="false">Tasks[[#This Row],[_Res4WorkPerWD]]*MAX(0,Tasks[[#This Row],[_StartWorkday]]-1)</f>
        <v>0</v>
      </c>
      <c r="EM136" s="43" t="n">
        <f aca="false">Tasks[[#This Row],[_Res4Work]]*Tasks[[#This Row],[_LeafProgress]]</f>
        <v>0</v>
      </c>
      <c r="EN136" s="43" t="n">
        <f aca="false">IF(ISNUMBER(Tasks[[#This Row],[% Complete]]),Tasks[[#This Row],[% Complete]],IF(Tasks[[#This Row],[Stage]]="",0,IFERROR(INDEX(stg_Pct,MATCH(Tasks[[#This Row],[Stage]],stg_Name,0)),0)))</f>
        <v>0</v>
      </c>
      <c r="EO136" s="43" t="n">
        <f aca="false">IF(NOT(Tasks[[#This Row],[_IsLeaf]]=1),0,IF(N(Tasks[[#This Row],[Actual Finish]])&gt;0,1,MIN(1,Tasks[[#This Row],[_Pct]])))</f>
        <v>0</v>
      </c>
      <c r="EP136" s="43" t="n">
        <f aca="false">IF(OR(NOT(Tasks[[#This Row],[_IsLeaf]]=1),Tasks[[#This Row],[_Res1Row]]=0),0,N(Tasks[[#This Row],[_Days]])*HoursPerDay*IF(Tasks[[#This Row],[_Units1]]="",DefaultUnits,Tasks[[#This Row],[_Units1]]))</f>
        <v>0</v>
      </c>
      <c r="EQ136" s="43" t="n">
        <f aca="false">Tasks[[#This Row],[_LeafWork]]+Tasks[[#This Row],[_Res2Work]]+Tasks[[#This Row],[_Res3Work]]+Tasks[[#This Row],[_Res4Work]]</f>
        <v>0</v>
      </c>
      <c r="ER1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3" t="n">
        <f aca="false">IF(NOT(Tasks[[#This Row],[_IsLeaf]]=1),0,MAX(_xlfn.MAXIFS(Tasks[_Row],Tasks[_Pred1UID],Tasks[[#This Row],[UID]]),_xlfn.MAXIFS(Tasks[_Row],Tasks[_Pred2UID],Tasks[[#This Row],[UID]]),_xlfn.MAXIFS(Tasks[_Row],Tasks[_Pred3UID],Tasks[[#This Row],[UID]]),_xlfn.MAXIFS(Tasks[_Row],Tasks[_Pred4UID],Tasks[[#This Row],[UID]])))</f>
        <v>0</v>
      </c>
      <c r="FA1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91" t="str">
        <f aca="false">IF(NOT(Tasks[[#This Row],[_IsLeaf]]=1),"",IF(N(Tasks[[#This Row],[_Days]])&lt;=0,Tasks[[#This Row],[_LeafLateFinish]],WORKDAY.INTL(Tasks[[#This Row],[_LeafLateFinish]],-(Tasks[[#This Row],[_Days]]-1),WorkWeek,Holidays)))</f>
        <v/>
      </c>
      <c r="FD1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6" s="90" t="b">
        <f aca="false">AND(Tasks[[#This Row],[_IsLeaf]]=1,Tasks[[#This Row],[_LeafProgress]]&lt;1,N(Tasks[[#This Row],[_LeafTotalSlack]])&lt;=CriticalSlackDays)</f>
        <v>0</v>
      </c>
      <c r="FF136" s="43" t="n">
        <f aca="false">IF(AND(Tasks[[#This Row],[_IsLeaf]]=1,Tasks[[#This Row],[_ConstraintCode]]=1,Tasks[[#This Row],[Mode]]&lt;&gt;"Manual",N(Tasks[[#This Row],[Actual Start]])=0),MAX(0,N(Tasks[[#This Row],[Free Slack]])),0)</f>
        <v>0</v>
      </c>
      <c r="FG136" s="91" t="str">
        <f aca="false">IF(NOT(Tasks[[#This Row],[_IsLeaf]]=1),"",IF(Tasks[[#This Row],[_AlapShift]]=0,Tasks[[#This Row],[_LeafCalcStart]],WORKDAY.INTL(Tasks[[#This Row],[_LeafCalcStart]],Tasks[[#This Row],[_AlapShift]],WorkWeek,Holidays)))</f>
        <v/>
      </c>
      <c r="FH136" s="91" t="str">
        <f aca="false">IF(NOT(Tasks[[#This Row],[_IsLeaf]]=1),"",IF(Tasks[[#This Row],[_AlapShift]]=0,Tasks[[#This Row],[_LeafCalcFinish]],WORKDAY.INTL(Tasks[[#This Row],[_LeafCalcFinish]],Tasks[[#This Row],[_AlapShift]],WorkWeek,Holidays)))</f>
        <v/>
      </c>
      <c r="FI136" s="91" t="str">
        <f aca="false">IF(NOT(Tasks[[#This Row],[_IsLeaf]]=1),"",IF(Tasks[[#This Row],[_AlapShift]]=0,Tasks[[#This Row],[_LeafFcstStart]],WORKDAY.INTL(Tasks[[#This Row],[_LeafFcstStart]],Tasks[[#This Row],[_AlapShift]],WorkWeek,Holidays)))</f>
        <v/>
      </c>
      <c r="FJ136" s="91" t="str">
        <f aca="false">IF(NOT(Tasks[[#This Row],[_IsLeaf]]=1),"",IF(Tasks[[#This Row],[_AlapShift]]=0,Tasks[[#This Row],[_LeafFcstFinish]],WORKDAY.INTL(Tasks[[#This Row],[_LeafFcstFinish]],Tasks[[#This Row],[_AlapShift]],WorkWeek,Holidays)))</f>
        <v/>
      </c>
      <c r="FK136" s="91" t="str">
        <f aca="false">IF(Tasks[[#This Row],[Task Name]]="","",IF(Tasks[[#This Row],[_IsSummary]],MIN(INDEX(Tasks[_ShownCalcStart],Tasks[[#This Row],[_Row]]+1):INDEX(Tasks[_ShownCalcStart],Tasks[[#This Row],[_Row]]+Tasks[[#This Row],[_Descendants]])),Tasks[[#This Row],[_ShownCalcStart]]))</f>
        <v/>
      </c>
      <c r="FL136" s="91" t="str">
        <f aca="false">IF(Tasks[[#This Row],[Task Name]]="","",IF(Tasks[[#This Row],[_IsSummary]],MAX(INDEX(Tasks[_ShownCalcFinish],Tasks[[#This Row],[_Row]]+1):INDEX(Tasks[_ShownCalcFinish],Tasks[[#This Row],[_Row]]+Tasks[[#This Row],[_Descendants]])),Tasks[[#This Row],[_ShownCalcFinish]]))</f>
        <v/>
      </c>
      <c r="FM1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6" s="43" t="n">
        <f aca="false">IF(AND(Tasks[[#This Row],[_IsLeaf]]=1,Tasks[[#This Row],[_LeafTotalWork]]&gt;0),NETWORKDAYS.INTL(ProjectStart,Tasks[[#This Row],[_ShownFcstStart]],WorkWeek,Holidays),0)</f>
        <v>0</v>
      </c>
      <c r="FZ136" s="43" t="n">
        <f aca="false">IF(AND(Tasks[[#This Row],[_IsLeaf]]=1,Tasks[[#This Row],[_LeafTotalWork]]&gt;0),MAX(Tasks[[#This Row],[_StartWorkday]],NETWORKDAYS.INTL(ProjectStart,Tasks[[#This Row],[_ShownFcstFinish]],WorkWeek,Holidays)),0)</f>
        <v>0</v>
      </c>
      <c r="GA136" s="43" t="n">
        <f aca="false">IF(AND(Tasks[[#This Row],[_IsLeaf]]=1,Tasks[[#This Row],[_LeafTotalWork]]&gt;0),Tasks[[#This Row],[_LeafWork]]/(Tasks[[#This Row],[_FinishWorkday]]-Tasks[[#This Row],[_StartWorkday]]+1),0)</f>
        <v>0</v>
      </c>
      <c r="GB136" s="43" t="n">
        <f aca="false">Tasks[[#This Row],[_WorkPerWorkday]]*(Tasks[[#This Row],[_StartWorkday]]-1)</f>
        <v>-0</v>
      </c>
      <c r="GC136" s="43" t="n">
        <f aca="false">IF(Tasks[[#This Row],[_IsLeaf]]=1,MAX(N(Tasks[[#This Row],[_Days]]),0.1),0)</f>
        <v>0</v>
      </c>
      <c r="GD136" s="43" t="n">
        <f aca="false">Tasks[[#This Row],[_WeightDur]]*Tasks[[#This Row],[_LeafProgress]]</f>
        <v>0</v>
      </c>
      <c r="GE136" s="43" t="n">
        <f aca="false">Tasks[[#This Row],[_WeightDur]]*Tasks[[#This Row],[_PlannedPct]]</f>
        <v>0</v>
      </c>
      <c r="GF1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3" t="str">
        <f aca="false">IF(AND(Tasks[[#This Row],[_IsLeaf]]=1,N(Tasks[[#This Row],[_Days]])=0,Tasks[[#This Row],[_LeafProgress]]&lt;1),Tasks[[#This Row],[_ShownFcstFinish]]+Tasks[[#This Row],[_Row]]/100000,"")</f>
        <v/>
      </c>
      <c r="GH1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6" s="43" t="str">
        <f aca="false">IF(Tasks[[#This Row],[Task Name]]="","",LEFT(Tasks[[#This Row],[WBS]],FIND(".",Tasks[[#This Row],[WBS]]&amp;".")-1))</f>
        <v/>
      </c>
      <c r="GJ136" s="43" t="str">
        <f aca="false">IF(AND(Tasks[[#This Row],[Task Name]]&lt;&gt;"",Tasks[[#This Row],[_Level]]=1),Tasks[[#This Row],[_Row]],"")</f>
        <v/>
      </c>
      <c r="GK136" s="43" t="str">
        <f aca="false">IF(AND(Tasks[[#This Row],[_IsLeaf]]=1,N(Tasks[[#This Row],[_Days]])=0),Tasks[[#This Row],[Planned Finish]]+Tasks[[#This Row],[_Row]]/100000,"")</f>
        <v/>
      </c>
      <c r="GL136" s="43" t="str">
        <f aca="false">IF(AND(Tasks[[#This Row],[_IsLeaf]]=1,Tasks[[#This Row],[_LeafProgress]]&lt;1,OR(N(Tasks[[#This Row],[Finish Var]])&gt;0,Tasks[[#This Row],[Status]]="Late Start")),MAX(0,Tasks[[#This Row],[Finish Var]])+1-Tasks[[#This Row],[_Row]]/1000000,"")</f>
        <v/>
      </c>
      <c r="GM136" s="43" t="str">
        <f aca="false">IF(AND(Tasks[[#This Row],[_IsLeaf]]=1,N(Tasks[[#This Row],[Actual Start]])=0,Tasks[[#This Row],[_ShownFcstStart]]&gt;=StatusDate,Tasks[[#This Row],[_ShownFcstStart]]&lt;=LookaheadEnd),Tasks[[#This Row],[_ShownFcstStart]]+Tasks[[#This Row],[_Row]]/100000,"")</f>
        <v/>
      </c>
      <c r="GN136" s="43" t="str">
        <f aca="false">IF(AND(Tasks[[#This Row],[_IsLeaf]]=1,Tasks[[#This Row],[_LeafProgress]]&lt;1,Tasks[[#This Row],[_ShownFcstFinish]]&gt;=StatusDate,Tasks[[#This Row],[_ShownFcstFinish]]&lt;=LookaheadEnd),Tasks[[#This Row],[_ShownFcstFinish]]+Tasks[[#This Row],[_Row]]/100000,"")</f>
        <v/>
      </c>
      <c r="GO136" s="43" t="str">
        <f aca="false">IF(Tasks[[#This Row],[_LeafCritical]],Tasks[[#This Row],[_ShownFcstStart]]+Tasks[[#This Row],[_Row]]/100000,"")</f>
        <v/>
      </c>
      <c r="GP136" s="43" t="n">
        <f aca="false">Tasks[[#This Row],[_LeafWork]]*Tasks[[#This Row],[_LeafProgress]]</f>
        <v>0</v>
      </c>
      <c r="GQ136" s="91" t="str">
        <f aca="false">IF(AND(Tasks[[#This Row],[_IsLeaf]]=1,Tasks[[#This Row],[_LeafProgress]]&gt;=1),IF(N(Tasks[[#This Row],[Actual Finish]])&gt;0,Tasks[[#This Row],[Actual Finish]],Tasks[[#This Row],[_ShownFcstFinish]]),"")</f>
        <v/>
      </c>
      <c r="GR136" s="43" t="n">
        <f aca="false">IF(Tasks[[#This Row],[_IsLeaf]]=1,N(Tasks[[#This Row],[Story Points]]),0)</f>
        <v>0</v>
      </c>
      <c r="GS136" s="43" t="str">
        <f aca="false">""</f>
        <v/>
      </c>
      <c r="GT136" s="90" t="b">
        <f aca="false">IF(Tasks[[#This Row],[Task Name]]="",FALSE(),AND(Tasks[[#This Row],[_IsLeaf]]=1,N(Tasks[[#This Row],[_Days]])=0))</f>
        <v>0</v>
      </c>
      <c r="GU136" s="91" t="n">
        <f aca="false">IF(Tasks[[#This Row],[Task Name]]="",0,IF(AND(Tasks[[#This Row],[_IsLeaf]]=1,NOT(Tasks[[#This Row],[_IsMilestone]]),N(Tasks[[#This Row],[Progress]])&gt;0),Tasks[[#This Row],[Start]],0))</f>
        <v>0</v>
      </c>
      <c r="GV136" s="91" t="n">
        <f aca="false">IF(Tasks[[#This Row],[_DoneFrom]]=0,0,IF(Tasks[[#This Row],[Progress]]&gt;=1,Tasks[[#This Row],[Finish]],MAX(Tasks[[#This Row],[_DoneFrom]],Tasks[[#This Row],[Start]]+ROUND((Tasks[[#This Row],[Finish]]-Tasks[[#This Row],[Start]]+1)*Tasks[[#This Row],[Progress]],0)-1)))</f>
        <v>0</v>
      </c>
      <c r="GW136" s="91" t="n">
        <f aca="false">IF(Tasks[[#This Row],[Task Name]]="",0,IF(OR(NOT(Tasks[[#This Row],[_IsLeaf]]=1),Tasks[[#This Row],[_IsMilestone]],N(Tasks[[#This Row],[Progress]])&gt;=1),0,IF(Tasks[[#This Row],[_DoneTo]]&gt;0,Tasks[[#This Row],[_DoneTo]]+1,Tasks[[#This Row],[Start]])))</f>
        <v>0</v>
      </c>
      <c r="GX136" s="91" t="n">
        <f aca="false">IF(Tasks[[#This Row],[_RemFrom]]=0,0,Tasks[[#This Row],[Finish]])</f>
        <v>0</v>
      </c>
      <c r="GY136" s="90" t="b">
        <f aca="false">IF(Tasks[[#This Row],[Task Name]]="",FALSE(),OR(NOT(BaselineSet),N(Tasks[[#This Row],[Baseline Start]])&gt;0))</f>
        <v>0</v>
      </c>
      <c r="GZ13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92" t="str">
        <f aca="false">IF(Tasks[[#This Row],[_IsLeaf]]=1,Tasks[[#This Row],[_Row]],"")</f>
        <v/>
      </c>
      <c r="HD136" s="92" t="str">
        <f aca="false">IFERROR(INDEX(Tasks[UID],SMALL(Tasks[_PickKey],Tasks[[#This Row],[_Row]]))&amp;" "&amp;INDEX(Tasks[Task Name],SMALL(Tasks[_PickKey],Tasks[[#This Row],[_Row]])),"")</f>
        <v/>
      </c>
      <c r="HE136" s="43" t="str">
        <f aca="false">IF(Tasks[[#This Row],[Task Name]]="","",IF(Tasks[[#This Row],[_IsSummary]],NETWORKDAYS.INTL(Tasks[[#This Row],[Start]],Tasks[[#This Row],[Finish]],WorkWeek,Holidays),N(Tasks[[#This Row],[_Days]])))</f>
        <v/>
      </c>
      <c r="HF136" s="43" t="n">
        <f aca="false">IF(Tasks[[#This Row],[Expected]]="",0,((Tasks[[#This Row],[Pessimistic]]-Tasks[[#This Row],[Optimistic]])/6)^2)</f>
        <v>0</v>
      </c>
      <c r="HG136" s="43" t="n">
        <f aca="false">IF(Tasks[[#This Row],[Expected]]="",0,Tasks[[#This Row],[Expected]]-N(Tasks[[#This Row],[_Days]]))</f>
        <v>0</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4"/>
      <c r="U137" s="23"/>
      <c r="V137" s="84"/>
      <c r="W137" s="23"/>
      <c r="X137" s="84"/>
      <c r="Y137" s="23"/>
      <c r="Z137" s="84"/>
      <c r="AA137" s="23"/>
      <c r="AB137" s="23"/>
      <c r="AC137" s="7"/>
      <c r="AD137" s="7"/>
      <c r="AE137" s="63" t="str">
        <f aca="false">IF(Tasks[[#This Row],[Task Name]]="","",IF(Tasks[[#This Row],[_IsSummary]],MIN(INDEX(Tasks[_ShownFcstStart],Tasks[[#This Row],[_Row]]+1):INDEX(Tasks[_ShownFcstStart],Tasks[[#This Row],[_Row]]+Tasks[[#This Row],[_Descendants]])),Tasks[[#This Row],[_ShownFcstStart]]))</f>
        <v/>
      </c>
      <c r="AF137" s="63"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7" s="7"/>
      <c r="AK137" s="22"/>
      <c r="AL137" s="23"/>
      <c r="AM137" s="7"/>
      <c r="AN137" s="47"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3" t="str">
        <f aca="false">IF(Tasks[[#This Row],[Task Name]]="","",IF(N(Tasks[[#This Row],[Baseline Start]])&gt;0,Tasks[[#This Row],[Baseline Start]],Tasks[[#This Row],[_CalcStart]]))</f>
        <v/>
      </c>
      <c r="AR137" s="63" t="str">
        <f aca="false">IF(Tasks[[#This Row],[Task Name]]="","",IF(N(Tasks[[#This Row],[Baseline Finish]])&gt;0,Tasks[[#This Row],[Baseline Finish]],Tasks[[#This Row],[_CalcFinish]]))</f>
        <v/>
      </c>
      <c r="AS137" s="47" t="str">
        <f aca="false">IF(Tasks[[#This Row],[Task Name]]="","",IF(Tasks[[#This Row],[Start]]&gt;=Tasks[[#This Row],[Planned Start]],NETWORKDAYS.INTL(Tasks[[#This Row],[Planned Start]],Tasks[[#This Row],[Start]],WorkWeek,Holidays)-1,1-NETWORKDAYS.INTL(Tasks[[#This Row],[Start]],Tasks[[#This Row],[Planned Start]],WorkWeek,Holidays)))</f>
        <v/>
      </c>
      <c r="AT137" s="63" t="str">
        <f aca="false">IF(Tasks[[#This Row],[Task Name]]="","",IF(Tasks[[#This Row],[_IsSummary]],MIN(INDEX(Tasks[_LeafLateStart],Tasks[[#This Row],[_Row]]+1):INDEX(Tasks[_LeafLateStart],Tasks[[#This Row],[_Row]]+Tasks[[#This Row],[_Descendants]])),Tasks[[#This Row],[_LeafLateStart]]))</f>
        <v/>
      </c>
      <c r="AU137" s="63" t="str">
        <f aca="false">IF(Tasks[[#This Row],[Task Name]]="","",IF(Tasks[[#This Row],[_IsSummary]],MAX(INDEX(Tasks[_LeafLateFinish],Tasks[[#This Row],[_Row]]+1):INDEX(Tasks[_LeafLateFinish],Tasks[[#This Row],[_Row]]+Tasks[[#This Row],[_Descendants]])),Tasks[[#This Row],[_LeafLateFinish]]))</f>
        <v/>
      </c>
      <c r="AV137" s="47"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5"/>
      <c r="BA1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6"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7"/>
      <c r="BJ137" s="22"/>
      <c r="BK137" s="47" t="str">
        <f aca="false">IF(OR(Tasks[[#This Row],[Task Name]]="",Tasks[[#This Row],[Baseline Duration]]=""),"",Tasks[[#This Row],[_SpanDays]]-N(Tasks[[#This Row],[Baseline Duration]]))</f>
        <v/>
      </c>
      <c r="BL137" s="86" t="str">
        <f aca="false">IF(OR(Tasks[[#This Row],[Task Name]]="",Tasks[[#This Row],[Baseline Work]]=""),"",Tasks[[#This Row],[Work]]-N(Tasks[[#This Row],[Baseline Work]]))</f>
        <v/>
      </c>
      <c r="BM137" s="63" t="str">
        <f aca="false">IF(Tasks[[#This Row],[Task Name]]="","",IF(OR(TakeBaseline="Yes",N(Tasks[[#This Row],[Baseline Start]])=0),Tasks[[#This Row],[Start]],Tasks[[#This Row],[Baseline Start]]))</f>
        <v/>
      </c>
      <c r="BN137" s="63" t="str">
        <f aca="false">IF(Tasks[[#This Row],[Task Name]]="","",IF(OR(TakeBaseline="Yes",N(Tasks[[#This Row],[Baseline Finish]])=0),Tasks[[#This Row],[Finish]],Tasks[[#This Row],[Baseline Finish]]))</f>
        <v/>
      </c>
      <c r="BO137" s="21" t="str">
        <f aca="false">IF(Tasks[[#This Row],[Task Name]]="","",IF(OR(TakeBaseline="Yes",N(Tasks[[#This Row],[Baseline Duration]])=0),Tasks[[#This Row],[_SpanDays]],Tasks[[#This Row],[Baseline Duration]]))</f>
        <v/>
      </c>
      <c r="BP137" s="86" t="str">
        <f aca="false">IF(Tasks[[#This Row],[Task Name]]="","",IF(OR(TakeBaseline="Yes",N(Tasks[[#This Row],[Baseline Work]])=0),Tasks[[#This Row],[Work]],Tasks[[#This Row],[Baseline Work]]))</f>
        <v/>
      </c>
      <c r="BQ137" s="7"/>
      <c r="BR137" s="7"/>
      <c r="BS137" s="22"/>
      <c r="BT137" s="88"/>
      <c r="BU137" s="23"/>
      <c r="BV137" s="23"/>
      <c r="BW137" s="23"/>
      <c r="BX137" s="89" t="str">
        <f aca="false">IF(AND(Tasks[[#This Row],[_IsLeaf]]=1,ISNUMBER(Tasks[[#This Row],[Optimistic]]),ISNUMBER(Tasks[[#This Row],[Pessimistic]])),ROUND((Tasks[[#This Row],[Optimistic]]+4*N(Tasks[[#This Row],[_Days]])+Tasks[[#This Row],[Pessimistic]])/6,1),"")</f>
        <v/>
      </c>
      <c r="BY137" s="87"/>
      <c r="BZ137" s="87"/>
      <c r="CA137" s="22"/>
      <c r="CB137" s="43" t="str">
        <f aca="false">IF(Tasks[[#This Row],[Task Name]]="","",MAX(1,N(Tasks[[#This Row],[Level]])))</f>
        <v/>
      </c>
      <c r="CC137" s="43" t="n">
        <f aca="false">ROW()-ROW(Tasks[[#Headers],[ID]])</f>
        <v>132</v>
      </c>
      <c r="CD137" s="43" t="n">
        <f aca="false">IF(OR(Tasks[[#This Row],[Task Name]]="",Tasks[[#This Row],[_Level]]&lt;=1),0,IFERROR(LOOKUP(2,1/(Tasks[[#Headers],[_Level]]:Tasks[[#This Row],[_Level]]=Tasks[[#This Row],[_Level]]-1),ROW(Tasks[[#Headers],[_Level]]:Tasks[[#This Row],[_Level]])),0))</f>
        <v>0</v>
      </c>
      <c r="CE137" s="43" t="n">
        <f aca="false">IFERROR(N(INDEX(Tasks[_Level],Tasks[[#This Row],[_Row]]+1)),0)</f>
        <v>0</v>
      </c>
      <c r="CF137" s="90" t="b">
        <f aca="false">AND(Tasks[[#This Row],[Task Name]]&lt;&gt;"",Tasks[[#This Row],[_NextLevel]]&gt;Tasks[[#This Row],[_Level]])</f>
        <v>0</v>
      </c>
      <c r="CG137" s="43" t="n">
        <f aca="false">IF(Tasks[[#This Row],[_IsSummary]],COUNTIF(Tasks[WBS],Tasks[[#This Row],[WBS]]&amp;".*"),0)</f>
        <v>0</v>
      </c>
      <c r="CH137" s="43" t="n">
        <f aca="false">IF(AND(Tasks[[#This Row],[Task Name]]&lt;&gt;"",NOT(Tasks[[#This Row],[_IsSummary]])),1,0)</f>
        <v>0</v>
      </c>
      <c r="CI137" s="43" t="n">
        <f aca="false">IF(N(Tasks[[#This Row],[_Pred1UID]])=0,0,IFERROR(MATCH(Tasks[[#This Row],[_Pred1UID]],Tasks[UID],0),-1))</f>
        <v>0</v>
      </c>
      <c r="CJ137" s="43" t="n">
        <f aca="false">IF(N(Tasks[[#This Row],[_Pred2UID]])=0,0,IFERROR(MATCH(Tasks[[#This Row],[_Pred2UID]],Tasks[UID],0),-1))</f>
        <v>0</v>
      </c>
      <c r="CK137" s="43" t="n">
        <f aca="false">IF(N(Tasks[[#This Row],[_Pred3UID]])=0,0,IFERROR(MATCH(Tasks[[#This Row],[_Pred3UID]],Tasks[UID],0),-1))</f>
        <v>0</v>
      </c>
      <c r="CL137" s="43" t="n">
        <f aca="false">IF(N(Tasks[[#This Row],[_Pred4UID]])=0,0,IFERROR(MATCH(Tasks[[#This Row],[_Pred4UID]],Tasks[UID],0),-1))</f>
        <v>0</v>
      </c>
      <c r="CM1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7" s="91" t="n">
        <f aca="false">IF(OR(Tasks[[#This Row],[_ConstraintCode]]=2,Tasks[[#This Row],[_ConstraintCode]]=3,Tasks[[#This Row],[_ConstraintCode]]=4,Tasks[[#This Row],[_ConstraintCode]]=6),Tasks[[#This Row],[_ConstraintStart]],0)</f>
        <v>0</v>
      </c>
      <c r="CP137" s="91" t="n">
        <f aca="false">IF(OR(Tasks[[#This Row],[_ConstraintCode]]=2,Tasks[[#This Row],[_ConstraintCode]]=3,Tasks[[#This Row],[_ConstraintCode]]=5,Tasks[[#This Row],[_ConstraintCode]]=7),Tasks[[#This Row],[_ConstraintStart]],2958465)</f>
        <v>2958465</v>
      </c>
      <c r="CQ1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91" t="str">
        <f aca="false">IF(NOT(Tasks[[#This Row],[_IsLeaf]]=1),"",IF(N(Tasks[[#This Row],[_Days]])&lt;=0,Tasks[[#This Row],[_LeafCalcStart]],WORKDAY.INTL(Tasks[[#This Row],[_LeafCalcStart]],Tasks[[#This Row],[_Days]]-1,WorkWeek,Holidays)))</f>
        <v/>
      </c>
      <c r="CS1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3" t="str">
        <f aca="false">IF(Tasks[[#This Row],[_Predecessors]]="","",TRIM(MID(SUBSTITUTE(SUBSTITUTE(SUBSTITUTE(UPPER(Tasks[[#This Row],[_Predecessors]]),";",",")," ",""),",",REPT(" ",99)),1,99)))</f>
        <v/>
      </c>
      <c r="CV137" s="43" t="str">
        <f aca="false">IF(Tasks[[#This Row],[_Pred1Text]]="","",IFERROR(VALUE(LEFT(Tasks[[#This Row],[_Pred1Text]],MIN(FIND("F",Tasks[[#This Row],[_Pred1Text]]&amp;"F"),FIND("S",Tasks[[#This Row],[_Pred1Text]]&amp;"S"),FIND("+",Tasks[[#This Row],[_Pred1Text]]&amp;"+"),FIND("-",Tasks[[#This Row],[_Pred1Text]]&amp;"-"))-1)),""))</f>
        <v/>
      </c>
      <c r="CW1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3" t="str">
        <f aca="false">IF(Tasks[[#This Row],[_Pred1Text]]="","",TRIM(MID(SUBSTITUTE(SUBSTITUTE(SUBSTITUTE(UPPER(Tasks[[#This Row],[_Predecessors]]),";",",")," ",""),",",REPT(" ",99)),100,99)))</f>
        <v/>
      </c>
      <c r="CZ137" s="43" t="str">
        <f aca="false">IF(Tasks[[#This Row],[_Pred2Text]]="","",IFERROR(VALUE(LEFT(Tasks[[#This Row],[_Pred2Text]],MIN(FIND("F",Tasks[[#This Row],[_Pred2Text]]&amp;"F"),FIND("S",Tasks[[#This Row],[_Pred2Text]]&amp;"S"),FIND("+",Tasks[[#This Row],[_Pred2Text]]&amp;"+"),FIND("-",Tasks[[#This Row],[_Pred2Text]]&amp;"-"))-1)),""))</f>
        <v/>
      </c>
      <c r="DA1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3" t="str">
        <f aca="false">IF(Tasks[[#This Row],[_Pred2Text]]="","",TRIM(MID(SUBSTITUTE(SUBSTITUTE(SUBSTITUTE(UPPER(Tasks[[#This Row],[_Predecessors]]),";",",")," ",""),",",REPT(" ",99)),199,99)))</f>
        <v/>
      </c>
      <c r="DD137" s="43" t="str">
        <f aca="false">IF(Tasks[[#This Row],[_Pred3Text]]="","",IFERROR(VALUE(LEFT(Tasks[[#This Row],[_Pred3Text]],MIN(FIND("F",Tasks[[#This Row],[_Pred3Text]]&amp;"F"),FIND("S",Tasks[[#This Row],[_Pred3Text]]&amp;"S"),FIND("+",Tasks[[#This Row],[_Pred3Text]]&amp;"+"),FIND("-",Tasks[[#This Row],[_Pred3Text]]&amp;"-"))-1)),""))</f>
        <v/>
      </c>
      <c r="DE1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3" t="str">
        <f aca="false">IF(Tasks[[#This Row],[_Pred3Text]]="","",TRIM(MID(SUBSTITUTE(SUBSTITUTE(SUBSTITUTE(UPPER(Tasks[[#This Row],[_Predecessors]]),";",",")," ",""),",",REPT(" ",99)),298,99)))</f>
        <v/>
      </c>
      <c r="DH137" s="43" t="str">
        <f aca="false">IF(Tasks[[#This Row],[_Pred4Text]]="","",IFERROR(VALUE(LEFT(Tasks[[#This Row],[_Pred4Text]],MIN(FIND("F",Tasks[[#This Row],[_Pred4Text]]&amp;"F"),FIND("S",Tasks[[#This Row],[_Pred4Text]]&amp;"S"),FIND("+",Tasks[[#This Row],[_Pred4Text]]&amp;"+"),FIND("-",Tasks[[#This Row],[_Pred4Text]]&amp;"-"))-1)),""))</f>
        <v/>
      </c>
      <c r="DI1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3" t="str">
        <f aca="false">IF(OR(Tasks[[#This Row],[Task Name]]="",Tasks[[#This Row],[_Resources]]=""),"",TRIM(MID(SUBSTITUTE(Tasks[[#This Row],[_Resources]],",",REPT(" ",99)),1,99)))</f>
        <v/>
      </c>
      <c r="DL137" s="43" t="str">
        <f aca="false">IF(Tasks[[#This Row],[_Res1Text]]="","",TRIM(MID(SUBSTITUTE(Tasks[[#This Row],[_Resources]],",",REPT(" ",99)),100,99)))</f>
        <v/>
      </c>
      <c r="DM137" s="43" t="str">
        <f aca="false">IF(Tasks[[#This Row],[_Res2Text]]="","",TRIM(MID(SUBSTITUTE(Tasks[[#This Row],[_Resources]],",",REPT(" ",99)),199,99)))</f>
        <v/>
      </c>
      <c r="DN137" s="43" t="str">
        <f aca="false">IF(Tasks[[#This Row],[_Res3Text]]="","",TRIM(MID(SUBSTITUTE(Tasks[[#This Row],[_Resources]],",",REPT(" ",99)),298,99)))</f>
        <v/>
      </c>
      <c r="DO137" s="43" t="n">
        <f aca="false">IF(Tasks[[#This Row],[_Res1Text]]="",0,IFERROR(MATCH(TRIM(LEFT(Tasks[[#This Row],[_Res1Text]],FIND("[",Tasks[[#This Row],[_Res1Text]]&amp;"[")-1)),res_Name,0),IFERROR(MATCH(TRIM(LEFT(Tasks[[#This Row],[_Res1Text]],FIND("[",Tasks[[#This Row],[_Res1Text]]&amp;"[")-1)),res_Initials,0),0)))</f>
        <v>0</v>
      </c>
      <c r="DP137" s="43" t="n">
        <f aca="false">IF(Tasks[[#This Row],[_Res2Text]]="",0,IFERROR(MATCH(TRIM(LEFT(Tasks[[#This Row],[_Res2Text]],FIND("[",Tasks[[#This Row],[_Res2Text]]&amp;"[")-1)),res_Name,0),IFERROR(MATCH(TRIM(LEFT(Tasks[[#This Row],[_Res2Text]],FIND("[",Tasks[[#This Row],[_Res2Text]]&amp;"[")-1)),res_Initials,0),0)))</f>
        <v>0</v>
      </c>
      <c r="DQ137" s="43" t="n">
        <f aca="false">IF(Tasks[[#This Row],[_Res3Text]]="",0,IFERROR(MATCH(TRIM(LEFT(Tasks[[#This Row],[_Res3Text]],FIND("[",Tasks[[#This Row],[_Res3Text]]&amp;"[")-1)),res_Name,0),IFERROR(MATCH(TRIM(LEFT(Tasks[[#This Row],[_Res3Text]],FIND("[",Tasks[[#This Row],[_Res3Text]]&amp;"[")-1)),res_Initials,0),0)))</f>
        <v>0</v>
      </c>
      <c r="DR137" s="43" t="n">
        <f aca="false">IF(Tasks[[#This Row],[_Res4Text]]="",0,IFERROR(MATCH(TRIM(LEFT(Tasks[[#This Row],[_Res4Text]],FIND("[",Tasks[[#This Row],[_Res4Text]]&amp;"[")-1)),res_Name,0),IFERROR(MATCH(TRIM(LEFT(Tasks[[#This Row],[_Res4Text]],FIND("[",Tasks[[#This Row],[_Res4Text]]&amp;"[")-1)),res_Initials,0),0)))</f>
        <v>0</v>
      </c>
      <c r="DS137" s="43" t="str">
        <f aca="false">IF(Tasks[[#This Row],[_Res1Text]]="","",IF(Tasks[[#This Row],[_Res1Row]]&gt;0,INDEX(res_Name,Tasks[[#This Row],[_Res1Row]]),TRIM(LEFT(Tasks[[#This Row],[_Res1Text]],FIND("[",Tasks[[#This Row],[_Res1Text]]&amp;"[")-1))))</f>
        <v/>
      </c>
      <c r="DT1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3" t="n">
        <f aca="false">IF(NOT(Tasks[[#This Row],[_IsLeaf]]=1),0,(Tasks[[#This Row],[_Resource1]]&lt;&gt;"")+(Tasks[[#This Row],[_Res2]]&lt;&gt;"")+(Tasks[[#This Row],[_Res3]]&lt;&gt;"")+(Tasks[[#This Row],[_Res4]]&lt;&gt;""))</f>
        <v>0</v>
      </c>
      <c r="DV137" s="43" t="str">
        <f aca="false">IF(Tasks[[#This Row],[_Res2Text]]="","",IF(Tasks[[#This Row],[_Res2Row]]&gt;0,INDEX(res_Name,Tasks[[#This Row],[_Res2Row]]),TRIM(LEFT(Tasks[[#This Row],[_Res2Text]],FIND("[",Tasks[[#This Row],[_Res2Text]]&amp;"[")-1))))</f>
        <v/>
      </c>
      <c r="DW1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3" t="n">
        <f aca="false">IF(OR(NOT(Tasks[[#This Row],[_IsLeaf]]=1),Tasks[[#This Row],[_Res2Row]]=0),0,N(Tasks[[#This Row],[_Days]])*HoursPerDay*IF(Tasks[[#This Row],[_Res2Units]]="",DefaultUnits,Tasks[[#This Row],[_Res2Units]]))</f>
        <v>0</v>
      </c>
      <c r="DY137" s="43" t="n">
        <f aca="false">IF(AND(AND(Tasks[[#This Row],[_IsLeaf]]=1,Tasks[[#This Row],[_LeafTotalWork]]&gt;0),Tasks[[#This Row],[_Res2Work]]&gt;0),Tasks[[#This Row],[_Res2Work]]/(Tasks[[#This Row],[_FinishWorkday]]-Tasks[[#This Row],[_StartWorkday]]+1),0)</f>
        <v>0</v>
      </c>
      <c r="DZ137" s="43" t="n">
        <f aca="false">Tasks[[#This Row],[_Res2WorkPerWD]]*MAX(0,Tasks[[#This Row],[_StartWorkday]]-1)</f>
        <v>0</v>
      </c>
      <c r="EA137" s="43" t="n">
        <f aca="false">Tasks[[#This Row],[_Res2Work]]*Tasks[[#This Row],[_LeafProgress]]</f>
        <v>0</v>
      </c>
      <c r="EB137" s="43" t="str">
        <f aca="false">IF(Tasks[[#This Row],[_Res3Text]]="","",IF(Tasks[[#This Row],[_Res3Row]]&gt;0,INDEX(res_Name,Tasks[[#This Row],[_Res3Row]]),TRIM(LEFT(Tasks[[#This Row],[_Res3Text]],FIND("[",Tasks[[#This Row],[_Res3Text]]&amp;"[")-1))))</f>
        <v/>
      </c>
      <c r="EC1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3" t="n">
        <f aca="false">IF(OR(NOT(Tasks[[#This Row],[_IsLeaf]]=1),Tasks[[#This Row],[_Res3Row]]=0),0,N(Tasks[[#This Row],[_Days]])*HoursPerDay*IF(Tasks[[#This Row],[_Res3Units]]="",DefaultUnits,Tasks[[#This Row],[_Res3Units]]))</f>
        <v>0</v>
      </c>
      <c r="EE137" s="43" t="n">
        <f aca="false">IF(AND(AND(Tasks[[#This Row],[_IsLeaf]]=1,Tasks[[#This Row],[_LeafTotalWork]]&gt;0),Tasks[[#This Row],[_Res3Work]]&gt;0),Tasks[[#This Row],[_Res3Work]]/(Tasks[[#This Row],[_FinishWorkday]]-Tasks[[#This Row],[_StartWorkday]]+1),0)</f>
        <v>0</v>
      </c>
      <c r="EF137" s="43" t="n">
        <f aca="false">Tasks[[#This Row],[_Res3WorkPerWD]]*MAX(0,Tasks[[#This Row],[_StartWorkday]]-1)</f>
        <v>0</v>
      </c>
      <c r="EG137" s="43" t="n">
        <f aca="false">Tasks[[#This Row],[_Res3Work]]*Tasks[[#This Row],[_LeafProgress]]</f>
        <v>0</v>
      </c>
      <c r="EH137" s="43" t="str">
        <f aca="false">IF(Tasks[[#This Row],[_Res4Text]]="","",IF(Tasks[[#This Row],[_Res4Row]]&gt;0,INDEX(res_Name,Tasks[[#This Row],[_Res4Row]]),TRIM(LEFT(Tasks[[#This Row],[_Res4Text]],FIND("[",Tasks[[#This Row],[_Res4Text]]&amp;"[")-1))))</f>
        <v/>
      </c>
      <c r="EI1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3" t="n">
        <f aca="false">IF(OR(NOT(Tasks[[#This Row],[_IsLeaf]]=1),Tasks[[#This Row],[_Res4Row]]=0),0,N(Tasks[[#This Row],[_Days]])*HoursPerDay*IF(Tasks[[#This Row],[_Res4Units]]="",DefaultUnits,Tasks[[#This Row],[_Res4Units]]))</f>
        <v>0</v>
      </c>
      <c r="EK137" s="43" t="n">
        <f aca="false">IF(AND(AND(Tasks[[#This Row],[_IsLeaf]]=1,Tasks[[#This Row],[_LeafTotalWork]]&gt;0),Tasks[[#This Row],[_Res4Work]]&gt;0),Tasks[[#This Row],[_Res4Work]]/(Tasks[[#This Row],[_FinishWorkday]]-Tasks[[#This Row],[_StartWorkday]]+1),0)</f>
        <v>0</v>
      </c>
      <c r="EL137" s="43" t="n">
        <f aca="false">Tasks[[#This Row],[_Res4WorkPerWD]]*MAX(0,Tasks[[#This Row],[_StartWorkday]]-1)</f>
        <v>0</v>
      </c>
      <c r="EM137" s="43" t="n">
        <f aca="false">Tasks[[#This Row],[_Res4Work]]*Tasks[[#This Row],[_LeafProgress]]</f>
        <v>0</v>
      </c>
      <c r="EN137" s="43" t="n">
        <f aca="false">IF(ISNUMBER(Tasks[[#This Row],[% Complete]]),Tasks[[#This Row],[% Complete]],IF(Tasks[[#This Row],[Stage]]="",0,IFERROR(INDEX(stg_Pct,MATCH(Tasks[[#This Row],[Stage]],stg_Name,0)),0)))</f>
        <v>0</v>
      </c>
      <c r="EO137" s="43" t="n">
        <f aca="false">IF(NOT(Tasks[[#This Row],[_IsLeaf]]=1),0,IF(N(Tasks[[#This Row],[Actual Finish]])&gt;0,1,MIN(1,Tasks[[#This Row],[_Pct]])))</f>
        <v>0</v>
      </c>
      <c r="EP137" s="43" t="n">
        <f aca="false">IF(OR(NOT(Tasks[[#This Row],[_IsLeaf]]=1),Tasks[[#This Row],[_Res1Row]]=0),0,N(Tasks[[#This Row],[_Days]])*HoursPerDay*IF(Tasks[[#This Row],[_Units1]]="",DefaultUnits,Tasks[[#This Row],[_Units1]]))</f>
        <v>0</v>
      </c>
      <c r="EQ137" s="43" t="n">
        <f aca="false">Tasks[[#This Row],[_LeafWork]]+Tasks[[#This Row],[_Res2Work]]+Tasks[[#This Row],[_Res3Work]]+Tasks[[#This Row],[_Res4Work]]</f>
        <v>0</v>
      </c>
      <c r="ER1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3" t="n">
        <f aca="false">IF(NOT(Tasks[[#This Row],[_IsLeaf]]=1),0,MAX(_xlfn.MAXIFS(Tasks[_Row],Tasks[_Pred1UID],Tasks[[#This Row],[UID]]),_xlfn.MAXIFS(Tasks[_Row],Tasks[_Pred2UID],Tasks[[#This Row],[UID]]),_xlfn.MAXIFS(Tasks[_Row],Tasks[_Pred3UID],Tasks[[#This Row],[UID]]),_xlfn.MAXIFS(Tasks[_Row],Tasks[_Pred4UID],Tasks[[#This Row],[UID]])))</f>
        <v>0</v>
      </c>
      <c r="FA1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91" t="str">
        <f aca="false">IF(NOT(Tasks[[#This Row],[_IsLeaf]]=1),"",IF(N(Tasks[[#This Row],[_Days]])&lt;=0,Tasks[[#This Row],[_LeafLateFinish]],WORKDAY.INTL(Tasks[[#This Row],[_LeafLateFinish]],-(Tasks[[#This Row],[_Days]]-1),WorkWeek,Holidays)))</f>
        <v/>
      </c>
      <c r="FD1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7" s="90" t="b">
        <f aca="false">AND(Tasks[[#This Row],[_IsLeaf]]=1,Tasks[[#This Row],[_LeafProgress]]&lt;1,N(Tasks[[#This Row],[_LeafTotalSlack]])&lt;=CriticalSlackDays)</f>
        <v>0</v>
      </c>
      <c r="FF137" s="43" t="n">
        <f aca="false">IF(AND(Tasks[[#This Row],[_IsLeaf]]=1,Tasks[[#This Row],[_ConstraintCode]]=1,Tasks[[#This Row],[Mode]]&lt;&gt;"Manual",N(Tasks[[#This Row],[Actual Start]])=0),MAX(0,N(Tasks[[#This Row],[Free Slack]])),0)</f>
        <v>0</v>
      </c>
      <c r="FG137" s="91" t="str">
        <f aca="false">IF(NOT(Tasks[[#This Row],[_IsLeaf]]=1),"",IF(Tasks[[#This Row],[_AlapShift]]=0,Tasks[[#This Row],[_LeafCalcStart]],WORKDAY.INTL(Tasks[[#This Row],[_LeafCalcStart]],Tasks[[#This Row],[_AlapShift]],WorkWeek,Holidays)))</f>
        <v/>
      </c>
      <c r="FH137" s="91" t="str">
        <f aca="false">IF(NOT(Tasks[[#This Row],[_IsLeaf]]=1),"",IF(Tasks[[#This Row],[_AlapShift]]=0,Tasks[[#This Row],[_LeafCalcFinish]],WORKDAY.INTL(Tasks[[#This Row],[_LeafCalcFinish]],Tasks[[#This Row],[_AlapShift]],WorkWeek,Holidays)))</f>
        <v/>
      </c>
      <c r="FI137" s="91" t="str">
        <f aca="false">IF(NOT(Tasks[[#This Row],[_IsLeaf]]=1),"",IF(Tasks[[#This Row],[_AlapShift]]=0,Tasks[[#This Row],[_LeafFcstStart]],WORKDAY.INTL(Tasks[[#This Row],[_LeafFcstStart]],Tasks[[#This Row],[_AlapShift]],WorkWeek,Holidays)))</f>
        <v/>
      </c>
      <c r="FJ137" s="91" t="str">
        <f aca="false">IF(NOT(Tasks[[#This Row],[_IsLeaf]]=1),"",IF(Tasks[[#This Row],[_AlapShift]]=0,Tasks[[#This Row],[_LeafFcstFinish]],WORKDAY.INTL(Tasks[[#This Row],[_LeafFcstFinish]],Tasks[[#This Row],[_AlapShift]],WorkWeek,Holidays)))</f>
        <v/>
      </c>
      <c r="FK137" s="91" t="str">
        <f aca="false">IF(Tasks[[#This Row],[Task Name]]="","",IF(Tasks[[#This Row],[_IsSummary]],MIN(INDEX(Tasks[_ShownCalcStart],Tasks[[#This Row],[_Row]]+1):INDEX(Tasks[_ShownCalcStart],Tasks[[#This Row],[_Row]]+Tasks[[#This Row],[_Descendants]])),Tasks[[#This Row],[_ShownCalcStart]]))</f>
        <v/>
      </c>
      <c r="FL137" s="91" t="str">
        <f aca="false">IF(Tasks[[#This Row],[Task Name]]="","",IF(Tasks[[#This Row],[_IsSummary]],MAX(INDEX(Tasks[_ShownCalcFinish],Tasks[[#This Row],[_Row]]+1):INDEX(Tasks[_ShownCalcFinish],Tasks[[#This Row],[_Row]]+Tasks[[#This Row],[_Descendants]])),Tasks[[#This Row],[_ShownCalcFinish]]))</f>
        <v/>
      </c>
      <c r="FM1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7" s="43" t="n">
        <f aca="false">IF(AND(Tasks[[#This Row],[_IsLeaf]]=1,Tasks[[#This Row],[_LeafTotalWork]]&gt;0),NETWORKDAYS.INTL(ProjectStart,Tasks[[#This Row],[_ShownFcstStart]],WorkWeek,Holidays),0)</f>
        <v>0</v>
      </c>
      <c r="FZ137" s="43" t="n">
        <f aca="false">IF(AND(Tasks[[#This Row],[_IsLeaf]]=1,Tasks[[#This Row],[_LeafTotalWork]]&gt;0),MAX(Tasks[[#This Row],[_StartWorkday]],NETWORKDAYS.INTL(ProjectStart,Tasks[[#This Row],[_ShownFcstFinish]],WorkWeek,Holidays)),0)</f>
        <v>0</v>
      </c>
      <c r="GA137" s="43" t="n">
        <f aca="false">IF(AND(Tasks[[#This Row],[_IsLeaf]]=1,Tasks[[#This Row],[_LeafTotalWork]]&gt;0),Tasks[[#This Row],[_LeafWork]]/(Tasks[[#This Row],[_FinishWorkday]]-Tasks[[#This Row],[_StartWorkday]]+1),0)</f>
        <v>0</v>
      </c>
      <c r="GB137" s="43" t="n">
        <f aca="false">Tasks[[#This Row],[_WorkPerWorkday]]*(Tasks[[#This Row],[_StartWorkday]]-1)</f>
        <v>-0</v>
      </c>
      <c r="GC137" s="43" t="n">
        <f aca="false">IF(Tasks[[#This Row],[_IsLeaf]]=1,MAX(N(Tasks[[#This Row],[_Days]]),0.1),0)</f>
        <v>0</v>
      </c>
      <c r="GD137" s="43" t="n">
        <f aca="false">Tasks[[#This Row],[_WeightDur]]*Tasks[[#This Row],[_LeafProgress]]</f>
        <v>0</v>
      </c>
      <c r="GE137" s="43" t="n">
        <f aca="false">Tasks[[#This Row],[_WeightDur]]*Tasks[[#This Row],[_PlannedPct]]</f>
        <v>0</v>
      </c>
      <c r="GF1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3" t="str">
        <f aca="false">IF(AND(Tasks[[#This Row],[_IsLeaf]]=1,N(Tasks[[#This Row],[_Days]])=0,Tasks[[#This Row],[_LeafProgress]]&lt;1),Tasks[[#This Row],[_ShownFcstFinish]]+Tasks[[#This Row],[_Row]]/100000,"")</f>
        <v/>
      </c>
      <c r="GH1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7" s="43" t="str">
        <f aca="false">IF(Tasks[[#This Row],[Task Name]]="","",LEFT(Tasks[[#This Row],[WBS]],FIND(".",Tasks[[#This Row],[WBS]]&amp;".")-1))</f>
        <v/>
      </c>
      <c r="GJ137" s="43" t="str">
        <f aca="false">IF(AND(Tasks[[#This Row],[Task Name]]&lt;&gt;"",Tasks[[#This Row],[_Level]]=1),Tasks[[#This Row],[_Row]],"")</f>
        <v/>
      </c>
      <c r="GK137" s="43" t="str">
        <f aca="false">IF(AND(Tasks[[#This Row],[_IsLeaf]]=1,N(Tasks[[#This Row],[_Days]])=0),Tasks[[#This Row],[Planned Finish]]+Tasks[[#This Row],[_Row]]/100000,"")</f>
        <v/>
      </c>
      <c r="GL137" s="43" t="str">
        <f aca="false">IF(AND(Tasks[[#This Row],[_IsLeaf]]=1,Tasks[[#This Row],[_LeafProgress]]&lt;1,OR(N(Tasks[[#This Row],[Finish Var]])&gt;0,Tasks[[#This Row],[Status]]="Late Start")),MAX(0,Tasks[[#This Row],[Finish Var]])+1-Tasks[[#This Row],[_Row]]/1000000,"")</f>
        <v/>
      </c>
      <c r="GM137" s="43" t="str">
        <f aca="false">IF(AND(Tasks[[#This Row],[_IsLeaf]]=1,N(Tasks[[#This Row],[Actual Start]])=0,Tasks[[#This Row],[_ShownFcstStart]]&gt;=StatusDate,Tasks[[#This Row],[_ShownFcstStart]]&lt;=LookaheadEnd),Tasks[[#This Row],[_ShownFcstStart]]+Tasks[[#This Row],[_Row]]/100000,"")</f>
        <v/>
      </c>
      <c r="GN137" s="43" t="str">
        <f aca="false">IF(AND(Tasks[[#This Row],[_IsLeaf]]=1,Tasks[[#This Row],[_LeafProgress]]&lt;1,Tasks[[#This Row],[_ShownFcstFinish]]&gt;=StatusDate,Tasks[[#This Row],[_ShownFcstFinish]]&lt;=LookaheadEnd),Tasks[[#This Row],[_ShownFcstFinish]]+Tasks[[#This Row],[_Row]]/100000,"")</f>
        <v/>
      </c>
      <c r="GO137" s="43" t="str">
        <f aca="false">IF(Tasks[[#This Row],[_LeafCritical]],Tasks[[#This Row],[_ShownFcstStart]]+Tasks[[#This Row],[_Row]]/100000,"")</f>
        <v/>
      </c>
      <c r="GP137" s="43" t="n">
        <f aca="false">Tasks[[#This Row],[_LeafWork]]*Tasks[[#This Row],[_LeafProgress]]</f>
        <v>0</v>
      </c>
      <c r="GQ137" s="91" t="str">
        <f aca="false">IF(AND(Tasks[[#This Row],[_IsLeaf]]=1,Tasks[[#This Row],[_LeafProgress]]&gt;=1),IF(N(Tasks[[#This Row],[Actual Finish]])&gt;0,Tasks[[#This Row],[Actual Finish]],Tasks[[#This Row],[_ShownFcstFinish]]),"")</f>
        <v/>
      </c>
      <c r="GR137" s="43" t="n">
        <f aca="false">IF(Tasks[[#This Row],[_IsLeaf]]=1,N(Tasks[[#This Row],[Story Points]]),0)</f>
        <v>0</v>
      </c>
      <c r="GS137" s="43" t="str">
        <f aca="false">""</f>
        <v/>
      </c>
      <c r="GT137" s="90" t="b">
        <f aca="false">IF(Tasks[[#This Row],[Task Name]]="",FALSE(),AND(Tasks[[#This Row],[_IsLeaf]]=1,N(Tasks[[#This Row],[_Days]])=0))</f>
        <v>0</v>
      </c>
      <c r="GU137" s="91" t="n">
        <f aca="false">IF(Tasks[[#This Row],[Task Name]]="",0,IF(AND(Tasks[[#This Row],[_IsLeaf]]=1,NOT(Tasks[[#This Row],[_IsMilestone]]),N(Tasks[[#This Row],[Progress]])&gt;0),Tasks[[#This Row],[Start]],0))</f>
        <v>0</v>
      </c>
      <c r="GV137" s="91" t="n">
        <f aca="false">IF(Tasks[[#This Row],[_DoneFrom]]=0,0,IF(Tasks[[#This Row],[Progress]]&gt;=1,Tasks[[#This Row],[Finish]],MAX(Tasks[[#This Row],[_DoneFrom]],Tasks[[#This Row],[Start]]+ROUND((Tasks[[#This Row],[Finish]]-Tasks[[#This Row],[Start]]+1)*Tasks[[#This Row],[Progress]],0)-1)))</f>
        <v>0</v>
      </c>
      <c r="GW137" s="91" t="n">
        <f aca="false">IF(Tasks[[#This Row],[Task Name]]="",0,IF(OR(NOT(Tasks[[#This Row],[_IsLeaf]]=1),Tasks[[#This Row],[_IsMilestone]],N(Tasks[[#This Row],[Progress]])&gt;=1),0,IF(Tasks[[#This Row],[_DoneTo]]&gt;0,Tasks[[#This Row],[_DoneTo]]+1,Tasks[[#This Row],[Start]])))</f>
        <v>0</v>
      </c>
      <c r="GX137" s="91" t="n">
        <f aca="false">IF(Tasks[[#This Row],[_RemFrom]]=0,0,Tasks[[#This Row],[Finish]])</f>
        <v>0</v>
      </c>
      <c r="GY137" s="90" t="b">
        <f aca="false">IF(Tasks[[#This Row],[Task Name]]="",FALSE(),OR(NOT(BaselineSet),N(Tasks[[#This Row],[Baseline Start]])&gt;0))</f>
        <v>0</v>
      </c>
      <c r="GZ13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92" t="str">
        <f aca="false">IF(Tasks[[#This Row],[_IsLeaf]]=1,Tasks[[#This Row],[_Row]],"")</f>
        <v/>
      </c>
      <c r="HD137" s="92" t="str">
        <f aca="false">IFERROR(INDEX(Tasks[UID],SMALL(Tasks[_PickKey],Tasks[[#This Row],[_Row]]))&amp;" "&amp;INDEX(Tasks[Task Name],SMALL(Tasks[_PickKey],Tasks[[#This Row],[_Row]])),"")</f>
        <v/>
      </c>
      <c r="HE137" s="43" t="str">
        <f aca="false">IF(Tasks[[#This Row],[Task Name]]="","",IF(Tasks[[#This Row],[_IsSummary]],NETWORKDAYS.INTL(Tasks[[#This Row],[Start]],Tasks[[#This Row],[Finish]],WorkWeek,Holidays),N(Tasks[[#This Row],[_Days]])))</f>
        <v/>
      </c>
      <c r="HF137" s="43" t="n">
        <f aca="false">IF(Tasks[[#This Row],[Expected]]="",0,((Tasks[[#This Row],[Pessimistic]]-Tasks[[#This Row],[Optimistic]])/6)^2)</f>
        <v>0</v>
      </c>
      <c r="HG137" s="43" t="n">
        <f aca="false">IF(Tasks[[#This Row],[Expected]]="",0,Tasks[[#This Row],[Expected]]-N(Tasks[[#This Row],[_Days]]))</f>
        <v>0</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4"/>
      <c r="U138" s="23"/>
      <c r="V138" s="84"/>
      <c r="W138" s="23"/>
      <c r="X138" s="84"/>
      <c r="Y138" s="23"/>
      <c r="Z138" s="84"/>
      <c r="AA138" s="23"/>
      <c r="AB138" s="23"/>
      <c r="AC138" s="7"/>
      <c r="AD138" s="7"/>
      <c r="AE138" s="63" t="str">
        <f aca="false">IF(Tasks[[#This Row],[Task Name]]="","",IF(Tasks[[#This Row],[_IsSummary]],MIN(INDEX(Tasks[_ShownFcstStart],Tasks[[#This Row],[_Row]]+1):INDEX(Tasks[_ShownFcstStart],Tasks[[#This Row],[_Row]]+Tasks[[#This Row],[_Descendants]])),Tasks[[#This Row],[_ShownFcstStart]]))</f>
        <v/>
      </c>
      <c r="AF138" s="63"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8" s="7"/>
      <c r="AK138" s="22"/>
      <c r="AL138" s="23"/>
      <c r="AM138" s="7"/>
      <c r="AN138" s="47"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3" t="str">
        <f aca="false">IF(Tasks[[#This Row],[Task Name]]="","",IF(N(Tasks[[#This Row],[Baseline Start]])&gt;0,Tasks[[#This Row],[Baseline Start]],Tasks[[#This Row],[_CalcStart]]))</f>
        <v/>
      </c>
      <c r="AR138" s="63" t="str">
        <f aca="false">IF(Tasks[[#This Row],[Task Name]]="","",IF(N(Tasks[[#This Row],[Baseline Finish]])&gt;0,Tasks[[#This Row],[Baseline Finish]],Tasks[[#This Row],[_CalcFinish]]))</f>
        <v/>
      </c>
      <c r="AS138" s="47" t="str">
        <f aca="false">IF(Tasks[[#This Row],[Task Name]]="","",IF(Tasks[[#This Row],[Start]]&gt;=Tasks[[#This Row],[Planned Start]],NETWORKDAYS.INTL(Tasks[[#This Row],[Planned Start]],Tasks[[#This Row],[Start]],WorkWeek,Holidays)-1,1-NETWORKDAYS.INTL(Tasks[[#This Row],[Start]],Tasks[[#This Row],[Planned Start]],WorkWeek,Holidays)))</f>
        <v/>
      </c>
      <c r="AT138" s="63" t="str">
        <f aca="false">IF(Tasks[[#This Row],[Task Name]]="","",IF(Tasks[[#This Row],[_IsSummary]],MIN(INDEX(Tasks[_LeafLateStart],Tasks[[#This Row],[_Row]]+1):INDEX(Tasks[_LeafLateStart],Tasks[[#This Row],[_Row]]+Tasks[[#This Row],[_Descendants]])),Tasks[[#This Row],[_LeafLateStart]]))</f>
        <v/>
      </c>
      <c r="AU138" s="63" t="str">
        <f aca="false">IF(Tasks[[#This Row],[Task Name]]="","",IF(Tasks[[#This Row],[_IsSummary]],MAX(INDEX(Tasks[_LeafLateFinish],Tasks[[#This Row],[_Row]]+1):INDEX(Tasks[_LeafLateFinish],Tasks[[#This Row],[_Row]]+Tasks[[#This Row],[_Descendants]])),Tasks[[#This Row],[_LeafLateFinish]]))</f>
        <v/>
      </c>
      <c r="AV138" s="47"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5"/>
      <c r="BA1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6"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7"/>
      <c r="BJ138" s="22"/>
      <c r="BK138" s="47" t="str">
        <f aca="false">IF(OR(Tasks[[#This Row],[Task Name]]="",Tasks[[#This Row],[Baseline Duration]]=""),"",Tasks[[#This Row],[_SpanDays]]-N(Tasks[[#This Row],[Baseline Duration]]))</f>
        <v/>
      </c>
      <c r="BL138" s="86" t="str">
        <f aca="false">IF(OR(Tasks[[#This Row],[Task Name]]="",Tasks[[#This Row],[Baseline Work]]=""),"",Tasks[[#This Row],[Work]]-N(Tasks[[#This Row],[Baseline Work]]))</f>
        <v/>
      </c>
      <c r="BM138" s="63" t="str">
        <f aca="false">IF(Tasks[[#This Row],[Task Name]]="","",IF(OR(TakeBaseline="Yes",N(Tasks[[#This Row],[Baseline Start]])=0),Tasks[[#This Row],[Start]],Tasks[[#This Row],[Baseline Start]]))</f>
        <v/>
      </c>
      <c r="BN138" s="63" t="str">
        <f aca="false">IF(Tasks[[#This Row],[Task Name]]="","",IF(OR(TakeBaseline="Yes",N(Tasks[[#This Row],[Baseline Finish]])=0),Tasks[[#This Row],[Finish]],Tasks[[#This Row],[Baseline Finish]]))</f>
        <v/>
      </c>
      <c r="BO138" s="21" t="str">
        <f aca="false">IF(Tasks[[#This Row],[Task Name]]="","",IF(OR(TakeBaseline="Yes",N(Tasks[[#This Row],[Baseline Duration]])=0),Tasks[[#This Row],[_SpanDays]],Tasks[[#This Row],[Baseline Duration]]))</f>
        <v/>
      </c>
      <c r="BP138" s="86" t="str">
        <f aca="false">IF(Tasks[[#This Row],[Task Name]]="","",IF(OR(TakeBaseline="Yes",N(Tasks[[#This Row],[Baseline Work]])=0),Tasks[[#This Row],[Work]],Tasks[[#This Row],[Baseline Work]]))</f>
        <v/>
      </c>
      <c r="BQ138" s="7"/>
      <c r="BR138" s="7"/>
      <c r="BS138" s="22"/>
      <c r="BT138" s="88"/>
      <c r="BU138" s="23"/>
      <c r="BV138" s="23"/>
      <c r="BW138" s="23"/>
      <c r="BX138" s="89" t="str">
        <f aca="false">IF(AND(Tasks[[#This Row],[_IsLeaf]]=1,ISNUMBER(Tasks[[#This Row],[Optimistic]]),ISNUMBER(Tasks[[#This Row],[Pessimistic]])),ROUND((Tasks[[#This Row],[Optimistic]]+4*N(Tasks[[#This Row],[_Days]])+Tasks[[#This Row],[Pessimistic]])/6,1),"")</f>
        <v/>
      </c>
      <c r="BY138" s="87"/>
      <c r="BZ138" s="87"/>
      <c r="CA138" s="22"/>
      <c r="CB138" s="43" t="str">
        <f aca="false">IF(Tasks[[#This Row],[Task Name]]="","",MAX(1,N(Tasks[[#This Row],[Level]])))</f>
        <v/>
      </c>
      <c r="CC138" s="43" t="n">
        <f aca="false">ROW()-ROW(Tasks[[#Headers],[ID]])</f>
        <v>133</v>
      </c>
      <c r="CD138" s="43" t="n">
        <f aca="false">IF(OR(Tasks[[#This Row],[Task Name]]="",Tasks[[#This Row],[_Level]]&lt;=1),0,IFERROR(LOOKUP(2,1/(Tasks[[#Headers],[_Level]]:Tasks[[#This Row],[_Level]]=Tasks[[#This Row],[_Level]]-1),ROW(Tasks[[#Headers],[_Level]]:Tasks[[#This Row],[_Level]])),0))</f>
        <v>0</v>
      </c>
      <c r="CE138" s="43" t="n">
        <f aca="false">IFERROR(N(INDEX(Tasks[_Level],Tasks[[#This Row],[_Row]]+1)),0)</f>
        <v>0</v>
      </c>
      <c r="CF138" s="90" t="b">
        <f aca="false">AND(Tasks[[#This Row],[Task Name]]&lt;&gt;"",Tasks[[#This Row],[_NextLevel]]&gt;Tasks[[#This Row],[_Level]])</f>
        <v>0</v>
      </c>
      <c r="CG138" s="43" t="n">
        <f aca="false">IF(Tasks[[#This Row],[_IsSummary]],COUNTIF(Tasks[WBS],Tasks[[#This Row],[WBS]]&amp;".*"),0)</f>
        <v>0</v>
      </c>
      <c r="CH138" s="43" t="n">
        <f aca="false">IF(AND(Tasks[[#This Row],[Task Name]]&lt;&gt;"",NOT(Tasks[[#This Row],[_IsSummary]])),1,0)</f>
        <v>0</v>
      </c>
      <c r="CI138" s="43" t="n">
        <f aca="false">IF(N(Tasks[[#This Row],[_Pred1UID]])=0,0,IFERROR(MATCH(Tasks[[#This Row],[_Pred1UID]],Tasks[UID],0),-1))</f>
        <v>0</v>
      </c>
      <c r="CJ138" s="43" t="n">
        <f aca="false">IF(N(Tasks[[#This Row],[_Pred2UID]])=0,0,IFERROR(MATCH(Tasks[[#This Row],[_Pred2UID]],Tasks[UID],0),-1))</f>
        <v>0</v>
      </c>
      <c r="CK138" s="43" t="n">
        <f aca="false">IF(N(Tasks[[#This Row],[_Pred3UID]])=0,0,IFERROR(MATCH(Tasks[[#This Row],[_Pred3UID]],Tasks[UID],0),-1))</f>
        <v>0</v>
      </c>
      <c r="CL138" s="43" t="n">
        <f aca="false">IF(N(Tasks[[#This Row],[_Pred4UID]])=0,0,IFERROR(MATCH(Tasks[[#This Row],[_Pred4UID]],Tasks[UID],0),-1))</f>
        <v>0</v>
      </c>
      <c r="CM1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8" s="91" t="n">
        <f aca="false">IF(OR(Tasks[[#This Row],[_ConstraintCode]]=2,Tasks[[#This Row],[_ConstraintCode]]=3,Tasks[[#This Row],[_ConstraintCode]]=4,Tasks[[#This Row],[_ConstraintCode]]=6),Tasks[[#This Row],[_ConstraintStart]],0)</f>
        <v>0</v>
      </c>
      <c r="CP138" s="91" t="n">
        <f aca="false">IF(OR(Tasks[[#This Row],[_ConstraintCode]]=2,Tasks[[#This Row],[_ConstraintCode]]=3,Tasks[[#This Row],[_ConstraintCode]]=5,Tasks[[#This Row],[_ConstraintCode]]=7),Tasks[[#This Row],[_ConstraintStart]],2958465)</f>
        <v>2958465</v>
      </c>
      <c r="CQ1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91" t="str">
        <f aca="false">IF(NOT(Tasks[[#This Row],[_IsLeaf]]=1),"",IF(N(Tasks[[#This Row],[_Days]])&lt;=0,Tasks[[#This Row],[_LeafCalcStart]],WORKDAY.INTL(Tasks[[#This Row],[_LeafCalcStart]],Tasks[[#This Row],[_Days]]-1,WorkWeek,Holidays)))</f>
        <v/>
      </c>
      <c r="CS1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3" t="str">
        <f aca="false">IF(Tasks[[#This Row],[_Predecessors]]="","",TRIM(MID(SUBSTITUTE(SUBSTITUTE(SUBSTITUTE(UPPER(Tasks[[#This Row],[_Predecessors]]),";",",")," ",""),",",REPT(" ",99)),1,99)))</f>
        <v/>
      </c>
      <c r="CV138" s="43" t="str">
        <f aca="false">IF(Tasks[[#This Row],[_Pred1Text]]="","",IFERROR(VALUE(LEFT(Tasks[[#This Row],[_Pred1Text]],MIN(FIND("F",Tasks[[#This Row],[_Pred1Text]]&amp;"F"),FIND("S",Tasks[[#This Row],[_Pred1Text]]&amp;"S"),FIND("+",Tasks[[#This Row],[_Pred1Text]]&amp;"+"),FIND("-",Tasks[[#This Row],[_Pred1Text]]&amp;"-"))-1)),""))</f>
        <v/>
      </c>
      <c r="CW1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3" t="str">
        <f aca="false">IF(Tasks[[#This Row],[_Pred1Text]]="","",TRIM(MID(SUBSTITUTE(SUBSTITUTE(SUBSTITUTE(UPPER(Tasks[[#This Row],[_Predecessors]]),";",",")," ",""),",",REPT(" ",99)),100,99)))</f>
        <v/>
      </c>
      <c r="CZ138" s="43" t="str">
        <f aca="false">IF(Tasks[[#This Row],[_Pred2Text]]="","",IFERROR(VALUE(LEFT(Tasks[[#This Row],[_Pred2Text]],MIN(FIND("F",Tasks[[#This Row],[_Pred2Text]]&amp;"F"),FIND("S",Tasks[[#This Row],[_Pred2Text]]&amp;"S"),FIND("+",Tasks[[#This Row],[_Pred2Text]]&amp;"+"),FIND("-",Tasks[[#This Row],[_Pred2Text]]&amp;"-"))-1)),""))</f>
        <v/>
      </c>
      <c r="DA1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3" t="str">
        <f aca="false">IF(Tasks[[#This Row],[_Pred2Text]]="","",TRIM(MID(SUBSTITUTE(SUBSTITUTE(SUBSTITUTE(UPPER(Tasks[[#This Row],[_Predecessors]]),";",",")," ",""),",",REPT(" ",99)),199,99)))</f>
        <v/>
      </c>
      <c r="DD138" s="43" t="str">
        <f aca="false">IF(Tasks[[#This Row],[_Pred3Text]]="","",IFERROR(VALUE(LEFT(Tasks[[#This Row],[_Pred3Text]],MIN(FIND("F",Tasks[[#This Row],[_Pred3Text]]&amp;"F"),FIND("S",Tasks[[#This Row],[_Pred3Text]]&amp;"S"),FIND("+",Tasks[[#This Row],[_Pred3Text]]&amp;"+"),FIND("-",Tasks[[#This Row],[_Pred3Text]]&amp;"-"))-1)),""))</f>
        <v/>
      </c>
      <c r="DE1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3" t="str">
        <f aca="false">IF(Tasks[[#This Row],[_Pred3Text]]="","",TRIM(MID(SUBSTITUTE(SUBSTITUTE(SUBSTITUTE(UPPER(Tasks[[#This Row],[_Predecessors]]),";",",")," ",""),",",REPT(" ",99)),298,99)))</f>
        <v/>
      </c>
      <c r="DH138" s="43" t="str">
        <f aca="false">IF(Tasks[[#This Row],[_Pred4Text]]="","",IFERROR(VALUE(LEFT(Tasks[[#This Row],[_Pred4Text]],MIN(FIND("F",Tasks[[#This Row],[_Pred4Text]]&amp;"F"),FIND("S",Tasks[[#This Row],[_Pred4Text]]&amp;"S"),FIND("+",Tasks[[#This Row],[_Pred4Text]]&amp;"+"),FIND("-",Tasks[[#This Row],[_Pred4Text]]&amp;"-"))-1)),""))</f>
        <v/>
      </c>
      <c r="DI1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3" t="str">
        <f aca="false">IF(OR(Tasks[[#This Row],[Task Name]]="",Tasks[[#This Row],[_Resources]]=""),"",TRIM(MID(SUBSTITUTE(Tasks[[#This Row],[_Resources]],",",REPT(" ",99)),1,99)))</f>
        <v/>
      </c>
      <c r="DL138" s="43" t="str">
        <f aca="false">IF(Tasks[[#This Row],[_Res1Text]]="","",TRIM(MID(SUBSTITUTE(Tasks[[#This Row],[_Resources]],",",REPT(" ",99)),100,99)))</f>
        <v/>
      </c>
      <c r="DM138" s="43" t="str">
        <f aca="false">IF(Tasks[[#This Row],[_Res2Text]]="","",TRIM(MID(SUBSTITUTE(Tasks[[#This Row],[_Resources]],",",REPT(" ",99)),199,99)))</f>
        <v/>
      </c>
      <c r="DN138" s="43" t="str">
        <f aca="false">IF(Tasks[[#This Row],[_Res3Text]]="","",TRIM(MID(SUBSTITUTE(Tasks[[#This Row],[_Resources]],",",REPT(" ",99)),298,99)))</f>
        <v/>
      </c>
      <c r="DO138" s="43" t="n">
        <f aca="false">IF(Tasks[[#This Row],[_Res1Text]]="",0,IFERROR(MATCH(TRIM(LEFT(Tasks[[#This Row],[_Res1Text]],FIND("[",Tasks[[#This Row],[_Res1Text]]&amp;"[")-1)),res_Name,0),IFERROR(MATCH(TRIM(LEFT(Tasks[[#This Row],[_Res1Text]],FIND("[",Tasks[[#This Row],[_Res1Text]]&amp;"[")-1)),res_Initials,0),0)))</f>
        <v>0</v>
      </c>
      <c r="DP138" s="43" t="n">
        <f aca="false">IF(Tasks[[#This Row],[_Res2Text]]="",0,IFERROR(MATCH(TRIM(LEFT(Tasks[[#This Row],[_Res2Text]],FIND("[",Tasks[[#This Row],[_Res2Text]]&amp;"[")-1)),res_Name,0),IFERROR(MATCH(TRIM(LEFT(Tasks[[#This Row],[_Res2Text]],FIND("[",Tasks[[#This Row],[_Res2Text]]&amp;"[")-1)),res_Initials,0),0)))</f>
        <v>0</v>
      </c>
      <c r="DQ138" s="43" t="n">
        <f aca="false">IF(Tasks[[#This Row],[_Res3Text]]="",0,IFERROR(MATCH(TRIM(LEFT(Tasks[[#This Row],[_Res3Text]],FIND("[",Tasks[[#This Row],[_Res3Text]]&amp;"[")-1)),res_Name,0),IFERROR(MATCH(TRIM(LEFT(Tasks[[#This Row],[_Res3Text]],FIND("[",Tasks[[#This Row],[_Res3Text]]&amp;"[")-1)),res_Initials,0),0)))</f>
        <v>0</v>
      </c>
      <c r="DR138" s="43" t="n">
        <f aca="false">IF(Tasks[[#This Row],[_Res4Text]]="",0,IFERROR(MATCH(TRIM(LEFT(Tasks[[#This Row],[_Res4Text]],FIND("[",Tasks[[#This Row],[_Res4Text]]&amp;"[")-1)),res_Name,0),IFERROR(MATCH(TRIM(LEFT(Tasks[[#This Row],[_Res4Text]],FIND("[",Tasks[[#This Row],[_Res4Text]]&amp;"[")-1)),res_Initials,0),0)))</f>
        <v>0</v>
      </c>
      <c r="DS138" s="43" t="str">
        <f aca="false">IF(Tasks[[#This Row],[_Res1Text]]="","",IF(Tasks[[#This Row],[_Res1Row]]&gt;0,INDEX(res_Name,Tasks[[#This Row],[_Res1Row]]),TRIM(LEFT(Tasks[[#This Row],[_Res1Text]],FIND("[",Tasks[[#This Row],[_Res1Text]]&amp;"[")-1))))</f>
        <v/>
      </c>
      <c r="DT1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3" t="n">
        <f aca="false">IF(NOT(Tasks[[#This Row],[_IsLeaf]]=1),0,(Tasks[[#This Row],[_Resource1]]&lt;&gt;"")+(Tasks[[#This Row],[_Res2]]&lt;&gt;"")+(Tasks[[#This Row],[_Res3]]&lt;&gt;"")+(Tasks[[#This Row],[_Res4]]&lt;&gt;""))</f>
        <v>0</v>
      </c>
      <c r="DV138" s="43" t="str">
        <f aca="false">IF(Tasks[[#This Row],[_Res2Text]]="","",IF(Tasks[[#This Row],[_Res2Row]]&gt;0,INDEX(res_Name,Tasks[[#This Row],[_Res2Row]]),TRIM(LEFT(Tasks[[#This Row],[_Res2Text]],FIND("[",Tasks[[#This Row],[_Res2Text]]&amp;"[")-1))))</f>
        <v/>
      </c>
      <c r="DW1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3" t="n">
        <f aca="false">IF(OR(NOT(Tasks[[#This Row],[_IsLeaf]]=1),Tasks[[#This Row],[_Res2Row]]=0),0,N(Tasks[[#This Row],[_Days]])*HoursPerDay*IF(Tasks[[#This Row],[_Res2Units]]="",DefaultUnits,Tasks[[#This Row],[_Res2Units]]))</f>
        <v>0</v>
      </c>
      <c r="DY138" s="43" t="n">
        <f aca="false">IF(AND(AND(Tasks[[#This Row],[_IsLeaf]]=1,Tasks[[#This Row],[_LeafTotalWork]]&gt;0),Tasks[[#This Row],[_Res2Work]]&gt;0),Tasks[[#This Row],[_Res2Work]]/(Tasks[[#This Row],[_FinishWorkday]]-Tasks[[#This Row],[_StartWorkday]]+1),0)</f>
        <v>0</v>
      </c>
      <c r="DZ138" s="43" t="n">
        <f aca="false">Tasks[[#This Row],[_Res2WorkPerWD]]*MAX(0,Tasks[[#This Row],[_StartWorkday]]-1)</f>
        <v>0</v>
      </c>
      <c r="EA138" s="43" t="n">
        <f aca="false">Tasks[[#This Row],[_Res2Work]]*Tasks[[#This Row],[_LeafProgress]]</f>
        <v>0</v>
      </c>
      <c r="EB138" s="43" t="str">
        <f aca="false">IF(Tasks[[#This Row],[_Res3Text]]="","",IF(Tasks[[#This Row],[_Res3Row]]&gt;0,INDEX(res_Name,Tasks[[#This Row],[_Res3Row]]),TRIM(LEFT(Tasks[[#This Row],[_Res3Text]],FIND("[",Tasks[[#This Row],[_Res3Text]]&amp;"[")-1))))</f>
        <v/>
      </c>
      <c r="EC1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3" t="n">
        <f aca="false">IF(OR(NOT(Tasks[[#This Row],[_IsLeaf]]=1),Tasks[[#This Row],[_Res3Row]]=0),0,N(Tasks[[#This Row],[_Days]])*HoursPerDay*IF(Tasks[[#This Row],[_Res3Units]]="",DefaultUnits,Tasks[[#This Row],[_Res3Units]]))</f>
        <v>0</v>
      </c>
      <c r="EE138" s="43" t="n">
        <f aca="false">IF(AND(AND(Tasks[[#This Row],[_IsLeaf]]=1,Tasks[[#This Row],[_LeafTotalWork]]&gt;0),Tasks[[#This Row],[_Res3Work]]&gt;0),Tasks[[#This Row],[_Res3Work]]/(Tasks[[#This Row],[_FinishWorkday]]-Tasks[[#This Row],[_StartWorkday]]+1),0)</f>
        <v>0</v>
      </c>
      <c r="EF138" s="43" t="n">
        <f aca="false">Tasks[[#This Row],[_Res3WorkPerWD]]*MAX(0,Tasks[[#This Row],[_StartWorkday]]-1)</f>
        <v>0</v>
      </c>
      <c r="EG138" s="43" t="n">
        <f aca="false">Tasks[[#This Row],[_Res3Work]]*Tasks[[#This Row],[_LeafProgress]]</f>
        <v>0</v>
      </c>
      <c r="EH138" s="43" t="str">
        <f aca="false">IF(Tasks[[#This Row],[_Res4Text]]="","",IF(Tasks[[#This Row],[_Res4Row]]&gt;0,INDEX(res_Name,Tasks[[#This Row],[_Res4Row]]),TRIM(LEFT(Tasks[[#This Row],[_Res4Text]],FIND("[",Tasks[[#This Row],[_Res4Text]]&amp;"[")-1))))</f>
        <v/>
      </c>
      <c r="EI1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3" t="n">
        <f aca="false">IF(OR(NOT(Tasks[[#This Row],[_IsLeaf]]=1),Tasks[[#This Row],[_Res4Row]]=0),0,N(Tasks[[#This Row],[_Days]])*HoursPerDay*IF(Tasks[[#This Row],[_Res4Units]]="",DefaultUnits,Tasks[[#This Row],[_Res4Units]]))</f>
        <v>0</v>
      </c>
      <c r="EK138" s="43" t="n">
        <f aca="false">IF(AND(AND(Tasks[[#This Row],[_IsLeaf]]=1,Tasks[[#This Row],[_LeafTotalWork]]&gt;0),Tasks[[#This Row],[_Res4Work]]&gt;0),Tasks[[#This Row],[_Res4Work]]/(Tasks[[#This Row],[_FinishWorkday]]-Tasks[[#This Row],[_StartWorkday]]+1),0)</f>
        <v>0</v>
      </c>
      <c r="EL138" s="43" t="n">
        <f aca="false">Tasks[[#This Row],[_Res4WorkPerWD]]*MAX(0,Tasks[[#This Row],[_StartWorkday]]-1)</f>
        <v>0</v>
      </c>
      <c r="EM138" s="43" t="n">
        <f aca="false">Tasks[[#This Row],[_Res4Work]]*Tasks[[#This Row],[_LeafProgress]]</f>
        <v>0</v>
      </c>
      <c r="EN138" s="43" t="n">
        <f aca="false">IF(ISNUMBER(Tasks[[#This Row],[% Complete]]),Tasks[[#This Row],[% Complete]],IF(Tasks[[#This Row],[Stage]]="",0,IFERROR(INDEX(stg_Pct,MATCH(Tasks[[#This Row],[Stage]],stg_Name,0)),0)))</f>
        <v>0</v>
      </c>
      <c r="EO138" s="43" t="n">
        <f aca="false">IF(NOT(Tasks[[#This Row],[_IsLeaf]]=1),0,IF(N(Tasks[[#This Row],[Actual Finish]])&gt;0,1,MIN(1,Tasks[[#This Row],[_Pct]])))</f>
        <v>0</v>
      </c>
      <c r="EP138" s="43" t="n">
        <f aca="false">IF(OR(NOT(Tasks[[#This Row],[_IsLeaf]]=1),Tasks[[#This Row],[_Res1Row]]=0),0,N(Tasks[[#This Row],[_Days]])*HoursPerDay*IF(Tasks[[#This Row],[_Units1]]="",DefaultUnits,Tasks[[#This Row],[_Units1]]))</f>
        <v>0</v>
      </c>
      <c r="EQ138" s="43" t="n">
        <f aca="false">Tasks[[#This Row],[_LeafWork]]+Tasks[[#This Row],[_Res2Work]]+Tasks[[#This Row],[_Res3Work]]+Tasks[[#This Row],[_Res4Work]]</f>
        <v>0</v>
      </c>
      <c r="ER1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3" t="n">
        <f aca="false">IF(NOT(Tasks[[#This Row],[_IsLeaf]]=1),0,MAX(_xlfn.MAXIFS(Tasks[_Row],Tasks[_Pred1UID],Tasks[[#This Row],[UID]]),_xlfn.MAXIFS(Tasks[_Row],Tasks[_Pred2UID],Tasks[[#This Row],[UID]]),_xlfn.MAXIFS(Tasks[_Row],Tasks[_Pred3UID],Tasks[[#This Row],[UID]]),_xlfn.MAXIFS(Tasks[_Row],Tasks[_Pred4UID],Tasks[[#This Row],[UID]])))</f>
        <v>0</v>
      </c>
      <c r="FA1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91" t="str">
        <f aca="false">IF(NOT(Tasks[[#This Row],[_IsLeaf]]=1),"",IF(N(Tasks[[#This Row],[_Days]])&lt;=0,Tasks[[#This Row],[_LeafLateFinish]],WORKDAY.INTL(Tasks[[#This Row],[_LeafLateFinish]],-(Tasks[[#This Row],[_Days]]-1),WorkWeek,Holidays)))</f>
        <v/>
      </c>
      <c r="FD1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8" s="90" t="b">
        <f aca="false">AND(Tasks[[#This Row],[_IsLeaf]]=1,Tasks[[#This Row],[_LeafProgress]]&lt;1,N(Tasks[[#This Row],[_LeafTotalSlack]])&lt;=CriticalSlackDays)</f>
        <v>0</v>
      </c>
      <c r="FF138" s="43" t="n">
        <f aca="false">IF(AND(Tasks[[#This Row],[_IsLeaf]]=1,Tasks[[#This Row],[_ConstraintCode]]=1,Tasks[[#This Row],[Mode]]&lt;&gt;"Manual",N(Tasks[[#This Row],[Actual Start]])=0),MAX(0,N(Tasks[[#This Row],[Free Slack]])),0)</f>
        <v>0</v>
      </c>
      <c r="FG138" s="91" t="str">
        <f aca="false">IF(NOT(Tasks[[#This Row],[_IsLeaf]]=1),"",IF(Tasks[[#This Row],[_AlapShift]]=0,Tasks[[#This Row],[_LeafCalcStart]],WORKDAY.INTL(Tasks[[#This Row],[_LeafCalcStart]],Tasks[[#This Row],[_AlapShift]],WorkWeek,Holidays)))</f>
        <v/>
      </c>
      <c r="FH138" s="91" t="str">
        <f aca="false">IF(NOT(Tasks[[#This Row],[_IsLeaf]]=1),"",IF(Tasks[[#This Row],[_AlapShift]]=0,Tasks[[#This Row],[_LeafCalcFinish]],WORKDAY.INTL(Tasks[[#This Row],[_LeafCalcFinish]],Tasks[[#This Row],[_AlapShift]],WorkWeek,Holidays)))</f>
        <v/>
      </c>
      <c r="FI138" s="91" t="str">
        <f aca="false">IF(NOT(Tasks[[#This Row],[_IsLeaf]]=1),"",IF(Tasks[[#This Row],[_AlapShift]]=0,Tasks[[#This Row],[_LeafFcstStart]],WORKDAY.INTL(Tasks[[#This Row],[_LeafFcstStart]],Tasks[[#This Row],[_AlapShift]],WorkWeek,Holidays)))</f>
        <v/>
      </c>
      <c r="FJ138" s="91" t="str">
        <f aca="false">IF(NOT(Tasks[[#This Row],[_IsLeaf]]=1),"",IF(Tasks[[#This Row],[_AlapShift]]=0,Tasks[[#This Row],[_LeafFcstFinish]],WORKDAY.INTL(Tasks[[#This Row],[_LeafFcstFinish]],Tasks[[#This Row],[_AlapShift]],WorkWeek,Holidays)))</f>
        <v/>
      </c>
      <c r="FK138" s="91" t="str">
        <f aca="false">IF(Tasks[[#This Row],[Task Name]]="","",IF(Tasks[[#This Row],[_IsSummary]],MIN(INDEX(Tasks[_ShownCalcStart],Tasks[[#This Row],[_Row]]+1):INDEX(Tasks[_ShownCalcStart],Tasks[[#This Row],[_Row]]+Tasks[[#This Row],[_Descendants]])),Tasks[[#This Row],[_ShownCalcStart]]))</f>
        <v/>
      </c>
      <c r="FL138" s="91" t="str">
        <f aca="false">IF(Tasks[[#This Row],[Task Name]]="","",IF(Tasks[[#This Row],[_IsSummary]],MAX(INDEX(Tasks[_ShownCalcFinish],Tasks[[#This Row],[_Row]]+1):INDEX(Tasks[_ShownCalcFinish],Tasks[[#This Row],[_Row]]+Tasks[[#This Row],[_Descendants]])),Tasks[[#This Row],[_ShownCalcFinish]]))</f>
        <v/>
      </c>
      <c r="FM1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8" s="43" t="n">
        <f aca="false">IF(AND(Tasks[[#This Row],[_IsLeaf]]=1,Tasks[[#This Row],[_LeafTotalWork]]&gt;0),NETWORKDAYS.INTL(ProjectStart,Tasks[[#This Row],[_ShownFcstStart]],WorkWeek,Holidays),0)</f>
        <v>0</v>
      </c>
      <c r="FZ138" s="43" t="n">
        <f aca="false">IF(AND(Tasks[[#This Row],[_IsLeaf]]=1,Tasks[[#This Row],[_LeafTotalWork]]&gt;0),MAX(Tasks[[#This Row],[_StartWorkday]],NETWORKDAYS.INTL(ProjectStart,Tasks[[#This Row],[_ShownFcstFinish]],WorkWeek,Holidays)),0)</f>
        <v>0</v>
      </c>
      <c r="GA138" s="43" t="n">
        <f aca="false">IF(AND(Tasks[[#This Row],[_IsLeaf]]=1,Tasks[[#This Row],[_LeafTotalWork]]&gt;0),Tasks[[#This Row],[_LeafWork]]/(Tasks[[#This Row],[_FinishWorkday]]-Tasks[[#This Row],[_StartWorkday]]+1),0)</f>
        <v>0</v>
      </c>
      <c r="GB138" s="43" t="n">
        <f aca="false">Tasks[[#This Row],[_WorkPerWorkday]]*(Tasks[[#This Row],[_StartWorkday]]-1)</f>
        <v>-0</v>
      </c>
      <c r="GC138" s="43" t="n">
        <f aca="false">IF(Tasks[[#This Row],[_IsLeaf]]=1,MAX(N(Tasks[[#This Row],[_Days]]),0.1),0)</f>
        <v>0</v>
      </c>
      <c r="GD138" s="43" t="n">
        <f aca="false">Tasks[[#This Row],[_WeightDur]]*Tasks[[#This Row],[_LeafProgress]]</f>
        <v>0</v>
      </c>
      <c r="GE138" s="43" t="n">
        <f aca="false">Tasks[[#This Row],[_WeightDur]]*Tasks[[#This Row],[_PlannedPct]]</f>
        <v>0</v>
      </c>
      <c r="GF1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3" t="str">
        <f aca="false">IF(AND(Tasks[[#This Row],[_IsLeaf]]=1,N(Tasks[[#This Row],[_Days]])=0,Tasks[[#This Row],[_LeafProgress]]&lt;1),Tasks[[#This Row],[_ShownFcstFinish]]+Tasks[[#This Row],[_Row]]/100000,"")</f>
        <v/>
      </c>
      <c r="GH1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8" s="43" t="str">
        <f aca="false">IF(Tasks[[#This Row],[Task Name]]="","",LEFT(Tasks[[#This Row],[WBS]],FIND(".",Tasks[[#This Row],[WBS]]&amp;".")-1))</f>
        <v/>
      </c>
      <c r="GJ138" s="43" t="str">
        <f aca="false">IF(AND(Tasks[[#This Row],[Task Name]]&lt;&gt;"",Tasks[[#This Row],[_Level]]=1),Tasks[[#This Row],[_Row]],"")</f>
        <v/>
      </c>
      <c r="GK138" s="43" t="str">
        <f aca="false">IF(AND(Tasks[[#This Row],[_IsLeaf]]=1,N(Tasks[[#This Row],[_Days]])=0),Tasks[[#This Row],[Planned Finish]]+Tasks[[#This Row],[_Row]]/100000,"")</f>
        <v/>
      </c>
      <c r="GL138" s="43" t="str">
        <f aca="false">IF(AND(Tasks[[#This Row],[_IsLeaf]]=1,Tasks[[#This Row],[_LeafProgress]]&lt;1,OR(N(Tasks[[#This Row],[Finish Var]])&gt;0,Tasks[[#This Row],[Status]]="Late Start")),MAX(0,Tasks[[#This Row],[Finish Var]])+1-Tasks[[#This Row],[_Row]]/1000000,"")</f>
        <v/>
      </c>
      <c r="GM138" s="43" t="str">
        <f aca="false">IF(AND(Tasks[[#This Row],[_IsLeaf]]=1,N(Tasks[[#This Row],[Actual Start]])=0,Tasks[[#This Row],[_ShownFcstStart]]&gt;=StatusDate,Tasks[[#This Row],[_ShownFcstStart]]&lt;=LookaheadEnd),Tasks[[#This Row],[_ShownFcstStart]]+Tasks[[#This Row],[_Row]]/100000,"")</f>
        <v/>
      </c>
      <c r="GN138" s="43" t="str">
        <f aca="false">IF(AND(Tasks[[#This Row],[_IsLeaf]]=1,Tasks[[#This Row],[_LeafProgress]]&lt;1,Tasks[[#This Row],[_ShownFcstFinish]]&gt;=StatusDate,Tasks[[#This Row],[_ShownFcstFinish]]&lt;=LookaheadEnd),Tasks[[#This Row],[_ShownFcstFinish]]+Tasks[[#This Row],[_Row]]/100000,"")</f>
        <v/>
      </c>
      <c r="GO138" s="43" t="str">
        <f aca="false">IF(Tasks[[#This Row],[_LeafCritical]],Tasks[[#This Row],[_ShownFcstStart]]+Tasks[[#This Row],[_Row]]/100000,"")</f>
        <v/>
      </c>
      <c r="GP138" s="43" t="n">
        <f aca="false">Tasks[[#This Row],[_LeafWork]]*Tasks[[#This Row],[_LeafProgress]]</f>
        <v>0</v>
      </c>
      <c r="GQ138" s="91" t="str">
        <f aca="false">IF(AND(Tasks[[#This Row],[_IsLeaf]]=1,Tasks[[#This Row],[_LeafProgress]]&gt;=1),IF(N(Tasks[[#This Row],[Actual Finish]])&gt;0,Tasks[[#This Row],[Actual Finish]],Tasks[[#This Row],[_ShownFcstFinish]]),"")</f>
        <v/>
      </c>
      <c r="GR138" s="43" t="n">
        <f aca="false">IF(Tasks[[#This Row],[_IsLeaf]]=1,N(Tasks[[#This Row],[Story Points]]),0)</f>
        <v>0</v>
      </c>
      <c r="GS138" s="43" t="str">
        <f aca="false">""</f>
        <v/>
      </c>
      <c r="GT138" s="90" t="b">
        <f aca="false">IF(Tasks[[#This Row],[Task Name]]="",FALSE(),AND(Tasks[[#This Row],[_IsLeaf]]=1,N(Tasks[[#This Row],[_Days]])=0))</f>
        <v>0</v>
      </c>
      <c r="GU138" s="91" t="n">
        <f aca="false">IF(Tasks[[#This Row],[Task Name]]="",0,IF(AND(Tasks[[#This Row],[_IsLeaf]]=1,NOT(Tasks[[#This Row],[_IsMilestone]]),N(Tasks[[#This Row],[Progress]])&gt;0),Tasks[[#This Row],[Start]],0))</f>
        <v>0</v>
      </c>
      <c r="GV138" s="91" t="n">
        <f aca="false">IF(Tasks[[#This Row],[_DoneFrom]]=0,0,IF(Tasks[[#This Row],[Progress]]&gt;=1,Tasks[[#This Row],[Finish]],MAX(Tasks[[#This Row],[_DoneFrom]],Tasks[[#This Row],[Start]]+ROUND((Tasks[[#This Row],[Finish]]-Tasks[[#This Row],[Start]]+1)*Tasks[[#This Row],[Progress]],0)-1)))</f>
        <v>0</v>
      </c>
      <c r="GW138" s="91" t="n">
        <f aca="false">IF(Tasks[[#This Row],[Task Name]]="",0,IF(OR(NOT(Tasks[[#This Row],[_IsLeaf]]=1),Tasks[[#This Row],[_IsMilestone]],N(Tasks[[#This Row],[Progress]])&gt;=1),0,IF(Tasks[[#This Row],[_DoneTo]]&gt;0,Tasks[[#This Row],[_DoneTo]]+1,Tasks[[#This Row],[Start]])))</f>
        <v>0</v>
      </c>
      <c r="GX138" s="91" t="n">
        <f aca="false">IF(Tasks[[#This Row],[_RemFrom]]=0,0,Tasks[[#This Row],[Finish]])</f>
        <v>0</v>
      </c>
      <c r="GY138" s="90" t="b">
        <f aca="false">IF(Tasks[[#This Row],[Task Name]]="",FALSE(),OR(NOT(BaselineSet),N(Tasks[[#This Row],[Baseline Start]])&gt;0))</f>
        <v>0</v>
      </c>
      <c r="GZ13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92" t="str">
        <f aca="false">IF(Tasks[[#This Row],[_IsLeaf]]=1,Tasks[[#This Row],[_Row]],"")</f>
        <v/>
      </c>
      <c r="HD138" s="92" t="str">
        <f aca="false">IFERROR(INDEX(Tasks[UID],SMALL(Tasks[_PickKey],Tasks[[#This Row],[_Row]]))&amp;" "&amp;INDEX(Tasks[Task Name],SMALL(Tasks[_PickKey],Tasks[[#This Row],[_Row]])),"")</f>
        <v/>
      </c>
      <c r="HE138" s="43" t="str">
        <f aca="false">IF(Tasks[[#This Row],[Task Name]]="","",IF(Tasks[[#This Row],[_IsSummary]],NETWORKDAYS.INTL(Tasks[[#This Row],[Start]],Tasks[[#This Row],[Finish]],WorkWeek,Holidays),N(Tasks[[#This Row],[_Days]])))</f>
        <v/>
      </c>
      <c r="HF138" s="43" t="n">
        <f aca="false">IF(Tasks[[#This Row],[Expected]]="",0,((Tasks[[#This Row],[Pessimistic]]-Tasks[[#This Row],[Optimistic]])/6)^2)</f>
        <v>0</v>
      </c>
      <c r="HG138" s="43" t="n">
        <f aca="false">IF(Tasks[[#This Row],[Expected]]="",0,Tasks[[#This Row],[Expected]]-N(Tasks[[#This Row],[_Days]]))</f>
        <v>0</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4"/>
      <c r="U139" s="23"/>
      <c r="V139" s="84"/>
      <c r="W139" s="23"/>
      <c r="X139" s="84"/>
      <c r="Y139" s="23"/>
      <c r="Z139" s="84"/>
      <c r="AA139" s="23"/>
      <c r="AB139" s="23"/>
      <c r="AC139" s="7"/>
      <c r="AD139" s="7"/>
      <c r="AE139" s="63" t="str">
        <f aca="false">IF(Tasks[[#This Row],[Task Name]]="","",IF(Tasks[[#This Row],[_IsSummary]],MIN(INDEX(Tasks[_ShownFcstStart],Tasks[[#This Row],[_Row]]+1):INDEX(Tasks[_ShownFcstStart],Tasks[[#This Row],[_Row]]+Tasks[[#This Row],[_Descendants]])),Tasks[[#This Row],[_ShownFcstStart]]))</f>
        <v/>
      </c>
      <c r="AF139" s="63"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9" s="7"/>
      <c r="AK139" s="22"/>
      <c r="AL139" s="23"/>
      <c r="AM139" s="7"/>
      <c r="AN139" s="47"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3" t="str">
        <f aca="false">IF(Tasks[[#This Row],[Task Name]]="","",IF(N(Tasks[[#This Row],[Baseline Start]])&gt;0,Tasks[[#This Row],[Baseline Start]],Tasks[[#This Row],[_CalcStart]]))</f>
        <v/>
      </c>
      <c r="AR139" s="63" t="str">
        <f aca="false">IF(Tasks[[#This Row],[Task Name]]="","",IF(N(Tasks[[#This Row],[Baseline Finish]])&gt;0,Tasks[[#This Row],[Baseline Finish]],Tasks[[#This Row],[_CalcFinish]]))</f>
        <v/>
      </c>
      <c r="AS139" s="47" t="str">
        <f aca="false">IF(Tasks[[#This Row],[Task Name]]="","",IF(Tasks[[#This Row],[Start]]&gt;=Tasks[[#This Row],[Planned Start]],NETWORKDAYS.INTL(Tasks[[#This Row],[Planned Start]],Tasks[[#This Row],[Start]],WorkWeek,Holidays)-1,1-NETWORKDAYS.INTL(Tasks[[#This Row],[Start]],Tasks[[#This Row],[Planned Start]],WorkWeek,Holidays)))</f>
        <v/>
      </c>
      <c r="AT139" s="63" t="str">
        <f aca="false">IF(Tasks[[#This Row],[Task Name]]="","",IF(Tasks[[#This Row],[_IsSummary]],MIN(INDEX(Tasks[_LeafLateStart],Tasks[[#This Row],[_Row]]+1):INDEX(Tasks[_LeafLateStart],Tasks[[#This Row],[_Row]]+Tasks[[#This Row],[_Descendants]])),Tasks[[#This Row],[_LeafLateStart]]))</f>
        <v/>
      </c>
      <c r="AU139" s="63" t="str">
        <f aca="false">IF(Tasks[[#This Row],[Task Name]]="","",IF(Tasks[[#This Row],[_IsSummary]],MAX(INDEX(Tasks[_LeafLateFinish],Tasks[[#This Row],[_Row]]+1):INDEX(Tasks[_LeafLateFinish],Tasks[[#This Row],[_Row]]+Tasks[[#This Row],[_Descendants]])),Tasks[[#This Row],[_LeafLateFinish]]))</f>
        <v/>
      </c>
      <c r="AV139" s="47"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5"/>
      <c r="BA1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6"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7"/>
      <c r="BJ139" s="22"/>
      <c r="BK139" s="47" t="str">
        <f aca="false">IF(OR(Tasks[[#This Row],[Task Name]]="",Tasks[[#This Row],[Baseline Duration]]=""),"",Tasks[[#This Row],[_SpanDays]]-N(Tasks[[#This Row],[Baseline Duration]]))</f>
        <v/>
      </c>
      <c r="BL139" s="86" t="str">
        <f aca="false">IF(OR(Tasks[[#This Row],[Task Name]]="",Tasks[[#This Row],[Baseline Work]]=""),"",Tasks[[#This Row],[Work]]-N(Tasks[[#This Row],[Baseline Work]]))</f>
        <v/>
      </c>
      <c r="BM139" s="63" t="str">
        <f aca="false">IF(Tasks[[#This Row],[Task Name]]="","",IF(OR(TakeBaseline="Yes",N(Tasks[[#This Row],[Baseline Start]])=0),Tasks[[#This Row],[Start]],Tasks[[#This Row],[Baseline Start]]))</f>
        <v/>
      </c>
      <c r="BN139" s="63" t="str">
        <f aca="false">IF(Tasks[[#This Row],[Task Name]]="","",IF(OR(TakeBaseline="Yes",N(Tasks[[#This Row],[Baseline Finish]])=0),Tasks[[#This Row],[Finish]],Tasks[[#This Row],[Baseline Finish]]))</f>
        <v/>
      </c>
      <c r="BO139" s="21" t="str">
        <f aca="false">IF(Tasks[[#This Row],[Task Name]]="","",IF(OR(TakeBaseline="Yes",N(Tasks[[#This Row],[Baseline Duration]])=0),Tasks[[#This Row],[_SpanDays]],Tasks[[#This Row],[Baseline Duration]]))</f>
        <v/>
      </c>
      <c r="BP139" s="86" t="str">
        <f aca="false">IF(Tasks[[#This Row],[Task Name]]="","",IF(OR(TakeBaseline="Yes",N(Tasks[[#This Row],[Baseline Work]])=0),Tasks[[#This Row],[Work]],Tasks[[#This Row],[Baseline Work]]))</f>
        <v/>
      </c>
      <c r="BQ139" s="7"/>
      <c r="BR139" s="7"/>
      <c r="BS139" s="22"/>
      <c r="BT139" s="88"/>
      <c r="BU139" s="23"/>
      <c r="BV139" s="23"/>
      <c r="BW139" s="23"/>
      <c r="BX139" s="89" t="str">
        <f aca="false">IF(AND(Tasks[[#This Row],[_IsLeaf]]=1,ISNUMBER(Tasks[[#This Row],[Optimistic]]),ISNUMBER(Tasks[[#This Row],[Pessimistic]])),ROUND((Tasks[[#This Row],[Optimistic]]+4*N(Tasks[[#This Row],[_Days]])+Tasks[[#This Row],[Pessimistic]])/6,1),"")</f>
        <v/>
      </c>
      <c r="BY139" s="87"/>
      <c r="BZ139" s="87"/>
      <c r="CA139" s="22"/>
      <c r="CB139" s="43" t="str">
        <f aca="false">IF(Tasks[[#This Row],[Task Name]]="","",MAX(1,N(Tasks[[#This Row],[Level]])))</f>
        <v/>
      </c>
      <c r="CC139" s="43" t="n">
        <f aca="false">ROW()-ROW(Tasks[[#Headers],[ID]])</f>
        <v>134</v>
      </c>
      <c r="CD139" s="43" t="n">
        <f aca="false">IF(OR(Tasks[[#This Row],[Task Name]]="",Tasks[[#This Row],[_Level]]&lt;=1),0,IFERROR(LOOKUP(2,1/(Tasks[[#Headers],[_Level]]:Tasks[[#This Row],[_Level]]=Tasks[[#This Row],[_Level]]-1),ROW(Tasks[[#Headers],[_Level]]:Tasks[[#This Row],[_Level]])),0))</f>
        <v>0</v>
      </c>
      <c r="CE139" s="43" t="n">
        <f aca="false">IFERROR(N(INDEX(Tasks[_Level],Tasks[[#This Row],[_Row]]+1)),0)</f>
        <v>0</v>
      </c>
      <c r="CF139" s="90" t="b">
        <f aca="false">AND(Tasks[[#This Row],[Task Name]]&lt;&gt;"",Tasks[[#This Row],[_NextLevel]]&gt;Tasks[[#This Row],[_Level]])</f>
        <v>0</v>
      </c>
      <c r="CG139" s="43" t="n">
        <f aca="false">IF(Tasks[[#This Row],[_IsSummary]],COUNTIF(Tasks[WBS],Tasks[[#This Row],[WBS]]&amp;".*"),0)</f>
        <v>0</v>
      </c>
      <c r="CH139" s="43" t="n">
        <f aca="false">IF(AND(Tasks[[#This Row],[Task Name]]&lt;&gt;"",NOT(Tasks[[#This Row],[_IsSummary]])),1,0)</f>
        <v>0</v>
      </c>
      <c r="CI139" s="43" t="n">
        <f aca="false">IF(N(Tasks[[#This Row],[_Pred1UID]])=0,0,IFERROR(MATCH(Tasks[[#This Row],[_Pred1UID]],Tasks[UID],0),-1))</f>
        <v>0</v>
      </c>
      <c r="CJ139" s="43" t="n">
        <f aca="false">IF(N(Tasks[[#This Row],[_Pred2UID]])=0,0,IFERROR(MATCH(Tasks[[#This Row],[_Pred2UID]],Tasks[UID],0),-1))</f>
        <v>0</v>
      </c>
      <c r="CK139" s="43" t="n">
        <f aca="false">IF(N(Tasks[[#This Row],[_Pred3UID]])=0,0,IFERROR(MATCH(Tasks[[#This Row],[_Pred3UID]],Tasks[UID],0),-1))</f>
        <v>0</v>
      </c>
      <c r="CL139" s="43" t="n">
        <f aca="false">IF(N(Tasks[[#This Row],[_Pred4UID]])=0,0,IFERROR(MATCH(Tasks[[#This Row],[_Pred4UID]],Tasks[UID],0),-1))</f>
        <v>0</v>
      </c>
      <c r="CM1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9" s="91" t="n">
        <f aca="false">IF(OR(Tasks[[#This Row],[_ConstraintCode]]=2,Tasks[[#This Row],[_ConstraintCode]]=3,Tasks[[#This Row],[_ConstraintCode]]=4,Tasks[[#This Row],[_ConstraintCode]]=6),Tasks[[#This Row],[_ConstraintStart]],0)</f>
        <v>0</v>
      </c>
      <c r="CP139" s="91" t="n">
        <f aca="false">IF(OR(Tasks[[#This Row],[_ConstraintCode]]=2,Tasks[[#This Row],[_ConstraintCode]]=3,Tasks[[#This Row],[_ConstraintCode]]=5,Tasks[[#This Row],[_ConstraintCode]]=7),Tasks[[#This Row],[_ConstraintStart]],2958465)</f>
        <v>2958465</v>
      </c>
      <c r="CQ1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91" t="str">
        <f aca="false">IF(NOT(Tasks[[#This Row],[_IsLeaf]]=1),"",IF(N(Tasks[[#This Row],[_Days]])&lt;=0,Tasks[[#This Row],[_LeafCalcStart]],WORKDAY.INTL(Tasks[[#This Row],[_LeafCalcStart]],Tasks[[#This Row],[_Days]]-1,WorkWeek,Holidays)))</f>
        <v/>
      </c>
      <c r="CS1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3" t="str">
        <f aca="false">IF(Tasks[[#This Row],[_Predecessors]]="","",TRIM(MID(SUBSTITUTE(SUBSTITUTE(SUBSTITUTE(UPPER(Tasks[[#This Row],[_Predecessors]]),";",",")," ",""),",",REPT(" ",99)),1,99)))</f>
        <v/>
      </c>
      <c r="CV139" s="43" t="str">
        <f aca="false">IF(Tasks[[#This Row],[_Pred1Text]]="","",IFERROR(VALUE(LEFT(Tasks[[#This Row],[_Pred1Text]],MIN(FIND("F",Tasks[[#This Row],[_Pred1Text]]&amp;"F"),FIND("S",Tasks[[#This Row],[_Pred1Text]]&amp;"S"),FIND("+",Tasks[[#This Row],[_Pred1Text]]&amp;"+"),FIND("-",Tasks[[#This Row],[_Pred1Text]]&amp;"-"))-1)),""))</f>
        <v/>
      </c>
      <c r="CW1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3" t="str">
        <f aca="false">IF(Tasks[[#This Row],[_Pred1Text]]="","",TRIM(MID(SUBSTITUTE(SUBSTITUTE(SUBSTITUTE(UPPER(Tasks[[#This Row],[_Predecessors]]),";",",")," ",""),",",REPT(" ",99)),100,99)))</f>
        <v/>
      </c>
      <c r="CZ139" s="43" t="str">
        <f aca="false">IF(Tasks[[#This Row],[_Pred2Text]]="","",IFERROR(VALUE(LEFT(Tasks[[#This Row],[_Pred2Text]],MIN(FIND("F",Tasks[[#This Row],[_Pred2Text]]&amp;"F"),FIND("S",Tasks[[#This Row],[_Pred2Text]]&amp;"S"),FIND("+",Tasks[[#This Row],[_Pred2Text]]&amp;"+"),FIND("-",Tasks[[#This Row],[_Pred2Text]]&amp;"-"))-1)),""))</f>
        <v/>
      </c>
      <c r="DA1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3" t="str">
        <f aca="false">IF(Tasks[[#This Row],[_Pred2Text]]="","",TRIM(MID(SUBSTITUTE(SUBSTITUTE(SUBSTITUTE(UPPER(Tasks[[#This Row],[_Predecessors]]),";",",")," ",""),",",REPT(" ",99)),199,99)))</f>
        <v/>
      </c>
      <c r="DD139" s="43" t="str">
        <f aca="false">IF(Tasks[[#This Row],[_Pred3Text]]="","",IFERROR(VALUE(LEFT(Tasks[[#This Row],[_Pred3Text]],MIN(FIND("F",Tasks[[#This Row],[_Pred3Text]]&amp;"F"),FIND("S",Tasks[[#This Row],[_Pred3Text]]&amp;"S"),FIND("+",Tasks[[#This Row],[_Pred3Text]]&amp;"+"),FIND("-",Tasks[[#This Row],[_Pred3Text]]&amp;"-"))-1)),""))</f>
        <v/>
      </c>
      <c r="DE1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3" t="str">
        <f aca="false">IF(Tasks[[#This Row],[_Pred3Text]]="","",TRIM(MID(SUBSTITUTE(SUBSTITUTE(SUBSTITUTE(UPPER(Tasks[[#This Row],[_Predecessors]]),";",",")," ",""),",",REPT(" ",99)),298,99)))</f>
        <v/>
      </c>
      <c r="DH139" s="43" t="str">
        <f aca="false">IF(Tasks[[#This Row],[_Pred4Text]]="","",IFERROR(VALUE(LEFT(Tasks[[#This Row],[_Pred4Text]],MIN(FIND("F",Tasks[[#This Row],[_Pred4Text]]&amp;"F"),FIND("S",Tasks[[#This Row],[_Pred4Text]]&amp;"S"),FIND("+",Tasks[[#This Row],[_Pred4Text]]&amp;"+"),FIND("-",Tasks[[#This Row],[_Pred4Text]]&amp;"-"))-1)),""))</f>
        <v/>
      </c>
      <c r="DI1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3" t="str">
        <f aca="false">IF(OR(Tasks[[#This Row],[Task Name]]="",Tasks[[#This Row],[_Resources]]=""),"",TRIM(MID(SUBSTITUTE(Tasks[[#This Row],[_Resources]],",",REPT(" ",99)),1,99)))</f>
        <v/>
      </c>
      <c r="DL139" s="43" t="str">
        <f aca="false">IF(Tasks[[#This Row],[_Res1Text]]="","",TRIM(MID(SUBSTITUTE(Tasks[[#This Row],[_Resources]],",",REPT(" ",99)),100,99)))</f>
        <v/>
      </c>
      <c r="DM139" s="43" t="str">
        <f aca="false">IF(Tasks[[#This Row],[_Res2Text]]="","",TRIM(MID(SUBSTITUTE(Tasks[[#This Row],[_Resources]],",",REPT(" ",99)),199,99)))</f>
        <v/>
      </c>
      <c r="DN139" s="43" t="str">
        <f aca="false">IF(Tasks[[#This Row],[_Res3Text]]="","",TRIM(MID(SUBSTITUTE(Tasks[[#This Row],[_Resources]],",",REPT(" ",99)),298,99)))</f>
        <v/>
      </c>
      <c r="DO139" s="43" t="n">
        <f aca="false">IF(Tasks[[#This Row],[_Res1Text]]="",0,IFERROR(MATCH(TRIM(LEFT(Tasks[[#This Row],[_Res1Text]],FIND("[",Tasks[[#This Row],[_Res1Text]]&amp;"[")-1)),res_Name,0),IFERROR(MATCH(TRIM(LEFT(Tasks[[#This Row],[_Res1Text]],FIND("[",Tasks[[#This Row],[_Res1Text]]&amp;"[")-1)),res_Initials,0),0)))</f>
        <v>0</v>
      </c>
      <c r="DP139" s="43" t="n">
        <f aca="false">IF(Tasks[[#This Row],[_Res2Text]]="",0,IFERROR(MATCH(TRIM(LEFT(Tasks[[#This Row],[_Res2Text]],FIND("[",Tasks[[#This Row],[_Res2Text]]&amp;"[")-1)),res_Name,0),IFERROR(MATCH(TRIM(LEFT(Tasks[[#This Row],[_Res2Text]],FIND("[",Tasks[[#This Row],[_Res2Text]]&amp;"[")-1)),res_Initials,0),0)))</f>
        <v>0</v>
      </c>
      <c r="DQ139" s="43" t="n">
        <f aca="false">IF(Tasks[[#This Row],[_Res3Text]]="",0,IFERROR(MATCH(TRIM(LEFT(Tasks[[#This Row],[_Res3Text]],FIND("[",Tasks[[#This Row],[_Res3Text]]&amp;"[")-1)),res_Name,0),IFERROR(MATCH(TRIM(LEFT(Tasks[[#This Row],[_Res3Text]],FIND("[",Tasks[[#This Row],[_Res3Text]]&amp;"[")-1)),res_Initials,0),0)))</f>
        <v>0</v>
      </c>
      <c r="DR139" s="43" t="n">
        <f aca="false">IF(Tasks[[#This Row],[_Res4Text]]="",0,IFERROR(MATCH(TRIM(LEFT(Tasks[[#This Row],[_Res4Text]],FIND("[",Tasks[[#This Row],[_Res4Text]]&amp;"[")-1)),res_Name,0),IFERROR(MATCH(TRIM(LEFT(Tasks[[#This Row],[_Res4Text]],FIND("[",Tasks[[#This Row],[_Res4Text]]&amp;"[")-1)),res_Initials,0),0)))</f>
        <v>0</v>
      </c>
      <c r="DS139" s="43" t="str">
        <f aca="false">IF(Tasks[[#This Row],[_Res1Text]]="","",IF(Tasks[[#This Row],[_Res1Row]]&gt;0,INDEX(res_Name,Tasks[[#This Row],[_Res1Row]]),TRIM(LEFT(Tasks[[#This Row],[_Res1Text]],FIND("[",Tasks[[#This Row],[_Res1Text]]&amp;"[")-1))))</f>
        <v/>
      </c>
      <c r="DT1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3" t="n">
        <f aca="false">IF(NOT(Tasks[[#This Row],[_IsLeaf]]=1),0,(Tasks[[#This Row],[_Resource1]]&lt;&gt;"")+(Tasks[[#This Row],[_Res2]]&lt;&gt;"")+(Tasks[[#This Row],[_Res3]]&lt;&gt;"")+(Tasks[[#This Row],[_Res4]]&lt;&gt;""))</f>
        <v>0</v>
      </c>
      <c r="DV139" s="43" t="str">
        <f aca="false">IF(Tasks[[#This Row],[_Res2Text]]="","",IF(Tasks[[#This Row],[_Res2Row]]&gt;0,INDEX(res_Name,Tasks[[#This Row],[_Res2Row]]),TRIM(LEFT(Tasks[[#This Row],[_Res2Text]],FIND("[",Tasks[[#This Row],[_Res2Text]]&amp;"[")-1))))</f>
        <v/>
      </c>
      <c r="DW1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3" t="n">
        <f aca="false">IF(OR(NOT(Tasks[[#This Row],[_IsLeaf]]=1),Tasks[[#This Row],[_Res2Row]]=0),0,N(Tasks[[#This Row],[_Days]])*HoursPerDay*IF(Tasks[[#This Row],[_Res2Units]]="",DefaultUnits,Tasks[[#This Row],[_Res2Units]]))</f>
        <v>0</v>
      </c>
      <c r="DY139" s="43" t="n">
        <f aca="false">IF(AND(AND(Tasks[[#This Row],[_IsLeaf]]=1,Tasks[[#This Row],[_LeafTotalWork]]&gt;0),Tasks[[#This Row],[_Res2Work]]&gt;0),Tasks[[#This Row],[_Res2Work]]/(Tasks[[#This Row],[_FinishWorkday]]-Tasks[[#This Row],[_StartWorkday]]+1),0)</f>
        <v>0</v>
      </c>
      <c r="DZ139" s="43" t="n">
        <f aca="false">Tasks[[#This Row],[_Res2WorkPerWD]]*MAX(0,Tasks[[#This Row],[_StartWorkday]]-1)</f>
        <v>0</v>
      </c>
      <c r="EA139" s="43" t="n">
        <f aca="false">Tasks[[#This Row],[_Res2Work]]*Tasks[[#This Row],[_LeafProgress]]</f>
        <v>0</v>
      </c>
      <c r="EB139" s="43" t="str">
        <f aca="false">IF(Tasks[[#This Row],[_Res3Text]]="","",IF(Tasks[[#This Row],[_Res3Row]]&gt;0,INDEX(res_Name,Tasks[[#This Row],[_Res3Row]]),TRIM(LEFT(Tasks[[#This Row],[_Res3Text]],FIND("[",Tasks[[#This Row],[_Res3Text]]&amp;"[")-1))))</f>
        <v/>
      </c>
      <c r="EC1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3" t="n">
        <f aca="false">IF(OR(NOT(Tasks[[#This Row],[_IsLeaf]]=1),Tasks[[#This Row],[_Res3Row]]=0),0,N(Tasks[[#This Row],[_Days]])*HoursPerDay*IF(Tasks[[#This Row],[_Res3Units]]="",DefaultUnits,Tasks[[#This Row],[_Res3Units]]))</f>
        <v>0</v>
      </c>
      <c r="EE139" s="43" t="n">
        <f aca="false">IF(AND(AND(Tasks[[#This Row],[_IsLeaf]]=1,Tasks[[#This Row],[_LeafTotalWork]]&gt;0),Tasks[[#This Row],[_Res3Work]]&gt;0),Tasks[[#This Row],[_Res3Work]]/(Tasks[[#This Row],[_FinishWorkday]]-Tasks[[#This Row],[_StartWorkday]]+1),0)</f>
        <v>0</v>
      </c>
      <c r="EF139" s="43" t="n">
        <f aca="false">Tasks[[#This Row],[_Res3WorkPerWD]]*MAX(0,Tasks[[#This Row],[_StartWorkday]]-1)</f>
        <v>0</v>
      </c>
      <c r="EG139" s="43" t="n">
        <f aca="false">Tasks[[#This Row],[_Res3Work]]*Tasks[[#This Row],[_LeafProgress]]</f>
        <v>0</v>
      </c>
      <c r="EH139" s="43" t="str">
        <f aca="false">IF(Tasks[[#This Row],[_Res4Text]]="","",IF(Tasks[[#This Row],[_Res4Row]]&gt;0,INDEX(res_Name,Tasks[[#This Row],[_Res4Row]]),TRIM(LEFT(Tasks[[#This Row],[_Res4Text]],FIND("[",Tasks[[#This Row],[_Res4Text]]&amp;"[")-1))))</f>
        <v/>
      </c>
      <c r="EI1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3" t="n">
        <f aca="false">IF(OR(NOT(Tasks[[#This Row],[_IsLeaf]]=1),Tasks[[#This Row],[_Res4Row]]=0),0,N(Tasks[[#This Row],[_Days]])*HoursPerDay*IF(Tasks[[#This Row],[_Res4Units]]="",DefaultUnits,Tasks[[#This Row],[_Res4Units]]))</f>
        <v>0</v>
      </c>
      <c r="EK139" s="43" t="n">
        <f aca="false">IF(AND(AND(Tasks[[#This Row],[_IsLeaf]]=1,Tasks[[#This Row],[_LeafTotalWork]]&gt;0),Tasks[[#This Row],[_Res4Work]]&gt;0),Tasks[[#This Row],[_Res4Work]]/(Tasks[[#This Row],[_FinishWorkday]]-Tasks[[#This Row],[_StartWorkday]]+1),0)</f>
        <v>0</v>
      </c>
      <c r="EL139" s="43" t="n">
        <f aca="false">Tasks[[#This Row],[_Res4WorkPerWD]]*MAX(0,Tasks[[#This Row],[_StartWorkday]]-1)</f>
        <v>0</v>
      </c>
      <c r="EM139" s="43" t="n">
        <f aca="false">Tasks[[#This Row],[_Res4Work]]*Tasks[[#This Row],[_LeafProgress]]</f>
        <v>0</v>
      </c>
      <c r="EN139" s="43" t="n">
        <f aca="false">IF(ISNUMBER(Tasks[[#This Row],[% Complete]]),Tasks[[#This Row],[% Complete]],IF(Tasks[[#This Row],[Stage]]="",0,IFERROR(INDEX(stg_Pct,MATCH(Tasks[[#This Row],[Stage]],stg_Name,0)),0)))</f>
        <v>0</v>
      </c>
      <c r="EO139" s="43" t="n">
        <f aca="false">IF(NOT(Tasks[[#This Row],[_IsLeaf]]=1),0,IF(N(Tasks[[#This Row],[Actual Finish]])&gt;0,1,MIN(1,Tasks[[#This Row],[_Pct]])))</f>
        <v>0</v>
      </c>
      <c r="EP139" s="43" t="n">
        <f aca="false">IF(OR(NOT(Tasks[[#This Row],[_IsLeaf]]=1),Tasks[[#This Row],[_Res1Row]]=0),0,N(Tasks[[#This Row],[_Days]])*HoursPerDay*IF(Tasks[[#This Row],[_Units1]]="",DefaultUnits,Tasks[[#This Row],[_Units1]]))</f>
        <v>0</v>
      </c>
      <c r="EQ139" s="43" t="n">
        <f aca="false">Tasks[[#This Row],[_LeafWork]]+Tasks[[#This Row],[_Res2Work]]+Tasks[[#This Row],[_Res3Work]]+Tasks[[#This Row],[_Res4Work]]</f>
        <v>0</v>
      </c>
      <c r="ER1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3" t="n">
        <f aca="false">IF(NOT(Tasks[[#This Row],[_IsLeaf]]=1),0,MAX(_xlfn.MAXIFS(Tasks[_Row],Tasks[_Pred1UID],Tasks[[#This Row],[UID]]),_xlfn.MAXIFS(Tasks[_Row],Tasks[_Pred2UID],Tasks[[#This Row],[UID]]),_xlfn.MAXIFS(Tasks[_Row],Tasks[_Pred3UID],Tasks[[#This Row],[UID]]),_xlfn.MAXIFS(Tasks[_Row],Tasks[_Pred4UID],Tasks[[#This Row],[UID]])))</f>
        <v>0</v>
      </c>
      <c r="FA1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91" t="str">
        <f aca="false">IF(NOT(Tasks[[#This Row],[_IsLeaf]]=1),"",IF(N(Tasks[[#This Row],[_Days]])&lt;=0,Tasks[[#This Row],[_LeafLateFinish]],WORKDAY.INTL(Tasks[[#This Row],[_LeafLateFinish]],-(Tasks[[#This Row],[_Days]]-1),WorkWeek,Holidays)))</f>
        <v/>
      </c>
      <c r="FD1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9" s="90" t="b">
        <f aca="false">AND(Tasks[[#This Row],[_IsLeaf]]=1,Tasks[[#This Row],[_LeafProgress]]&lt;1,N(Tasks[[#This Row],[_LeafTotalSlack]])&lt;=CriticalSlackDays)</f>
        <v>0</v>
      </c>
      <c r="FF139" s="43" t="n">
        <f aca="false">IF(AND(Tasks[[#This Row],[_IsLeaf]]=1,Tasks[[#This Row],[_ConstraintCode]]=1,Tasks[[#This Row],[Mode]]&lt;&gt;"Manual",N(Tasks[[#This Row],[Actual Start]])=0),MAX(0,N(Tasks[[#This Row],[Free Slack]])),0)</f>
        <v>0</v>
      </c>
      <c r="FG139" s="91" t="str">
        <f aca="false">IF(NOT(Tasks[[#This Row],[_IsLeaf]]=1),"",IF(Tasks[[#This Row],[_AlapShift]]=0,Tasks[[#This Row],[_LeafCalcStart]],WORKDAY.INTL(Tasks[[#This Row],[_LeafCalcStart]],Tasks[[#This Row],[_AlapShift]],WorkWeek,Holidays)))</f>
        <v/>
      </c>
      <c r="FH139" s="91" t="str">
        <f aca="false">IF(NOT(Tasks[[#This Row],[_IsLeaf]]=1),"",IF(Tasks[[#This Row],[_AlapShift]]=0,Tasks[[#This Row],[_LeafCalcFinish]],WORKDAY.INTL(Tasks[[#This Row],[_LeafCalcFinish]],Tasks[[#This Row],[_AlapShift]],WorkWeek,Holidays)))</f>
        <v/>
      </c>
      <c r="FI139" s="91" t="str">
        <f aca="false">IF(NOT(Tasks[[#This Row],[_IsLeaf]]=1),"",IF(Tasks[[#This Row],[_AlapShift]]=0,Tasks[[#This Row],[_LeafFcstStart]],WORKDAY.INTL(Tasks[[#This Row],[_LeafFcstStart]],Tasks[[#This Row],[_AlapShift]],WorkWeek,Holidays)))</f>
        <v/>
      </c>
      <c r="FJ139" s="91" t="str">
        <f aca="false">IF(NOT(Tasks[[#This Row],[_IsLeaf]]=1),"",IF(Tasks[[#This Row],[_AlapShift]]=0,Tasks[[#This Row],[_LeafFcstFinish]],WORKDAY.INTL(Tasks[[#This Row],[_LeafFcstFinish]],Tasks[[#This Row],[_AlapShift]],WorkWeek,Holidays)))</f>
        <v/>
      </c>
      <c r="FK139" s="91" t="str">
        <f aca="false">IF(Tasks[[#This Row],[Task Name]]="","",IF(Tasks[[#This Row],[_IsSummary]],MIN(INDEX(Tasks[_ShownCalcStart],Tasks[[#This Row],[_Row]]+1):INDEX(Tasks[_ShownCalcStart],Tasks[[#This Row],[_Row]]+Tasks[[#This Row],[_Descendants]])),Tasks[[#This Row],[_ShownCalcStart]]))</f>
        <v/>
      </c>
      <c r="FL139" s="91" t="str">
        <f aca="false">IF(Tasks[[#This Row],[Task Name]]="","",IF(Tasks[[#This Row],[_IsSummary]],MAX(INDEX(Tasks[_ShownCalcFinish],Tasks[[#This Row],[_Row]]+1):INDEX(Tasks[_ShownCalcFinish],Tasks[[#This Row],[_Row]]+Tasks[[#This Row],[_Descendants]])),Tasks[[#This Row],[_ShownCalcFinish]]))</f>
        <v/>
      </c>
      <c r="FM1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9" s="43" t="n">
        <f aca="false">IF(AND(Tasks[[#This Row],[_IsLeaf]]=1,Tasks[[#This Row],[_LeafTotalWork]]&gt;0),NETWORKDAYS.INTL(ProjectStart,Tasks[[#This Row],[_ShownFcstStart]],WorkWeek,Holidays),0)</f>
        <v>0</v>
      </c>
      <c r="FZ139" s="43" t="n">
        <f aca="false">IF(AND(Tasks[[#This Row],[_IsLeaf]]=1,Tasks[[#This Row],[_LeafTotalWork]]&gt;0),MAX(Tasks[[#This Row],[_StartWorkday]],NETWORKDAYS.INTL(ProjectStart,Tasks[[#This Row],[_ShownFcstFinish]],WorkWeek,Holidays)),0)</f>
        <v>0</v>
      </c>
      <c r="GA139" s="43" t="n">
        <f aca="false">IF(AND(Tasks[[#This Row],[_IsLeaf]]=1,Tasks[[#This Row],[_LeafTotalWork]]&gt;0),Tasks[[#This Row],[_LeafWork]]/(Tasks[[#This Row],[_FinishWorkday]]-Tasks[[#This Row],[_StartWorkday]]+1),0)</f>
        <v>0</v>
      </c>
      <c r="GB139" s="43" t="n">
        <f aca="false">Tasks[[#This Row],[_WorkPerWorkday]]*(Tasks[[#This Row],[_StartWorkday]]-1)</f>
        <v>-0</v>
      </c>
      <c r="GC139" s="43" t="n">
        <f aca="false">IF(Tasks[[#This Row],[_IsLeaf]]=1,MAX(N(Tasks[[#This Row],[_Days]]),0.1),0)</f>
        <v>0</v>
      </c>
      <c r="GD139" s="43" t="n">
        <f aca="false">Tasks[[#This Row],[_WeightDur]]*Tasks[[#This Row],[_LeafProgress]]</f>
        <v>0</v>
      </c>
      <c r="GE139" s="43" t="n">
        <f aca="false">Tasks[[#This Row],[_WeightDur]]*Tasks[[#This Row],[_PlannedPct]]</f>
        <v>0</v>
      </c>
      <c r="GF1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3" t="str">
        <f aca="false">IF(AND(Tasks[[#This Row],[_IsLeaf]]=1,N(Tasks[[#This Row],[_Days]])=0,Tasks[[#This Row],[_LeafProgress]]&lt;1),Tasks[[#This Row],[_ShownFcstFinish]]+Tasks[[#This Row],[_Row]]/100000,"")</f>
        <v/>
      </c>
      <c r="GH1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9" s="43" t="str">
        <f aca="false">IF(Tasks[[#This Row],[Task Name]]="","",LEFT(Tasks[[#This Row],[WBS]],FIND(".",Tasks[[#This Row],[WBS]]&amp;".")-1))</f>
        <v/>
      </c>
      <c r="GJ139" s="43" t="str">
        <f aca="false">IF(AND(Tasks[[#This Row],[Task Name]]&lt;&gt;"",Tasks[[#This Row],[_Level]]=1),Tasks[[#This Row],[_Row]],"")</f>
        <v/>
      </c>
      <c r="GK139" s="43" t="str">
        <f aca="false">IF(AND(Tasks[[#This Row],[_IsLeaf]]=1,N(Tasks[[#This Row],[_Days]])=0),Tasks[[#This Row],[Planned Finish]]+Tasks[[#This Row],[_Row]]/100000,"")</f>
        <v/>
      </c>
      <c r="GL139" s="43" t="str">
        <f aca="false">IF(AND(Tasks[[#This Row],[_IsLeaf]]=1,Tasks[[#This Row],[_LeafProgress]]&lt;1,OR(N(Tasks[[#This Row],[Finish Var]])&gt;0,Tasks[[#This Row],[Status]]="Late Start")),MAX(0,Tasks[[#This Row],[Finish Var]])+1-Tasks[[#This Row],[_Row]]/1000000,"")</f>
        <v/>
      </c>
      <c r="GM139" s="43" t="str">
        <f aca="false">IF(AND(Tasks[[#This Row],[_IsLeaf]]=1,N(Tasks[[#This Row],[Actual Start]])=0,Tasks[[#This Row],[_ShownFcstStart]]&gt;=StatusDate,Tasks[[#This Row],[_ShownFcstStart]]&lt;=LookaheadEnd),Tasks[[#This Row],[_ShownFcstStart]]+Tasks[[#This Row],[_Row]]/100000,"")</f>
        <v/>
      </c>
      <c r="GN139" s="43" t="str">
        <f aca="false">IF(AND(Tasks[[#This Row],[_IsLeaf]]=1,Tasks[[#This Row],[_LeafProgress]]&lt;1,Tasks[[#This Row],[_ShownFcstFinish]]&gt;=StatusDate,Tasks[[#This Row],[_ShownFcstFinish]]&lt;=LookaheadEnd),Tasks[[#This Row],[_ShownFcstFinish]]+Tasks[[#This Row],[_Row]]/100000,"")</f>
        <v/>
      </c>
      <c r="GO139" s="43" t="str">
        <f aca="false">IF(Tasks[[#This Row],[_LeafCritical]],Tasks[[#This Row],[_ShownFcstStart]]+Tasks[[#This Row],[_Row]]/100000,"")</f>
        <v/>
      </c>
      <c r="GP139" s="43" t="n">
        <f aca="false">Tasks[[#This Row],[_LeafWork]]*Tasks[[#This Row],[_LeafProgress]]</f>
        <v>0</v>
      </c>
      <c r="GQ139" s="91" t="str">
        <f aca="false">IF(AND(Tasks[[#This Row],[_IsLeaf]]=1,Tasks[[#This Row],[_LeafProgress]]&gt;=1),IF(N(Tasks[[#This Row],[Actual Finish]])&gt;0,Tasks[[#This Row],[Actual Finish]],Tasks[[#This Row],[_ShownFcstFinish]]),"")</f>
        <v/>
      </c>
      <c r="GR139" s="43" t="n">
        <f aca="false">IF(Tasks[[#This Row],[_IsLeaf]]=1,N(Tasks[[#This Row],[Story Points]]),0)</f>
        <v>0</v>
      </c>
      <c r="GS139" s="43" t="str">
        <f aca="false">""</f>
        <v/>
      </c>
      <c r="GT139" s="90" t="b">
        <f aca="false">IF(Tasks[[#This Row],[Task Name]]="",FALSE(),AND(Tasks[[#This Row],[_IsLeaf]]=1,N(Tasks[[#This Row],[_Days]])=0))</f>
        <v>0</v>
      </c>
      <c r="GU139" s="91" t="n">
        <f aca="false">IF(Tasks[[#This Row],[Task Name]]="",0,IF(AND(Tasks[[#This Row],[_IsLeaf]]=1,NOT(Tasks[[#This Row],[_IsMilestone]]),N(Tasks[[#This Row],[Progress]])&gt;0),Tasks[[#This Row],[Start]],0))</f>
        <v>0</v>
      </c>
      <c r="GV139" s="91" t="n">
        <f aca="false">IF(Tasks[[#This Row],[_DoneFrom]]=0,0,IF(Tasks[[#This Row],[Progress]]&gt;=1,Tasks[[#This Row],[Finish]],MAX(Tasks[[#This Row],[_DoneFrom]],Tasks[[#This Row],[Start]]+ROUND((Tasks[[#This Row],[Finish]]-Tasks[[#This Row],[Start]]+1)*Tasks[[#This Row],[Progress]],0)-1)))</f>
        <v>0</v>
      </c>
      <c r="GW139" s="91" t="n">
        <f aca="false">IF(Tasks[[#This Row],[Task Name]]="",0,IF(OR(NOT(Tasks[[#This Row],[_IsLeaf]]=1),Tasks[[#This Row],[_IsMilestone]],N(Tasks[[#This Row],[Progress]])&gt;=1),0,IF(Tasks[[#This Row],[_DoneTo]]&gt;0,Tasks[[#This Row],[_DoneTo]]+1,Tasks[[#This Row],[Start]])))</f>
        <v>0</v>
      </c>
      <c r="GX139" s="91" t="n">
        <f aca="false">IF(Tasks[[#This Row],[_RemFrom]]=0,0,Tasks[[#This Row],[Finish]])</f>
        <v>0</v>
      </c>
      <c r="GY139" s="90" t="b">
        <f aca="false">IF(Tasks[[#This Row],[Task Name]]="",FALSE(),OR(NOT(BaselineSet),N(Tasks[[#This Row],[Baseline Start]])&gt;0))</f>
        <v>0</v>
      </c>
      <c r="GZ13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92" t="str">
        <f aca="false">IF(Tasks[[#This Row],[_IsLeaf]]=1,Tasks[[#This Row],[_Row]],"")</f>
        <v/>
      </c>
      <c r="HD139" s="92" t="str">
        <f aca="false">IFERROR(INDEX(Tasks[UID],SMALL(Tasks[_PickKey],Tasks[[#This Row],[_Row]]))&amp;" "&amp;INDEX(Tasks[Task Name],SMALL(Tasks[_PickKey],Tasks[[#This Row],[_Row]])),"")</f>
        <v/>
      </c>
      <c r="HE139" s="43" t="str">
        <f aca="false">IF(Tasks[[#This Row],[Task Name]]="","",IF(Tasks[[#This Row],[_IsSummary]],NETWORKDAYS.INTL(Tasks[[#This Row],[Start]],Tasks[[#This Row],[Finish]],WorkWeek,Holidays),N(Tasks[[#This Row],[_Days]])))</f>
        <v/>
      </c>
      <c r="HF139" s="43" t="n">
        <f aca="false">IF(Tasks[[#This Row],[Expected]]="",0,((Tasks[[#This Row],[Pessimistic]]-Tasks[[#This Row],[Optimistic]])/6)^2)</f>
        <v>0</v>
      </c>
      <c r="HG139" s="43" t="n">
        <f aca="false">IF(Tasks[[#This Row],[Expected]]="",0,Tasks[[#This Row],[Expected]]-N(Tasks[[#This Row],[_Days]]))</f>
        <v>0</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4"/>
      <c r="U140" s="23"/>
      <c r="V140" s="84"/>
      <c r="W140" s="23"/>
      <c r="X140" s="84"/>
      <c r="Y140" s="23"/>
      <c r="Z140" s="84"/>
      <c r="AA140" s="23"/>
      <c r="AB140" s="23"/>
      <c r="AC140" s="7"/>
      <c r="AD140" s="7"/>
      <c r="AE140" s="63" t="str">
        <f aca="false">IF(Tasks[[#This Row],[Task Name]]="","",IF(Tasks[[#This Row],[_IsSummary]],MIN(INDEX(Tasks[_ShownFcstStart],Tasks[[#This Row],[_Row]]+1):INDEX(Tasks[_ShownFcstStart],Tasks[[#This Row],[_Row]]+Tasks[[#This Row],[_Descendants]])),Tasks[[#This Row],[_ShownFcstStart]]))</f>
        <v/>
      </c>
      <c r="AF140" s="63"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0" s="7"/>
      <c r="AK140" s="22"/>
      <c r="AL140" s="23"/>
      <c r="AM140" s="7"/>
      <c r="AN140" s="47"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3" t="str">
        <f aca="false">IF(Tasks[[#This Row],[Task Name]]="","",IF(N(Tasks[[#This Row],[Baseline Start]])&gt;0,Tasks[[#This Row],[Baseline Start]],Tasks[[#This Row],[_CalcStart]]))</f>
        <v/>
      </c>
      <c r="AR140" s="63" t="str">
        <f aca="false">IF(Tasks[[#This Row],[Task Name]]="","",IF(N(Tasks[[#This Row],[Baseline Finish]])&gt;0,Tasks[[#This Row],[Baseline Finish]],Tasks[[#This Row],[_CalcFinish]]))</f>
        <v/>
      </c>
      <c r="AS140" s="47" t="str">
        <f aca="false">IF(Tasks[[#This Row],[Task Name]]="","",IF(Tasks[[#This Row],[Start]]&gt;=Tasks[[#This Row],[Planned Start]],NETWORKDAYS.INTL(Tasks[[#This Row],[Planned Start]],Tasks[[#This Row],[Start]],WorkWeek,Holidays)-1,1-NETWORKDAYS.INTL(Tasks[[#This Row],[Start]],Tasks[[#This Row],[Planned Start]],WorkWeek,Holidays)))</f>
        <v/>
      </c>
      <c r="AT140" s="63" t="str">
        <f aca="false">IF(Tasks[[#This Row],[Task Name]]="","",IF(Tasks[[#This Row],[_IsSummary]],MIN(INDEX(Tasks[_LeafLateStart],Tasks[[#This Row],[_Row]]+1):INDEX(Tasks[_LeafLateStart],Tasks[[#This Row],[_Row]]+Tasks[[#This Row],[_Descendants]])),Tasks[[#This Row],[_LeafLateStart]]))</f>
        <v/>
      </c>
      <c r="AU140" s="63" t="str">
        <f aca="false">IF(Tasks[[#This Row],[Task Name]]="","",IF(Tasks[[#This Row],[_IsSummary]],MAX(INDEX(Tasks[_LeafLateFinish],Tasks[[#This Row],[_Row]]+1):INDEX(Tasks[_LeafLateFinish],Tasks[[#This Row],[_Row]]+Tasks[[#This Row],[_Descendants]])),Tasks[[#This Row],[_LeafLateFinish]]))</f>
        <v/>
      </c>
      <c r="AV140" s="47"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5"/>
      <c r="BA1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6"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7"/>
      <c r="BJ140" s="22"/>
      <c r="BK140" s="47" t="str">
        <f aca="false">IF(OR(Tasks[[#This Row],[Task Name]]="",Tasks[[#This Row],[Baseline Duration]]=""),"",Tasks[[#This Row],[_SpanDays]]-N(Tasks[[#This Row],[Baseline Duration]]))</f>
        <v/>
      </c>
      <c r="BL140" s="86" t="str">
        <f aca="false">IF(OR(Tasks[[#This Row],[Task Name]]="",Tasks[[#This Row],[Baseline Work]]=""),"",Tasks[[#This Row],[Work]]-N(Tasks[[#This Row],[Baseline Work]]))</f>
        <v/>
      </c>
      <c r="BM140" s="63" t="str">
        <f aca="false">IF(Tasks[[#This Row],[Task Name]]="","",IF(OR(TakeBaseline="Yes",N(Tasks[[#This Row],[Baseline Start]])=0),Tasks[[#This Row],[Start]],Tasks[[#This Row],[Baseline Start]]))</f>
        <v/>
      </c>
      <c r="BN140" s="63" t="str">
        <f aca="false">IF(Tasks[[#This Row],[Task Name]]="","",IF(OR(TakeBaseline="Yes",N(Tasks[[#This Row],[Baseline Finish]])=0),Tasks[[#This Row],[Finish]],Tasks[[#This Row],[Baseline Finish]]))</f>
        <v/>
      </c>
      <c r="BO140" s="21" t="str">
        <f aca="false">IF(Tasks[[#This Row],[Task Name]]="","",IF(OR(TakeBaseline="Yes",N(Tasks[[#This Row],[Baseline Duration]])=0),Tasks[[#This Row],[_SpanDays]],Tasks[[#This Row],[Baseline Duration]]))</f>
        <v/>
      </c>
      <c r="BP140" s="86" t="str">
        <f aca="false">IF(Tasks[[#This Row],[Task Name]]="","",IF(OR(TakeBaseline="Yes",N(Tasks[[#This Row],[Baseline Work]])=0),Tasks[[#This Row],[Work]],Tasks[[#This Row],[Baseline Work]]))</f>
        <v/>
      </c>
      <c r="BQ140" s="7"/>
      <c r="BR140" s="7"/>
      <c r="BS140" s="22"/>
      <c r="BT140" s="88"/>
      <c r="BU140" s="23"/>
      <c r="BV140" s="23"/>
      <c r="BW140" s="23"/>
      <c r="BX140" s="89" t="str">
        <f aca="false">IF(AND(Tasks[[#This Row],[_IsLeaf]]=1,ISNUMBER(Tasks[[#This Row],[Optimistic]]),ISNUMBER(Tasks[[#This Row],[Pessimistic]])),ROUND((Tasks[[#This Row],[Optimistic]]+4*N(Tasks[[#This Row],[_Days]])+Tasks[[#This Row],[Pessimistic]])/6,1),"")</f>
        <v/>
      </c>
      <c r="BY140" s="87"/>
      <c r="BZ140" s="87"/>
      <c r="CA140" s="22"/>
      <c r="CB140" s="43" t="str">
        <f aca="false">IF(Tasks[[#This Row],[Task Name]]="","",MAX(1,N(Tasks[[#This Row],[Level]])))</f>
        <v/>
      </c>
      <c r="CC140" s="43" t="n">
        <f aca="false">ROW()-ROW(Tasks[[#Headers],[ID]])</f>
        <v>135</v>
      </c>
      <c r="CD140" s="43" t="n">
        <f aca="false">IF(OR(Tasks[[#This Row],[Task Name]]="",Tasks[[#This Row],[_Level]]&lt;=1),0,IFERROR(LOOKUP(2,1/(Tasks[[#Headers],[_Level]]:Tasks[[#This Row],[_Level]]=Tasks[[#This Row],[_Level]]-1),ROW(Tasks[[#Headers],[_Level]]:Tasks[[#This Row],[_Level]])),0))</f>
        <v>0</v>
      </c>
      <c r="CE140" s="43" t="n">
        <f aca="false">IFERROR(N(INDEX(Tasks[_Level],Tasks[[#This Row],[_Row]]+1)),0)</f>
        <v>0</v>
      </c>
      <c r="CF140" s="90" t="b">
        <f aca="false">AND(Tasks[[#This Row],[Task Name]]&lt;&gt;"",Tasks[[#This Row],[_NextLevel]]&gt;Tasks[[#This Row],[_Level]])</f>
        <v>0</v>
      </c>
      <c r="CG140" s="43" t="n">
        <f aca="false">IF(Tasks[[#This Row],[_IsSummary]],COUNTIF(Tasks[WBS],Tasks[[#This Row],[WBS]]&amp;".*"),0)</f>
        <v>0</v>
      </c>
      <c r="CH140" s="43" t="n">
        <f aca="false">IF(AND(Tasks[[#This Row],[Task Name]]&lt;&gt;"",NOT(Tasks[[#This Row],[_IsSummary]])),1,0)</f>
        <v>0</v>
      </c>
      <c r="CI140" s="43" t="n">
        <f aca="false">IF(N(Tasks[[#This Row],[_Pred1UID]])=0,0,IFERROR(MATCH(Tasks[[#This Row],[_Pred1UID]],Tasks[UID],0),-1))</f>
        <v>0</v>
      </c>
      <c r="CJ140" s="43" t="n">
        <f aca="false">IF(N(Tasks[[#This Row],[_Pred2UID]])=0,0,IFERROR(MATCH(Tasks[[#This Row],[_Pred2UID]],Tasks[UID],0),-1))</f>
        <v>0</v>
      </c>
      <c r="CK140" s="43" t="n">
        <f aca="false">IF(N(Tasks[[#This Row],[_Pred3UID]])=0,0,IFERROR(MATCH(Tasks[[#This Row],[_Pred3UID]],Tasks[UID],0),-1))</f>
        <v>0</v>
      </c>
      <c r="CL140" s="43" t="n">
        <f aca="false">IF(N(Tasks[[#This Row],[_Pred4UID]])=0,0,IFERROR(MATCH(Tasks[[#This Row],[_Pred4UID]],Tasks[UID],0),-1))</f>
        <v>0</v>
      </c>
      <c r="CM1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0" s="91" t="n">
        <f aca="false">IF(OR(Tasks[[#This Row],[_ConstraintCode]]=2,Tasks[[#This Row],[_ConstraintCode]]=3,Tasks[[#This Row],[_ConstraintCode]]=4,Tasks[[#This Row],[_ConstraintCode]]=6),Tasks[[#This Row],[_ConstraintStart]],0)</f>
        <v>0</v>
      </c>
      <c r="CP140" s="91" t="n">
        <f aca="false">IF(OR(Tasks[[#This Row],[_ConstraintCode]]=2,Tasks[[#This Row],[_ConstraintCode]]=3,Tasks[[#This Row],[_ConstraintCode]]=5,Tasks[[#This Row],[_ConstraintCode]]=7),Tasks[[#This Row],[_ConstraintStart]],2958465)</f>
        <v>2958465</v>
      </c>
      <c r="CQ1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91" t="str">
        <f aca="false">IF(NOT(Tasks[[#This Row],[_IsLeaf]]=1),"",IF(N(Tasks[[#This Row],[_Days]])&lt;=0,Tasks[[#This Row],[_LeafCalcStart]],WORKDAY.INTL(Tasks[[#This Row],[_LeafCalcStart]],Tasks[[#This Row],[_Days]]-1,WorkWeek,Holidays)))</f>
        <v/>
      </c>
      <c r="CS1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3" t="str">
        <f aca="false">IF(Tasks[[#This Row],[_Predecessors]]="","",TRIM(MID(SUBSTITUTE(SUBSTITUTE(SUBSTITUTE(UPPER(Tasks[[#This Row],[_Predecessors]]),";",",")," ",""),",",REPT(" ",99)),1,99)))</f>
        <v/>
      </c>
      <c r="CV140" s="43" t="str">
        <f aca="false">IF(Tasks[[#This Row],[_Pred1Text]]="","",IFERROR(VALUE(LEFT(Tasks[[#This Row],[_Pred1Text]],MIN(FIND("F",Tasks[[#This Row],[_Pred1Text]]&amp;"F"),FIND("S",Tasks[[#This Row],[_Pred1Text]]&amp;"S"),FIND("+",Tasks[[#This Row],[_Pred1Text]]&amp;"+"),FIND("-",Tasks[[#This Row],[_Pred1Text]]&amp;"-"))-1)),""))</f>
        <v/>
      </c>
      <c r="CW1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3" t="str">
        <f aca="false">IF(Tasks[[#This Row],[_Pred1Text]]="","",TRIM(MID(SUBSTITUTE(SUBSTITUTE(SUBSTITUTE(UPPER(Tasks[[#This Row],[_Predecessors]]),";",",")," ",""),",",REPT(" ",99)),100,99)))</f>
        <v/>
      </c>
      <c r="CZ140" s="43" t="str">
        <f aca="false">IF(Tasks[[#This Row],[_Pred2Text]]="","",IFERROR(VALUE(LEFT(Tasks[[#This Row],[_Pred2Text]],MIN(FIND("F",Tasks[[#This Row],[_Pred2Text]]&amp;"F"),FIND("S",Tasks[[#This Row],[_Pred2Text]]&amp;"S"),FIND("+",Tasks[[#This Row],[_Pred2Text]]&amp;"+"),FIND("-",Tasks[[#This Row],[_Pred2Text]]&amp;"-"))-1)),""))</f>
        <v/>
      </c>
      <c r="DA1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3" t="str">
        <f aca="false">IF(Tasks[[#This Row],[_Pred2Text]]="","",TRIM(MID(SUBSTITUTE(SUBSTITUTE(SUBSTITUTE(UPPER(Tasks[[#This Row],[_Predecessors]]),";",",")," ",""),",",REPT(" ",99)),199,99)))</f>
        <v/>
      </c>
      <c r="DD140" s="43" t="str">
        <f aca="false">IF(Tasks[[#This Row],[_Pred3Text]]="","",IFERROR(VALUE(LEFT(Tasks[[#This Row],[_Pred3Text]],MIN(FIND("F",Tasks[[#This Row],[_Pred3Text]]&amp;"F"),FIND("S",Tasks[[#This Row],[_Pred3Text]]&amp;"S"),FIND("+",Tasks[[#This Row],[_Pred3Text]]&amp;"+"),FIND("-",Tasks[[#This Row],[_Pred3Text]]&amp;"-"))-1)),""))</f>
        <v/>
      </c>
      <c r="DE1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3" t="str">
        <f aca="false">IF(Tasks[[#This Row],[_Pred3Text]]="","",TRIM(MID(SUBSTITUTE(SUBSTITUTE(SUBSTITUTE(UPPER(Tasks[[#This Row],[_Predecessors]]),";",",")," ",""),",",REPT(" ",99)),298,99)))</f>
        <v/>
      </c>
      <c r="DH140" s="43" t="str">
        <f aca="false">IF(Tasks[[#This Row],[_Pred4Text]]="","",IFERROR(VALUE(LEFT(Tasks[[#This Row],[_Pred4Text]],MIN(FIND("F",Tasks[[#This Row],[_Pred4Text]]&amp;"F"),FIND("S",Tasks[[#This Row],[_Pred4Text]]&amp;"S"),FIND("+",Tasks[[#This Row],[_Pred4Text]]&amp;"+"),FIND("-",Tasks[[#This Row],[_Pred4Text]]&amp;"-"))-1)),""))</f>
        <v/>
      </c>
      <c r="DI1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3" t="str">
        <f aca="false">IF(OR(Tasks[[#This Row],[Task Name]]="",Tasks[[#This Row],[_Resources]]=""),"",TRIM(MID(SUBSTITUTE(Tasks[[#This Row],[_Resources]],",",REPT(" ",99)),1,99)))</f>
        <v/>
      </c>
      <c r="DL140" s="43" t="str">
        <f aca="false">IF(Tasks[[#This Row],[_Res1Text]]="","",TRIM(MID(SUBSTITUTE(Tasks[[#This Row],[_Resources]],",",REPT(" ",99)),100,99)))</f>
        <v/>
      </c>
      <c r="DM140" s="43" t="str">
        <f aca="false">IF(Tasks[[#This Row],[_Res2Text]]="","",TRIM(MID(SUBSTITUTE(Tasks[[#This Row],[_Resources]],",",REPT(" ",99)),199,99)))</f>
        <v/>
      </c>
      <c r="DN140" s="43" t="str">
        <f aca="false">IF(Tasks[[#This Row],[_Res3Text]]="","",TRIM(MID(SUBSTITUTE(Tasks[[#This Row],[_Resources]],",",REPT(" ",99)),298,99)))</f>
        <v/>
      </c>
      <c r="DO140" s="43" t="n">
        <f aca="false">IF(Tasks[[#This Row],[_Res1Text]]="",0,IFERROR(MATCH(TRIM(LEFT(Tasks[[#This Row],[_Res1Text]],FIND("[",Tasks[[#This Row],[_Res1Text]]&amp;"[")-1)),res_Name,0),IFERROR(MATCH(TRIM(LEFT(Tasks[[#This Row],[_Res1Text]],FIND("[",Tasks[[#This Row],[_Res1Text]]&amp;"[")-1)),res_Initials,0),0)))</f>
        <v>0</v>
      </c>
      <c r="DP140" s="43" t="n">
        <f aca="false">IF(Tasks[[#This Row],[_Res2Text]]="",0,IFERROR(MATCH(TRIM(LEFT(Tasks[[#This Row],[_Res2Text]],FIND("[",Tasks[[#This Row],[_Res2Text]]&amp;"[")-1)),res_Name,0),IFERROR(MATCH(TRIM(LEFT(Tasks[[#This Row],[_Res2Text]],FIND("[",Tasks[[#This Row],[_Res2Text]]&amp;"[")-1)),res_Initials,0),0)))</f>
        <v>0</v>
      </c>
      <c r="DQ140" s="43" t="n">
        <f aca="false">IF(Tasks[[#This Row],[_Res3Text]]="",0,IFERROR(MATCH(TRIM(LEFT(Tasks[[#This Row],[_Res3Text]],FIND("[",Tasks[[#This Row],[_Res3Text]]&amp;"[")-1)),res_Name,0),IFERROR(MATCH(TRIM(LEFT(Tasks[[#This Row],[_Res3Text]],FIND("[",Tasks[[#This Row],[_Res3Text]]&amp;"[")-1)),res_Initials,0),0)))</f>
        <v>0</v>
      </c>
      <c r="DR140" s="43" t="n">
        <f aca="false">IF(Tasks[[#This Row],[_Res4Text]]="",0,IFERROR(MATCH(TRIM(LEFT(Tasks[[#This Row],[_Res4Text]],FIND("[",Tasks[[#This Row],[_Res4Text]]&amp;"[")-1)),res_Name,0),IFERROR(MATCH(TRIM(LEFT(Tasks[[#This Row],[_Res4Text]],FIND("[",Tasks[[#This Row],[_Res4Text]]&amp;"[")-1)),res_Initials,0),0)))</f>
        <v>0</v>
      </c>
      <c r="DS140" s="43" t="str">
        <f aca="false">IF(Tasks[[#This Row],[_Res1Text]]="","",IF(Tasks[[#This Row],[_Res1Row]]&gt;0,INDEX(res_Name,Tasks[[#This Row],[_Res1Row]]),TRIM(LEFT(Tasks[[#This Row],[_Res1Text]],FIND("[",Tasks[[#This Row],[_Res1Text]]&amp;"[")-1))))</f>
        <v/>
      </c>
      <c r="DT1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3" t="n">
        <f aca="false">IF(NOT(Tasks[[#This Row],[_IsLeaf]]=1),0,(Tasks[[#This Row],[_Resource1]]&lt;&gt;"")+(Tasks[[#This Row],[_Res2]]&lt;&gt;"")+(Tasks[[#This Row],[_Res3]]&lt;&gt;"")+(Tasks[[#This Row],[_Res4]]&lt;&gt;""))</f>
        <v>0</v>
      </c>
      <c r="DV140" s="43" t="str">
        <f aca="false">IF(Tasks[[#This Row],[_Res2Text]]="","",IF(Tasks[[#This Row],[_Res2Row]]&gt;0,INDEX(res_Name,Tasks[[#This Row],[_Res2Row]]),TRIM(LEFT(Tasks[[#This Row],[_Res2Text]],FIND("[",Tasks[[#This Row],[_Res2Text]]&amp;"[")-1))))</f>
        <v/>
      </c>
      <c r="DW1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3" t="n">
        <f aca="false">IF(OR(NOT(Tasks[[#This Row],[_IsLeaf]]=1),Tasks[[#This Row],[_Res2Row]]=0),0,N(Tasks[[#This Row],[_Days]])*HoursPerDay*IF(Tasks[[#This Row],[_Res2Units]]="",DefaultUnits,Tasks[[#This Row],[_Res2Units]]))</f>
        <v>0</v>
      </c>
      <c r="DY140" s="43" t="n">
        <f aca="false">IF(AND(AND(Tasks[[#This Row],[_IsLeaf]]=1,Tasks[[#This Row],[_LeafTotalWork]]&gt;0),Tasks[[#This Row],[_Res2Work]]&gt;0),Tasks[[#This Row],[_Res2Work]]/(Tasks[[#This Row],[_FinishWorkday]]-Tasks[[#This Row],[_StartWorkday]]+1),0)</f>
        <v>0</v>
      </c>
      <c r="DZ140" s="43" t="n">
        <f aca="false">Tasks[[#This Row],[_Res2WorkPerWD]]*MAX(0,Tasks[[#This Row],[_StartWorkday]]-1)</f>
        <v>0</v>
      </c>
      <c r="EA140" s="43" t="n">
        <f aca="false">Tasks[[#This Row],[_Res2Work]]*Tasks[[#This Row],[_LeafProgress]]</f>
        <v>0</v>
      </c>
      <c r="EB140" s="43" t="str">
        <f aca="false">IF(Tasks[[#This Row],[_Res3Text]]="","",IF(Tasks[[#This Row],[_Res3Row]]&gt;0,INDEX(res_Name,Tasks[[#This Row],[_Res3Row]]),TRIM(LEFT(Tasks[[#This Row],[_Res3Text]],FIND("[",Tasks[[#This Row],[_Res3Text]]&amp;"[")-1))))</f>
        <v/>
      </c>
      <c r="EC1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3" t="n">
        <f aca="false">IF(OR(NOT(Tasks[[#This Row],[_IsLeaf]]=1),Tasks[[#This Row],[_Res3Row]]=0),0,N(Tasks[[#This Row],[_Days]])*HoursPerDay*IF(Tasks[[#This Row],[_Res3Units]]="",DefaultUnits,Tasks[[#This Row],[_Res3Units]]))</f>
        <v>0</v>
      </c>
      <c r="EE140" s="43" t="n">
        <f aca="false">IF(AND(AND(Tasks[[#This Row],[_IsLeaf]]=1,Tasks[[#This Row],[_LeafTotalWork]]&gt;0),Tasks[[#This Row],[_Res3Work]]&gt;0),Tasks[[#This Row],[_Res3Work]]/(Tasks[[#This Row],[_FinishWorkday]]-Tasks[[#This Row],[_StartWorkday]]+1),0)</f>
        <v>0</v>
      </c>
      <c r="EF140" s="43" t="n">
        <f aca="false">Tasks[[#This Row],[_Res3WorkPerWD]]*MAX(0,Tasks[[#This Row],[_StartWorkday]]-1)</f>
        <v>0</v>
      </c>
      <c r="EG140" s="43" t="n">
        <f aca="false">Tasks[[#This Row],[_Res3Work]]*Tasks[[#This Row],[_LeafProgress]]</f>
        <v>0</v>
      </c>
      <c r="EH140" s="43" t="str">
        <f aca="false">IF(Tasks[[#This Row],[_Res4Text]]="","",IF(Tasks[[#This Row],[_Res4Row]]&gt;0,INDEX(res_Name,Tasks[[#This Row],[_Res4Row]]),TRIM(LEFT(Tasks[[#This Row],[_Res4Text]],FIND("[",Tasks[[#This Row],[_Res4Text]]&amp;"[")-1))))</f>
        <v/>
      </c>
      <c r="EI1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3" t="n">
        <f aca="false">IF(OR(NOT(Tasks[[#This Row],[_IsLeaf]]=1),Tasks[[#This Row],[_Res4Row]]=0),0,N(Tasks[[#This Row],[_Days]])*HoursPerDay*IF(Tasks[[#This Row],[_Res4Units]]="",DefaultUnits,Tasks[[#This Row],[_Res4Units]]))</f>
        <v>0</v>
      </c>
      <c r="EK140" s="43" t="n">
        <f aca="false">IF(AND(AND(Tasks[[#This Row],[_IsLeaf]]=1,Tasks[[#This Row],[_LeafTotalWork]]&gt;0),Tasks[[#This Row],[_Res4Work]]&gt;0),Tasks[[#This Row],[_Res4Work]]/(Tasks[[#This Row],[_FinishWorkday]]-Tasks[[#This Row],[_StartWorkday]]+1),0)</f>
        <v>0</v>
      </c>
      <c r="EL140" s="43" t="n">
        <f aca="false">Tasks[[#This Row],[_Res4WorkPerWD]]*MAX(0,Tasks[[#This Row],[_StartWorkday]]-1)</f>
        <v>0</v>
      </c>
      <c r="EM140" s="43" t="n">
        <f aca="false">Tasks[[#This Row],[_Res4Work]]*Tasks[[#This Row],[_LeafProgress]]</f>
        <v>0</v>
      </c>
      <c r="EN140" s="43" t="n">
        <f aca="false">IF(ISNUMBER(Tasks[[#This Row],[% Complete]]),Tasks[[#This Row],[% Complete]],IF(Tasks[[#This Row],[Stage]]="",0,IFERROR(INDEX(stg_Pct,MATCH(Tasks[[#This Row],[Stage]],stg_Name,0)),0)))</f>
        <v>0</v>
      </c>
      <c r="EO140" s="43" t="n">
        <f aca="false">IF(NOT(Tasks[[#This Row],[_IsLeaf]]=1),0,IF(N(Tasks[[#This Row],[Actual Finish]])&gt;0,1,MIN(1,Tasks[[#This Row],[_Pct]])))</f>
        <v>0</v>
      </c>
      <c r="EP140" s="43" t="n">
        <f aca="false">IF(OR(NOT(Tasks[[#This Row],[_IsLeaf]]=1),Tasks[[#This Row],[_Res1Row]]=0),0,N(Tasks[[#This Row],[_Days]])*HoursPerDay*IF(Tasks[[#This Row],[_Units1]]="",DefaultUnits,Tasks[[#This Row],[_Units1]]))</f>
        <v>0</v>
      </c>
      <c r="EQ140" s="43" t="n">
        <f aca="false">Tasks[[#This Row],[_LeafWork]]+Tasks[[#This Row],[_Res2Work]]+Tasks[[#This Row],[_Res3Work]]+Tasks[[#This Row],[_Res4Work]]</f>
        <v>0</v>
      </c>
      <c r="ER1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3" t="n">
        <f aca="false">IF(NOT(Tasks[[#This Row],[_IsLeaf]]=1),0,MAX(_xlfn.MAXIFS(Tasks[_Row],Tasks[_Pred1UID],Tasks[[#This Row],[UID]]),_xlfn.MAXIFS(Tasks[_Row],Tasks[_Pred2UID],Tasks[[#This Row],[UID]]),_xlfn.MAXIFS(Tasks[_Row],Tasks[_Pred3UID],Tasks[[#This Row],[UID]]),_xlfn.MAXIFS(Tasks[_Row],Tasks[_Pred4UID],Tasks[[#This Row],[UID]])))</f>
        <v>0</v>
      </c>
      <c r="FA1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91" t="str">
        <f aca="false">IF(NOT(Tasks[[#This Row],[_IsLeaf]]=1),"",IF(N(Tasks[[#This Row],[_Days]])&lt;=0,Tasks[[#This Row],[_LeafLateFinish]],WORKDAY.INTL(Tasks[[#This Row],[_LeafLateFinish]],-(Tasks[[#This Row],[_Days]]-1),WorkWeek,Holidays)))</f>
        <v/>
      </c>
      <c r="FD1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0" s="90" t="b">
        <f aca="false">AND(Tasks[[#This Row],[_IsLeaf]]=1,Tasks[[#This Row],[_LeafProgress]]&lt;1,N(Tasks[[#This Row],[_LeafTotalSlack]])&lt;=CriticalSlackDays)</f>
        <v>0</v>
      </c>
      <c r="FF140" s="43" t="n">
        <f aca="false">IF(AND(Tasks[[#This Row],[_IsLeaf]]=1,Tasks[[#This Row],[_ConstraintCode]]=1,Tasks[[#This Row],[Mode]]&lt;&gt;"Manual",N(Tasks[[#This Row],[Actual Start]])=0),MAX(0,N(Tasks[[#This Row],[Free Slack]])),0)</f>
        <v>0</v>
      </c>
      <c r="FG140" s="91" t="str">
        <f aca="false">IF(NOT(Tasks[[#This Row],[_IsLeaf]]=1),"",IF(Tasks[[#This Row],[_AlapShift]]=0,Tasks[[#This Row],[_LeafCalcStart]],WORKDAY.INTL(Tasks[[#This Row],[_LeafCalcStart]],Tasks[[#This Row],[_AlapShift]],WorkWeek,Holidays)))</f>
        <v/>
      </c>
      <c r="FH140" s="91" t="str">
        <f aca="false">IF(NOT(Tasks[[#This Row],[_IsLeaf]]=1),"",IF(Tasks[[#This Row],[_AlapShift]]=0,Tasks[[#This Row],[_LeafCalcFinish]],WORKDAY.INTL(Tasks[[#This Row],[_LeafCalcFinish]],Tasks[[#This Row],[_AlapShift]],WorkWeek,Holidays)))</f>
        <v/>
      </c>
      <c r="FI140" s="91" t="str">
        <f aca="false">IF(NOT(Tasks[[#This Row],[_IsLeaf]]=1),"",IF(Tasks[[#This Row],[_AlapShift]]=0,Tasks[[#This Row],[_LeafFcstStart]],WORKDAY.INTL(Tasks[[#This Row],[_LeafFcstStart]],Tasks[[#This Row],[_AlapShift]],WorkWeek,Holidays)))</f>
        <v/>
      </c>
      <c r="FJ140" s="91" t="str">
        <f aca="false">IF(NOT(Tasks[[#This Row],[_IsLeaf]]=1),"",IF(Tasks[[#This Row],[_AlapShift]]=0,Tasks[[#This Row],[_LeafFcstFinish]],WORKDAY.INTL(Tasks[[#This Row],[_LeafFcstFinish]],Tasks[[#This Row],[_AlapShift]],WorkWeek,Holidays)))</f>
        <v/>
      </c>
      <c r="FK140" s="91" t="str">
        <f aca="false">IF(Tasks[[#This Row],[Task Name]]="","",IF(Tasks[[#This Row],[_IsSummary]],MIN(INDEX(Tasks[_ShownCalcStart],Tasks[[#This Row],[_Row]]+1):INDEX(Tasks[_ShownCalcStart],Tasks[[#This Row],[_Row]]+Tasks[[#This Row],[_Descendants]])),Tasks[[#This Row],[_ShownCalcStart]]))</f>
        <v/>
      </c>
      <c r="FL140" s="91" t="str">
        <f aca="false">IF(Tasks[[#This Row],[Task Name]]="","",IF(Tasks[[#This Row],[_IsSummary]],MAX(INDEX(Tasks[_ShownCalcFinish],Tasks[[#This Row],[_Row]]+1):INDEX(Tasks[_ShownCalcFinish],Tasks[[#This Row],[_Row]]+Tasks[[#This Row],[_Descendants]])),Tasks[[#This Row],[_ShownCalcFinish]]))</f>
        <v/>
      </c>
      <c r="FM1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0" s="43" t="n">
        <f aca="false">IF(AND(Tasks[[#This Row],[_IsLeaf]]=1,Tasks[[#This Row],[_LeafTotalWork]]&gt;0),NETWORKDAYS.INTL(ProjectStart,Tasks[[#This Row],[_ShownFcstStart]],WorkWeek,Holidays),0)</f>
        <v>0</v>
      </c>
      <c r="FZ140" s="43" t="n">
        <f aca="false">IF(AND(Tasks[[#This Row],[_IsLeaf]]=1,Tasks[[#This Row],[_LeafTotalWork]]&gt;0),MAX(Tasks[[#This Row],[_StartWorkday]],NETWORKDAYS.INTL(ProjectStart,Tasks[[#This Row],[_ShownFcstFinish]],WorkWeek,Holidays)),0)</f>
        <v>0</v>
      </c>
      <c r="GA140" s="43" t="n">
        <f aca="false">IF(AND(Tasks[[#This Row],[_IsLeaf]]=1,Tasks[[#This Row],[_LeafTotalWork]]&gt;0),Tasks[[#This Row],[_LeafWork]]/(Tasks[[#This Row],[_FinishWorkday]]-Tasks[[#This Row],[_StartWorkday]]+1),0)</f>
        <v>0</v>
      </c>
      <c r="GB140" s="43" t="n">
        <f aca="false">Tasks[[#This Row],[_WorkPerWorkday]]*(Tasks[[#This Row],[_StartWorkday]]-1)</f>
        <v>-0</v>
      </c>
      <c r="GC140" s="43" t="n">
        <f aca="false">IF(Tasks[[#This Row],[_IsLeaf]]=1,MAX(N(Tasks[[#This Row],[_Days]]),0.1),0)</f>
        <v>0</v>
      </c>
      <c r="GD140" s="43" t="n">
        <f aca="false">Tasks[[#This Row],[_WeightDur]]*Tasks[[#This Row],[_LeafProgress]]</f>
        <v>0</v>
      </c>
      <c r="GE140" s="43" t="n">
        <f aca="false">Tasks[[#This Row],[_WeightDur]]*Tasks[[#This Row],[_PlannedPct]]</f>
        <v>0</v>
      </c>
      <c r="GF1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3" t="str">
        <f aca="false">IF(AND(Tasks[[#This Row],[_IsLeaf]]=1,N(Tasks[[#This Row],[_Days]])=0,Tasks[[#This Row],[_LeafProgress]]&lt;1),Tasks[[#This Row],[_ShownFcstFinish]]+Tasks[[#This Row],[_Row]]/100000,"")</f>
        <v/>
      </c>
      <c r="GH1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0" s="43" t="str">
        <f aca="false">IF(Tasks[[#This Row],[Task Name]]="","",LEFT(Tasks[[#This Row],[WBS]],FIND(".",Tasks[[#This Row],[WBS]]&amp;".")-1))</f>
        <v/>
      </c>
      <c r="GJ140" s="43" t="str">
        <f aca="false">IF(AND(Tasks[[#This Row],[Task Name]]&lt;&gt;"",Tasks[[#This Row],[_Level]]=1),Tasks[[#This Row],[_Row]],"")</f>
        <v/>
      </c>
      <c r="GK140" s="43" t="str">
        <f aca="false">IF(AND(Tasks[[#This Row],[_IsLeaf]]=1,N(Tasks[[#This Row],[_Days]])=0),Tasks[[#This Row],[Planned Finish]]+Tasks[[#This Row],[_Row]]/100000,"")</f>
        <v/>
      </c>
      <c r="GL140" s="43" t="str">
        <f aca="false">IF(AND(Tasks[[#This Row],[_IsLeaf]]=1,Tasks[[#This Row],[_LeafProgress]]&lt;1,OR(N(Tasks[[#This Row],[Finish Var]])&gt;0,Tasks[[#This Row],[Status]]="Late Start")),MAX(0,Tasks[[#This Row],[Finish Var]])+1-Tasks[[#This Row],[_Row]]/1000000,"")</f>
        <v/>
      </c>
      <c r="GM140" s="43" t="str">
        <f aca="false">IF(AND(Tasks[[#This Row],[_IsLeaf]]=1,N(Tasks[[#This Row],[Actual Start]])=0,Tasks[[#This Row],[_ShownFcstStart]]&gt;=StatusDate,Tasks[[#This Row],[_ShownFcstStart]]&lt;=LookaheadEnd),Tasks[[#This Row],[_ShownFcstStart]]+Tasks[[#This Row],[_Row]]/100000,"")</f>
        <v/>
      </c>
      <c r="GN140" s="43" t="str">
        <f aca="false">IF(AND(Tasks[[#This Row],[_IsLeaf]]=1,Tasks[[#This Row],[_LeafProgress]]&lt;1,Tasks[[#This Row],[_ShownFcstFinish]]&gt;=StatusDate,Tasks[[#This Row],[_ShownFcstFinish]]&lt;=LookaheadEnd),Tasks[[#This Row],[_ShownFcstFinish]]+Tasks[[#This Row],[_Row]]/100000,"")</f>
        <v/>
      </c>
      <c r="GO140" s="43" t="str">
        <f aca="false">IF(Tasks[[#This Row],[_LeafCritical]],Tasks[[#This Row],[_ShownFcstStart]]+Tasks[[#This Row],[_Row]]/100000,"")</f>
        <v/>
      </c>
      <c r="GP140" s="43" t="n">
        <f aca="false">Tasks[[#This Row],[_LeafWork]]*Tasks[[#This Row],[_LeafProgress]]</f>
        <v>0</v>
      </c>
      <c r="GQ140" s="91" t="str">
        <f aca="false">IF(AND(Tasks[[#This Row],[_IsLeaf]]=1,Tasks[[#This Row],[_LeafProgress]]&gt;=1),IF(N(Tasks[[#This Row],[Actual Finish]])&gt;0,Tasks[[#This Row],[Actual Finish]],Tasks[[#This Row],[_ShownFcstFinish]]),"")</f>
        <v/>
      </c>
      <c r="GR140" s="43" t="n">
        <f aca="false">IF(Tasks[[#This Row],[_IsLeaf]]=1,N(Tasks[[#This Row],[Story Points]]),0)</f>
        <v>0</v>
      </c>
      <c r="GS140" s="43" t="str">
        <f aca="false">""</f>
        <v/>
      </c>
      <c r="GT140" s="90" t="b">
        <f aca="false">IF(Tasks[[#This Row],[Task Name]]="",FALSE(),AND(Tasks[[#This Row],[_IsLeaf]]=1,N(Tasks[[#This Row],[_Days]])=0))</f>
        <v>0</v>
      </c>
      <c r="GU140" s="91" t="n">
        <f aca="false">IF(Tasks[[#This Row],[Task Name]]="",0,IF(AND(Tasks[[#This Row],[_IsLeaf]]=1,NOT(Tasks[[#This Row],[_IsMilestone]]),N(Tasks[[#This Row],[Progress]])&gt;0),Tasks[[#This Row],[Start]],0))</f>
        <v>0</v>
      </c>
      <c r="GV140" s="91" t="n">
        <f aca="false">IF(Tasks[[#This Row],[_DoneFrom]]=0,0,IF(Tasks[[#This Row],[Progress]]&gt;=1,Tasks[[#This Row],[Finish]],MAX(Tasks[[#This Row],[_DoneFrom]],Tasks[[#This Row],[Start]]+ROUND((Tasks[[#This Row],[Finish]]-Tasks[[#This Row],[Start]]+1)*Tasks[[#This Row],[Progress]],0)-1)))</f>
        <v>0</v>
      </c>
      <c r="GW140" s="91" t="n">
        <f aca="false">IF(Tasks[[#This Row],[Task Name]]="",0,IF(OR(NOT(Tasks[[#This Row],[_IsLeaf]]=1),Tasks[[#This Row],[_IsMilestone]],N(Tasks[[#This Row],[Progress]])&gt;=1),0,IF(Tasks[[#This Row],[_DoneTo]]&gt;0,Tasks[[#This Row],[_DoneTo]]+1,Tasks[[#This Row],[Start]])))</f>
        <v>0</v>
      </c>
      <c r="GX140" s="91" t="n">
        <f aca="false">IF(Tasks[[#This Row],[_RemFrom]]=0,0,Tasks[[#This Row],[Finish]])</f>
        <v>0</v>
      </c>
      <c r="GY140" s="90" t="b">
        <f aca="false">IF(Tasks[[#This Row],[Task Name]]="",FALSE(),OR(NOT(BaselineSet),N(Tasks[[#This Row],[Baseline Start]])&gt;0))</f>
        <v>0</v>
      </c>
      <c r="GZ14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92" t="str">
        <f aca="false">IF(Tasks[[#This Row],[_IsLeaf]]=1,Tasks[[#This Row],[_Row]],"")</f>
        <v/>
      </c>
      <c r="HD140" s="92" t="str">
        <f aca="false">IFERROR(INDEX(Tasks[UID],SMALL(Tasks[_PickKey],Tasks[[#This Row],[_Row]]))&amp;" "&amp;INDEX(Tasks[Task Name],SMALL(Tasks[_PickKey],Tasks[[#This Row],[_Row]])),"")</f>
        <v/>
      </c>
      <c r="HE140" s="43" t="str">
        <f aca="false">IF(Tasks[[#This Row],[Task Name]]="","",IF(Tasks[[#This Row],[_IsSummary]],NETWORKDAYS.INTL(Tasks[[#This Row],[Start]],Tasks[[#This Row],[Finish]],WorkWeek,Holidays),N(Tasks[[#This Row],[_Days]])))</f>
        <v/>
      </c>
      <c r="HF140" s="43" t="n">
        <f aca="false">IF(Tasks[[#This Row],[Expected]]="",0,((Tasks[[#This Row],[Pessimistic]]-Tasks[[#This Row],[Optimistic]])/6)^2)</f>
        <v>0</v>
      </c>
      <c r="HG140" s="43" t="n">
        <f aca="false">IF(Tasks[[#This Row],[Expected]]="",0,Tasks[[#This Row],[Expected]]-N(Tasks[[#This Row],[_Days]]))</f>
        <v>0</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4"/>
      <c r="U141" s="23"/>
      <c r="V141" s="84"/>
      <c r="W141" s="23"/>
      <c r="X141" s="84"/>
      <c r="Y141" s="23"/>
      <c r="Z141" s="84"/>
      <c r="AA141" s="23"/>
      <c r="AB141" s="23"/>
      <c r="AC141" s="7"/>
      <c r="AD141" s="7"/>
      <c r="AE141" s="63" t="str">
        <f aca="false">IF(Tasks[[#This Row],[Task Name]]="","",IF(Tasks[[#This Row],[_IsSummary]],MIN(INDEX(Tasks[_ShownFcstStart],Tasks[[#This Row],[_Row]]+1):INDEX(Tasks[_ShownFcstStart],Tasks[[#This Row],[_Row]]+Tasks[[#This Row],[_Descendants]])),Tasks[[#This Row],[_ShownFcstStart]]))</f>
        <v/>
      </c>
      <c r="AF141" s="63"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1" s="7"/>
      <c r="AK141" s="22"/>
      <c r="AL141" s="23"/>
      <c r="AM141" s="7"/>
      <c r="AN141" s="47"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3" t="str">
        <f aca="false">IF(Tasks[[#This Row],[Task Name]]="","",IF(N(Tasks[[#This Row],[Baseline Start]])&gt;0,Tasks[[#This Row],[Baseline Start]],Tasks[[#This Row],[_CalcStart]]))</f>
        <v/>
      </c>
      <c r="AR141" s="63" t="str">
        <f aca="false">IF(Tasks[[#This Row],[Task Name]]="","",IF(N(Tasks[[#This Row],[Baseline Finish]])&gt;0,Tasks[[#This Row],[Baseline Finish]],Tasks[[#This Row],[_CalcFinish]]))</f>
        <v/>
      </c>
      <c r="AS141" s="47" t="str">
        <f aca="false">IF(Tasks[[#This Row],[Task Name]]="","",IF(Tasks[[#This Row],[Start]]&gt;=Tasks[[#This Row],[Planned Start]],NETWORKDAYS.INTL(Tasks[[#This Row],[Planned Start]],Tasks[[#This Row],[Start]],WorkWeek,Holidays)-1,1-NETWORKDAYS.INTL(Tasks[[#This Row],[Start]],Tasks[[#This Row],[Planned Start]],WorkWeek,Holidays)))</f>
        <v/>
      </c>
      <c r="AT141" s="63" t="str">
        <f aca="false">IF(Tasks[[#This Row],[Task Name]]="","",IF(Tasks[[#This Row],[_IsSummary]],MIN(INDEX(Tasks[_LeafLateStart],Tasks[[#This Row],[_Row]]+1):INDEX(Tasks[_LeafLateStart],Tasks[[#This Row],[_Row]]+Tasks[[#This Row],[_Descendants]])),Tasks[[#This Row],[_LeafLateStart]]))</f>
        <v/>
      </c>
      <c r="AU141" s="63" t="str">
        <f aca="false">IF(Tasks[[#This Row],[Task Name]]="","",IF(Tasks[[#This Row],[_IsSummary]],MAX(INDEX(Tasks[_LeafLateFinish],Tasks[[#This Row],[_Row]]+1):INDEX(Tasks[_LeafLateFinish],Tasks[[#This Row],[_Row]]+Tasks[[#This Row],[_Descendants]])),Tasks[[#This Row],[_LeafLateFinish]]))</f>
        <v/>
      </c>
      <c r="AV141" s="47"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5"/>
      <c r="BA1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6"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7"/>
      <c r="BJ141" s="22"/>
      <c r="BK141" s="47" t="str">
        <f aca="false">IF(OR(Tasks[[#This Row],[Task Name]]="",Tasks[[#This Row],[Baseline Duration]]=""),"",Tasks[[#This Row],[_SpanDays]]-N(Tasks[[#This Row],[Baseline Duration]]))</f>
        <v/>
      </c>
      <c r="BL141" s="86" t="str">
        <f aca="false">IF(OR(Tasks[[#This Row],[Task Name]]="",Tasks[[#This Row],[Baseline Work]]=""),"",Tasks[[#This Row],[Work]]-N(Tasks[[#This Row],[Baseline Work]]))</f>
        <v/>
      </c>
      <c r="BM141" s="63" t="str">
        <f aca="false">IF(Tasks[[#This Row],[Task Name]]="","",IF(OR(TakeBaseline="Yes",N(Tasks[[#This Row],[Baseline Start]])=0),Tasks[[#This Row],[Start]],Tasks[[#This Row],[Baseline Start]]))</f>
        <v/>
      </c>
      <c r="BN141" s="63" t="str">
        <f aca="false">IF(Tasks[[#This Row],[Task Name]]="","",IF(OR(TakeBaseline="Yes",N(Tasks[[#This Row],[Baseline Finish]])=0),Tasks[[#This Row],[Finish]],Tasks[[#This Row],[Baseline Finish]]))</f>
        <v/>
      </c>
      <c r="BO141" s="21" t="str">
        <f aca="false">IF(Tasks[[#This Row],[Task Name]]="","",IF(OR(TakeBaseline="Yes",N(Tasks[[#This Row],[Baseline Duration]])=0),Tasks[[#This Row],[_SpanDays]],Tasks[[#This Row],[Baseline Duration]]))</f>
        <v/>
      </c>
      <c r="BP141" s="86" t="str">
        <f aca="false">IF(Tasks[[#This Row],[Task Name]]="","",IF(OR(TakeBaseline="Yes",N(Tasks[[#This Row],[Baseline Work]])=0),Tasks[[#This Row],[Work]],Tasks[[#This Row],[Baseline Work]]))</f>
        <v/>
      </c>
      <c r="BQ141" s="7"/>
      <c r="BR141" s="7"/>
      <c r="BS141" s="22"/>
      <c r="BT141" s="88"/>
      <c r="BU141" s="23"/>
      <c r="BV141" s="23"/>
      <c r="BW141" s="23"/>
      <c r="BX141" s="89" t="str">
        <f aca="false">IF(AND(Tasks[[#This Row],[_IsLeaf]]=1,ISNUMBER(Tasks[[#This Row],[Optimistic]]),ISNUMBER(Tasks[[#This Row],[Pessimistic]])),ROUND((Tasks[[#This Row],[Optimistic]]+4*N(Tasks[[#This Row],[_Days]])+Tasks[[#This Row],[Pessimistic]])/6,1),"")</f>
        <v/>
      </c>
      <c r="BY141" s="87"/>
      <c r="BZ141" s="87"/>
      <c r="CA141" s="22"/>
      <c r="CB141" s="43" t="str">
        <f aca="false">IF(Tasks[[#This Row],[Task Name]]="","",MAX(1,N(Tasks[[#This Row],[Level]])))</f>
        <v/>
      </c>
      <c r="CC141" s="43" t="n">
        <f aca="false">ROW()-ROW(Tasks[[#Headers],[ID]])</f>
        <v>136</v>
      </c>
      <c r="CD141" s="43" t="n">
        <f aca="false">IF(OR(Tasks[[#This Row],[Task Name]]="",Tasks[[#This Row],[_Level]]&lt;=1),0,IFERROR(LOOKUP(2,1/(Tasks[[#Headers],[_Level]]:Tasks[[#This Row],[_Level]]=Tasks[[#This Row],[_Level]]-1),ROW(Tasks[[#Headers],[_Level]]:Tasks[[#This Row],[_Level]])),0))</f>
        <v>0</v>
      </c>
      <c r="CE141" s="43" t="n">
        <f aca="false">IFERROR(N(INDEX(Tasks[_Level],Tasks[[#This Row],[_Row]]+1)),0)</f>
        <v>0</v>
      </c>
      <c r="CF141" s="90" t="b">
        <f aca="false">AND(Tasks[[#This Row],[Task Name]]&lt;&gt;"",Tasks[[#This Row],[_NextLevel]]&gt;Tasks[[#This Row],[_Level]])</f>
        <v>0</v>
      </c>
      <c r="CG141" s="43" t="n">
        <f aca="false">IF(Tasks[[#This Row],[_IsSummary]],COUNTIF(Tasks[WBS],Tasks[[#This Row],[WBS]]&amp;".*"),0)</f>
        <v>0</v>
      </c>
      <c r="CH141" s="43" t="n">
        <f aca="false">IF(AND(Tasks[[#This Row],[Task Name]]&lt;&gt;"",NOT(Tasks[[#This Row],[_IsSummary]])),1,0)</f>
        <v>0</v>
      </c>
      <c r="CI141" s="43" t="n">
        <f aca="false">IF(N(Tasks[[#This Row],[_Pred1UID]])=0,0,IFERROR(MATCH(Tasks[[#This Row],[_Pred1UID]],Tasks[UID],0),-1))</f>
        <v>0</v>
      </c>
      <c r="CJ141" s="43" t="n">
        <f aca="false">IF(N(Tasks[[#This Row],[_Pred2UID]])=0,0,IFERROR(MATCH(Tasks[[#This Row],[_Pred2UID]],Tasks[UID],0),-1))</f>
        <v>0</v>
      </c>
      <c r="CK141" s="43" t="n">
        <f aca="false">IF(N(Tasks[[#This Row],[_Pred3UID]])=0,0,IFERROR(MATCH(Tasks[[#This Row],[_Pred3UID]],Tasks[UID],0),-1))</f>
        <v>0</v>
      </c>
      <c r="CL141" s="43" t="n">
        <f aca="false">IF(N(Tasks[[#This Row],[_Pred4UID]])=0,0,IFERROR(MATCH(Tasks[[#This Row],[_Pred4UID]],Tasks[UID],0),-1))</f>
        <v>0</v>
      </c>
      <c r="CM1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1" s="91" t="n">
        <f aca="false">IF(OR(Tasks[[#This Row],[_ConstraintCode]]=2,Tasks[[#This Row],[_ConstraintCode]]=3,Tasks[[#This Row],[_ConstraintCode]]=4,Tasks[[#This Row],[_ConstraintCode]]=6),Tasks[[#This Row],[_ConstraintStart]],0)</f>
        <v>0</v>
      </c>
      <c r="CP141" s="91" t="n">
        <f aca="false">IF(OR(Tasks[[#This Row],[_ConstraintCode]]=2,Tasks[[#This Row],[_ConstraintCode]]=3,Tasks[[#This Row],[_ConstraintCode]]=5,Tasks[[#This Row],[_ConstraintCode]]=7),Tasks[[#This Row],[_ConstraintStart]],2958465)</f>
        <v>2958465</v>
      </c>
      <c r="CQ1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91" t="str">
        <f aca="false">IF(NOT(Tasks[[#This Row],[_IsLeaf]]=1),"",IF(N(Tasks[[#This Row],[_Days]])&lt;=0,Tasks[[#This Row],[_LeafCalcStart]],WORKDAY.INTL(Tasks[[#This Row],[_LeafCalcStart]],Tasks[[#This Row],[_Days]]-1,WorkWeek,Holidays)))</f>
        <v/>
      </c>
      <c r="CS1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3" t="str">
        <f aca="false">IF(Tasks[[#This Row],[_Predecessors]]="","",TRIM(MID(SUBSTITUTE(SUBSTITUTE(SUBSTITUTE(UPPER(Tasks[[#This Row],[_Predecessors]]),";",",")," ",""),",",REPT(" ",99)),1,99)))</f>
        <v/>
      </c>
      <c r="CV141" s="43" t="str">
        <f aca="false">IF(Tasks[[#This Row],[_Pred1Text]]="","",IFERROR(VALUE(LEFT(Tasks[[#This Row],[_Pred1Text]],MIN(FIND("F",Tasks[[#This Row],[_Pred1Text]]&amp;"F"),FIND("S",Tasks[[#This Row],[_Pred1Text]]&amp;"S"),FIND("+",Tasks[[#This Row],[_Pred1Text]]&amp;"+"),FIND("-",Tasks[[#This Row],[_Pred1Text]]&amp;"-"))-1)),""))</f>
        <v/>
      </c>
      <c r="CW1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3" t="str">
        <f aca="false">IF(Tasks[[#This Row],[_Pred1Text]]="","",TRIM(MID(SUBSTITUTE(SUBSTITUTE(SUBSTITUTE(UPPER(Tasks[[#This Row],[_Predecessors]]),";",",")," ",""),",",REPT(" ",99)),100,99)))</f>
        <v/>
      </c>
      <c r="CZ141" s="43" t="str">
        <f aca="false">IF(Tasks[[#This Row],[_Pred2Text]]="","",IFERROR(VALUE(LEFT(Tasks[[#This Row],[_Pred2Text]],MIN(FIND("F",Tasks[[#This Row],[_Pred2Text]]&amp;"F"),FIND("S",Tasks[[#This Row],[_Pred2Text]]&amp;"S"),FIND("+",Tasks[[#This Row],[_Pred2Text]]&amp;"+"),FIND("-",Tasks[[#This Row],[_Pred2Text]]&amp;"-"))-1)),""))</f>
        <v/>
      </c>
      <c r="DA1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3" t="str">
        <f aca="false">IF(Tasks[[#This Row],[_Pred2Text]]="","",TRIM(MID(SUBSTITUTE(SUBSTITUTE(SUBSTITUTE(UPPER(Tasks[[#This Row],[_Predecessors]]),";",",")," ",""),",",REPT(" ",99)),199,99)))</f>
        <v/>
      </c>
      <c r="DD141" s="43" t="str">
        <f aca="false">IF(Tasks[[#This Row],[_Pred3Text]]="","",IFERROR(VALUE(LEFT(Tasks[[#This Row],[_Pred3Text]],MIN(FIND("F",Tasks[[#This Row],[_Pred3Text]]&amp;"F"),FIND("S",Tasks[[#This Row],[_Pred3Text]]&amp;"S"),FIND("+",Tasks[[#This Row],[_Pred3Text]]&amp;"+"),FIND("-",Tasks[[#This Row],[_Pred3Text]]&amp;"-"))-1)),""))</f>
        <v/>
      </c>
      <c r="DE1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3" t="str">
        <f aca="false">IF(Tasks[[#This Row],[_Pred3Text]]="","",TRIM(MID(SUBSTITUTE(SUBSTITUTE(SUBSTITUTE(UPPER(Tasks[[#This Row],[_Predecessors]]),";",",")," ",""),",",REPT(" ",99)),298,99)))</f>
        <v/>
      </c>
      <c r="DH141" s="43" t="str">
        <f aca="false">IF(Tasks[[#This Row],[_Pred4Text]]="","",IFERROR(VALUE(LEFT(Tasks[[#This Row],[_Pred4Text]],MIN(FIND("F",Tasks[[#This Row],[_Pred4Text]]&amp;"F"),FIND("S",Tasks[[#This Row],[_Pred4Text]]&amp;"S"),FIND("+",Tasks[[#This Row],[_Pred4Text]]&amp;"+"),FIND("-",Tasks[[#This Row],[_Pred4Text]]&amp;"-"))-1)),""))</f>
        <v/>
      </c>
      <c r="DI1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3" t="str">
        <f aca="false">IF(OR(Tasks[[#This Row],[Task Name]]="",Tasks[[#This Row],[_Resources]]=""),"",TRIM(MID(SUBSTITUTE(Tasks[[#This Row],[_Resources]],",",REPT(" ",99)),1,99)))</f>
        <v/>
      </c>
      <c r="DL141" s="43" t="str">
        <f aca="false">IF(Tasks[[#This Row],[_Res1Text]]="","",TRIM(MID(SUBSTITUTE(Tasks[[#This Row],[_Resources]],",",REPT(" ",99)),100,99)))</f>
        <v/>
      </c>
      <c r="DM141" s="43" t="str">
        <f aca="false">IF(Tasks[[#This Row],[_Res2Text]]="","",TRIM(MID(SUBSTITUTE(Tasks[[#This Row],[_Resources]],",",REPT(" ",99)),199,99)))</f>
        <v/>
      </c>
      <c r="DN141" s="43" t="str">
        <f aca="false">IF(Tasks[[#This Row],[_Res3Text]]="","",TRIM(MID(SUBSTITUTE(Tasks[[#This Row],[_Resources]],",",REPT(" ",99)),298,99)))</f>
        <v/>
      </c>
      <c r="DO141" s="43" t="n">
        <f aca="false">IF(Tasks[[#This Row],[_Res1Text]]="",0,IFERROR(MATCH(TRIM(LEFT(Tasks[[#This Row],[_Res1Text]],FIND("[",Tasks[[#This Row],[_Res1Text]]&amp;"[")-1)),res_Name,0),IFERROR(MATCH(TRIM(LEFT(Tasks[[#This Row],[_Res1Text]],FIND("[",Tasks[[#This Row],[_Res1Text]]&amp;"[")-1)),res_Initials,0),0)))</f>
        <v>0</v>
      </c>
      <c r="DP141" s="43" t="n">
        <f aca="false">IF(Tasks[[#This Row],[_Res2Text]]="",0,IFERROR(MATCH(TRIM(LEFT(Tasks[[#This Row],[_Res2Text]],FIND("[",Tasks[[#This Row],[_Res2Text]]&amp;"[")-1)),res_Name,0),IFERROR(MATCH(TRIM(LEFT(Tasks[[#This Row],[_Res2Text]],FIND("[",Tasks[[#This Row],[_Res2Text]]&amp;"[")-1)),res_Initials,0),0)))</f>
        <v>0</v>
      </c>
      <c r="DQ141" s="43" t="n">
        <f aca="false">IF(Tasks[[#This Row],[_Res3Text]]="",0,IFERROR(MATCH(TRIM(LEFT(Tasks[[#This Row],[_Res3Text]],FIND("[",Tasks[[#This Row],[_Res3Text]]&amp;"[")-1)),res_Name,0),IFERROR(MATCH(TRIM(LEFT(Tasks[[#This Row],[_Res3Text]],FIND("[",Tasks[[#This Row],[_Res3Text]]&amp;"[")-1)),res_Initials,0),0)))</f>
        <v>0</v>
      </c>
      <c r="DR141" s="43" t="n">
        <f aca="false">IF(Tasks[[#This Row],[_Res4Text]]="",0,IFERROR(MATCH(TRIM(LEFT(Tasks[[#This Row],[_Res4Text]],FIND("[",Tasks[[#This Row],[_Res4Text]]&amp;"[")-1)),res_Name,0),IFERROR(MATCH(TRIM(LEFT(Tasks[[#This Row],[_Res4Text]],FIND("[",Tasks[[#This Row],[_Res4Text]]&amp;"[")-1)),res_Initials,0),0)))</f>
        <v>0</v>
      </c>
      <c r="DS141" s="43" t="str">
        <f aca="false">IF(Tasks[[#This Row],[_Res1Text]]="","",IF(Tasks[[#This Row],[_Res1Row]]&gt;0,INDEX(res_Name,Tasks[[#This Row],[_Res1Row]]),TRIM(LEFT(Tasks[[#This Row],[_Res1Text]],FIND("[",Tasks[[#This Row],[_Res1Text]]&amp;"[")-1))))</f>
        <v/>
      </c>
      <c r="DT1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3" t="n">
        <f aca="false">IF(NOT(Tasks[[#This Row],[_IsLeaf]]=1),0,(Tasks[[#This Row],[_Resource1]]&lt;&gt;"")+(Tasks[[#This Row],[_Res2]]&lt;&gt;"")+(Tasks[[#This Row],[_Res3]]&lt;&gt;"")+(Tasks[[#This Row],[_Res4]]&lt;&gt;""))</f>
        <v>0</v>
      </c>
      <c r="DV141" s="43" t="str">
        <f aca="false">IF(Tasks[[#This Row],[_Res2Text]]="","",IF(Tasks[[#This Row],[_Res2Row]]&gt;0,INDEX(res_Name,Tasks[[#This Row],[_Res2Row]]),TRIM(LEFT(Tasks[[#This Row],[_Res2Text]],FIND("[",Tasks[[#This Row],[_Res2Text]]&amp;"[")-1))))</f>
        <v/>
      </c>
      <c r="DW1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3" t="n">
        <f aca="false">IF(OR(NOT(Tasks[[#This Row],[_IsLeaf]]=1),Tasks[[#This Row],[_Res2Row]]=0),0,N(Tasks[[#This Row],[_Days]])*HoursPerDay*IF(Tasks[[#This Row],[_Res2Units]]="",DefaultUnits,Tasks[[#This Row],[_Res2Units]]))</f>
        <v>0</v>
      </c>
      <c r="DY141" s="43" t="n">
        <f aca="false">IF(AND(AND(Tasks[[#This Row],[_IsLeaf]]=1,Tasks[[#This Row],[_LeafTotalWork]]&gt;0),Tasks[[#This Row],[_Res2Work]]&gt;0),Tasks[[#This Row],[_Res2Work]]/(Tasks[[#This Row],[_FinishWorkday]]-Tasks[[#This Row],[_StartWorkday]]+1),0)</f>
        <v>0</v>
      </c>
      <c r="DZ141" s="43" t="n">
        <f aca="false">Tasks[[#This Row],[_Res2WorkPerWD]]*MAX(0,Tasks[[#This Row],[_StartWorkday]]-1)</f>
        <v>0</v>
      </c>
      <c r="EA141" s="43" t="n">
        <f aca="false">Tasks[[#This Row],[_Res2Work]]*Tasks[[#This Row],[_LeafProgress]]</f>
        <v>0</v>
      </c>
      <c r="EB141" s="43" t="str">
        <f aca="false">IF(Tasks[[#This Row],[_Res3Text]]="","",IF(Tasks[[#This Row],[_Res3Row]]&gt;0,INDEX(res_Name,Tasks[[#This Row],[_Res3Row]]),TRIM(LEFT(Tasks[[#This Row],[_Res3Text]],FIND("[",Tasks[[#This Row],[_Res3Text]]&amp;"[")-1))))</f>
        <v/>
      </c>
      <c r="EC1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3" t="n">
        <f aca="false">IF(OR(NOT(Tasks[[#This Row],[_IsLeaf]]=1),Tasks[[#This Row],[_Res3Row]]=0),0,N(Tasks[[#This Row],[_Days]])*HoursPerDay*IF(Tasks[[#This Row],[_Res3Units]]="",DefaultUnits,Tasks[[#This Row],[_Res3Units]]))</f>
        <v>0</v>
      </c>
      <c r="EE141" s="43" t="n">
        <f aca="false">IF(AND(AND(Tasks[[#This Row],[_IsLeaf]]=1,Tasks[[#This Row],[_LeafTotalWork]]&gt;0),Tasks[[#This Row],[_Res3Work]]&gt;0),Tasks[[#This Row],[_Res3Work]]/(Tasks[[#This Row],[_FinishWorkday]]-Tasks[[#This Row],[_StartWorkday]]+1),0)</f>
        <v>0</v>
      </c>
      <c r="EF141" s="43" t="n">
        <f aca="false">Tasks[[#This Row],[_Res3WorkPerWD]]*MAX(0,Tasks[[#This Row],[_StartWorkday]]-1)</f>
        <v>0</v>
      </c>
      <c r="EG141" s="43" t="n">
        <f aca="false">Tasks[[#This Row],[_Res3Work]]*Tasks[[#This Row],[_LeafProgress]]</f>
        <v>0</v>
      </c>
      <c r="EH141" s="43" t="str">
        <f aca="false">IF(Tasks[[#This Row],[_Res4Text]]="","",IF(Tasks[[#This Row],[_Res4Row]]&gt;0,INDEX(res_Name,Tasks[[#This Row],[_Res4Row]]),TRIM(LEFT(Tasks[[#This Row],[_Res4Text]],FIND("[",Tasks[[#This Row],[_Res4Text]]&amp;"[")-1))))</f>
        <v/>
      </c>
      <c r="EI1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3" t="n">
        <f aca="false">IF(OR(NOT(Tasks[[#This Row],[_IsLeaf]]=1),Tasks[[#This Row],[_Res4Row]]=0),0,N(Tasks[[#This Row],[_Days]])*HoursPerDay*IF(Tasks[[#This Row],[_Res4Units]]="",DefaultUnits,Tasks[[#This Row],[_Res4Units]]))</f>
        <v>0</v>
      </c>
      <c r="EK141" s="43" t="n">
        <f aca="false">IF(AND(AND(Tasks[[#This Row],[_IsLeaf]]=1,Tasks[[#This Row],[_LeafTotalWork]]&gt;0),Tasks[[#This Row],[_Res4Work]]&gt;0),Tasks[[#This Row],[_Res4Work]]/(Tasks[[#This Row],[_FinishWorkday]]-Tasks[[#This Row],[_StartWorkday]]+1),0)</f>
        <v>0</v>
      </c>
      <c r="EL141" s="43" t="n">
        <f aca="false">Tasks[[#This Row],[_Res4WorkPerWD]]*MAX(0,Tasks[[#This Row],[_StartWorkday]]-1)</f>
        <v>0</v>
      </c>
      <c r="EM141" s="43" t="n">
        <f aca="false">Tasks[[#This Row],[_Res4Work]]*Tasks[[#This Row],[_LeafProgress]]</f>
        <v>0</v>
      </c>
      <c r="EN141" s="43" t="n">
        <f aca="false">IF(ISNUMBER(Tasks[[#This Row],[% Complete]]),Tasks[[#This Row],[% Complete]],IF(Tasks[[#This Row],[Stage]]="",0,IFERROR(INDEX(stg_Pct,MATCH(Tasks[[#This Row],[Stage]],stg_Name,0)),0)))</f>
        <v>0</v>
      </c>
      <c r="EO141" s="43" t="n">
        <f aca="false">IF(NOT(Tasks[[#This Row],[_IsLeaf]]=1),0,IF(N(Tasks[[#This Row],[Actual Finish]])&gt;0,1,MIN(1,Tasks[[#This Row],[_Pct]])))</f>
        <v>0</v>
      </c>
      <c r="EP141" s="43" t="n">
        <f aca="false">IF(OR(NOT(Tasks[[#This Row],[_IsLeaf]]=1),Tasks[[#This Row],[_Res1Row]]=0),0,N(Tasks[[#This Row],[_Days]])*HoursPerDay*IF(Tasks[[#This Row],[_Units1]]="",DefaultUnits,Tasks[[#This Row],[_Units1]]))</f>
        <v>0</v>
      </c>
      <c r="EQ141" s="43" t="n">
        <f aca="false">Tasks[[#This Row],[_LeafWork]]+Tasks[[#This Row],[_Res2Work]]+Tasks[[#This Row],[_Res3Work]]+Tasks[[#This Row],[_Res4Work]]</f>
        <v>0</v>
      </c>
      <c r="ER1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3" t="n">
        <f aca="false">IF(NOT(Tasks[[#This Row],[_IsLeaf]]=1),0,MAX(_xlfn.MAXIFS(Tasks[_Row],Tasks[_Pred1UID],Tasks[[#This Row],[UID]]),_xlfn.MAXIFS(Tasks[_Row],Tasks[_Pred2UID],Tasks[[#This Row],[UID]]),_xlfn.MAXIFS(Tasks[_Row],Tasks[_Pred3UID],Tasks[[#This Row],[UID]]),_xlfn.MAXIFS(Tasks[_Row],Tasks[_Pred4UID],Tasks[[#This Row],[UID]])))</f>
        <v>0</v>
      </c>
      <c r="FA1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91" t="str">
        <f aca="false">IF(NOT(Tasks[[#This Row],[_IsLeaf]]=1),"",IF(N(Tasks[[#This Row],[_Days]])&lt;=0,Tasks[[#This Row],[_LeafLateFinish]],WORKDAY.INTL(Tasks[[#This Row],[_LeafLateFinish]],-(Tasks[[#This Row],[_Days]]-1),WorkWeek,Holidays)))</f>
        <v/>
      </c>
      <c r="FD1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1" s="90" t="b">
        <f aca="false">AND(Tasks[[#This Row],[_IsLeaf]]=1,Tasks[[#This Row],[_LeafProgress]]&lt;1,N(Tasks[[#This Row],[_LeafTotalSlack]])&lt;=CriticalSlackDays)</f>
        <v>0</v>
      </c>
      <c r="FF141" s="43" t="n">
        <f aca="false">IF(AND(Tasks[[#This Row],[_IsLeaf]]=1,Tasks[[#This Row],[_ConstraintCode]]=1,Tasks[[#This Row],[Mode]]&lt;&gt;"Manual",N(Tasks[[#This Row],[Actual Start]])=0),MAX(0,N(Tasks[[#This Row],[Free Slack]])),0)</f>
        <v>0</v>
      </c>
      <c r="FG141" s="91" t="str">
        <f aca="false">IF(NOT(Tasks[[#This Row],[_IsLeaf]]=1),"",IF(Tasks[[#This Row],[_AlapShift]]=0,Tasks[[#This Row],[_LeafCalcStart]],WORKDAY.INTL(Tasks[[#This Row],[_LeafCalcStart]],Tasks[[#This Row],[_AlapShift]],WorkWeek,Holidays)))</f>
        <v/>
      </c>
      <c r="FH141" s="91" t="str">
        <f aca="false">IF(NOT(Tasks[[#This Row],[_IsLeaf]]=1),"",IF(Tasks[[#This Row],[_AlapShift]]=0,Tasks[[#This Row],[_LeafCalcFinish]],WORKDAY.INTL(Tasks[[#This Row],[_LeafCalcFinish]],Tasks[[#This Row],[_AlapShift]],WorkWeek,Holidays)))</f>
        <v/>
      </c>
      <c r="FI141" s="91" t="str">
        <f aca="false">IF(NOT(Tasks[[#This Row],[_IsLeaf]]=1),"",IF(Tasks[[#This Row],[_AlapShift]]=0,Tasks[[#This Row],[_LeafFcstStart]],WORKDAY.INTL(Tasks[[#This Row],[_LeafFcstStart]],Tasks[[#This Row],[_AlapShift]],WorkWeek,Holidays)))</f>
        <v/>
      </c>
      <c r="FJ141" s="91" t="str">
        <f aca="false">IF(NOT(Tasks[[#This Row],[_IsLeaf]]=1),"",IF(Tasks[[#This Row],[_AlapShift]]=0,Tasks[[#This Row],[_LeafFcstFinish]],WORKDAY.INTL(Tasks[[#This Row],[_LeafFcstFinish]],Tasks[[#This Row],[_AlapShift]],WorkWeek,Holidays)))</f>
        <v/>
      </c>
      <c r="FK141" s="91" t="str">
        <f aca="false">IF(Tasks[[#This Row],[Task Name]]="","",IF(Tasks[[#This Row],[_IsSummary]],MIN(INDEX(Tasks[_ShownCalcStart],Tasks[[#This Row],[_Row]]+1):INDEX(Tasks[_ShownCalcStart],Tasks[[#This Row],[_Row]]+Tasks[[#This Row],[_Descendants]])),Tasks[[#This Row],[_ShownCalcStart]]))</f>
        <v/>
      </c>
      <c r="FL141" s="91" t="str">
        <f aca="false">IF(Tasks[[#This Row],[Task Name]]="","",IF(Tasks[[#This Row],[_IsSummary]],MAX(INDEX(Tasks[_ShownCalcFinish],Tasks[[#This Row],[_Row]]+1):INDEX(Tasks[_ShownCalcFinish],Tasks[[#This Row],[_Row]]+Tasks[[#This Row],[_Descendants]])),Tasks[[#This Row],[_ShownCalcFinish]]))</f>
        <v/>
      </c>
      <c r="FM1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1" s="43" t="n">
        <f aca="false">IF(AND(Tasks[[#This Row],[_IsLeaf]]=1,Tasks[[#This Row],[_LeafTotalWork]]&gt;0),NETWORKDAYS.INTL(ProjectStart,Tasks[[#This Row],[_ShownFcstStart]],WorkWeek,Holidays),0)</f>
        <v>0</v>
      </c>
      <c r="FZ141" s="43" t="n">
        <f aca="false">IF(AND(Tasks[[#This Row],[_IsLeaf]]=1,Tasks[[#This Row],[_LeafTotalWork]]&gt;0),MAX(Tasks[[#This Row],[_StartWorkday]],NETWORKDAYS.INTL(ProjectStart,Tasks[[#This Row],[_ShownFcstFinish]],WorkWeek,Holidays)),0)</f>
        <v>0</v>
      </c>
      <c r="GA141" s="43" t="n">
        <f aca="false">IF(AND(Tasks[[#This Row],[_IsLeaf]]=1,Tasks[[#This Row],[_LeafTotalWork]]&gt;0),Tasks[[#This Row],[_LeafWork]]/(Tasks[[#This Row],[_FinishWorkday]]-Tasks[[#This Row],[_StartWorkday]]+1),0)</f>
        <v>0</v>
      </c>
      <c r="GB141" s="43" t="n">
        <f aca="false">Tasks[[#This Row],[_WorkPerWorkday]]*(Tasks[[#This Row],[_StartWorkday]]-1)</f>
        <v>-0</v>
      </c>
      <c r="GC141" s="43" t="n">
        <f aca="false">IF(Tasks[[#This Row],[_IsLeaf]]=1,MAX(N(Tasks[[#This Row],[_Days]]),0.1),0)</f>
        <v>0</v>
      </c>
      <c r="GD141" s="43" t="n">
        <f aca="false">Tasks[[#This Row],[_WeightDur]]*Tasks[[#This Row],[_LeafProgress]]</f>
        <v>0</v>
      </c>
      <c r="GE141" s="43" t="n">
        <f aca="false">Tasks[[#This Row],[_WeightDur]]*Tasks[[#This Row],[_PlannedPct]]</f>
        <v>0</v>
      </c>
      <c r="GF1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3" t="str">
        <f aca="false">IF(AND(Tasks[[#This Row],[_IsLeaf]]=1,N(Tasks[[#This Row],[_Days]])=0,Tasks[[#This Row],[_LeafProgress]]&lt;1),Tasks[[#This Row],[_ShownFcstFinish]]+Tasks[[#This Row],[_Row]]/100000,"")</f>
        <v/>
      </c>
      <c r="GH1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1" s="43" t="str">
        <f aca="false">IF(Tasks[[#This Row],[Task Name]]="","",LEFT(Tasks[[#This Row],[WBS]],FIND(".",Tasks[[#This Row],[WBS]]&amp;".")-1))</f>
        <v/>
      </c>
      <c r="GJ141" s="43" t="str">
        <f aca="false">IF(AND(Tasks[[#This Row],[Task Name]]&lt;&gt;"",Tasks[[#This Row],[_Level]]=1),Tasks[[#This Row],[_Row]],"")</f>
        <v/>
      </c>
      <c r="GK141" s="43" t="str">
        <f aca="false">IF(AND(Tasks[[#This Row],[_IsLeaf]]=1,N(Tasks[[#This Row],[_Days]])=0),Tasks[[#This Row],[Planned Finish]]+Tasks[[#This Row],[_Row]]/100000,"")</f>
        <v/>
      </c>
      <c r="GL141" s="43" t="str">
        <f aca="false">IF(AND(Tasks[[#This Row],[_IsLeaf]]=1,Tasks[[#This Row],[_LeafProgress]]&lt;1,OR(N(Tasks[[#This Row],[Finish Var]])&gt;0,Tasks[[#This Row],[Status]]="Late Start")),MAX(0,Tasks[[#This Row],[Finish Var]])+1-Tasks[[#This Row],[_Row]]/1000000,"")</f>
        <v/>
      </c>
      <c r="GM141" s="43" t="str">
        <f aca="false">IF(AND(Tasks[[#This Row],[_IsLeaf]]=1,N(Tasks[[#This Row],[Actual Start]])=0,Tasks[[#This Row],[_ShownFcstStart]]&gt;=StatusDate,Tasks[[#This Row],[_ShownFcstStart]]&lt;=LookaheadEnd),Tasks[[#This Row],[_ShownFcstStart]]+Tasks[[#This Row],[_Row]]/100000,"")</f>
        <v/>
      </c>
      <c r="GN141" s="43" t="str">
        <f aca="false">IF(AND(Tasks[[#This Row],[_IsLeaf]]=1,Tasks[[#This Row],[_LeafProgress]]&lt;1,Tasks[[#This Row],[_ShownFcstFinish]]&gt;=StatusDate,Tasks[[#This Row],[_ShownFcstFinish]]&lt;=LookaheadEnd),Tasks[[#This Row],[_ShownFcstFinish]]+Tasks[[#This Row],[_Row]]/100000,"")</f>
        <v/>
      </c>
      <c r="GO141" s="43" t="str">
        <f aca="false">IF(Tasks[[#This Row],[_LeafCritical]],Tasks[[#This Row],[_ShownFcstStart]]+Tasks[[#This Row],[_Row]]/100000,"")</f>
        <v/>
      </c>
      <c r="GP141" s="43" t="n">
        <f aca="false">Tasks[[#This Row],[_LeafWork]]*Tasks[[#This Row],[_LeafProgress]]</f>
        <v>0</v>
      </c>
      <c r="GQ141" s="91" t="str">
        <f aca="false">IF(AND(Tasks[[#This Row],[_IsLeaf]]=1,Tasks[[#This Row],[_LeafProgress]]&gt;=1),IF(N(Tasks[[#This Row],[Actual Finish]])&gt;0,Tasks[[#This Row],[Actual Finish]],Tasks[[#This Row],[_ShownFcstFinish]]),"")</f>
        <v/>
      </c>
      <c r="GR141" s="43" t="n">
        <f aca="false">IF(Tasks[[#This Row],[_IsLeaf]]=1,N(Tasks[[#This Row],[Story Points]]),0)</f>
        <v>0</v>
      </c>
      <c r="GS141" s="43" t="str">
        <f aca="false">""</f>
        <v/>
      </c>
      <c r="GT141" s="90" t="b">
        <f aca="false">IF(Tasks[[#This Row],[Task Name]]="",FALSE(),AND(Tasks[[#This Row],[_IsLeaf]]=1,N(Tasks[[#This Row],[_Days]])=0))</f>
        <v>0</v>
      </c>
      <c r="GU141" s="91" t="n">
        <f aca="false">IF(Tasks[[#This Row],[Task Name]]="",0,IF(AND(Tasks[[#This Row],[_IsLeaf]]=1,NOT(Tasks[[#This Row],[_IsMilestone]]),N(Tasks[[#This Row],[Progress]])&gt;0),Tasks[[#This Row],[Start]],0))</f>
        <v>0</v>
      </c>
      <c r="GV141" s="91" t="n">
        <f aca="false">IF(Tasks[[#This Row],[_DoneFrom]]=0,0,IF(Tasks[[#This Row],[Progress]]&gt;=1,Tasks[[#This Row],[Finish]],MAX(Tasks[[#This Row],[_DoneFrom]],Tasks[[#This Row],[Start]]+ROUND((Tasks[[#This Row],[Finish]]-Tasks[[#This Row],[Start]]+1)*Tasks[[#This Row],[Progress]],0)-1)))</f>
        <v>0</v>
      </c>
      <c r="GW141" s="91" t="n">
        <f aca="false">IF(Tasks[[#This Row],[Task Name]]="",0,IF(OR(NOT(Tasks[[#This Row],[_IsLeaf]]=1),Tasks[[#This Row],[_IsMilestone]],N(Tasks[[#This Row],[Progress]])&gt;=1),0,IF(Tasks[[#This Row],[_DoneTo]]&gt;0,Tasks[[#This Row],[_DoneTo]]+1,Tasks[[#This Row],[Start]])))</f>
        <v>0</v>
      </c>
      <c r="GX141" s="91" t="n">
        <f aca="false">IF(Tasks[[#This Row],[_RemFrom]]=0,0,Tasks[[#This Row],[Finish]])</f>
        <v>0</v>
      </c>
      <c r="GY141" s="90" t="b">
        <f aca="false">IF(Tasks[[#This Row],[Task Name]]="",FALSE(),OR(NOT(BaselineSet),N(Tasks[[#This Row],[Baseline Start]])&gt;0))</f>
        <v>0</v>
      </c>
      <c r="GZ14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92" t="str">
        <f aca="false">IF(Tasks[[#This Row],[_IsLeaf]]=1,Tasks[[#This Row],[_Row]],"")</f>
        <v/>
      </c>
      <c r="HD141" s="92" t="str">
        <f aca="false">IFERROR(INDEX(Tasks[UID],SMALL(Tasks[_PickKey],Tasks[[#This Row],[_Row]]))&amp;" "&amp;INDEX(Tasks[Task Name],SMALL(Tasks[_PickKey],Tasks[[#This Row],[_Row]])),"")</f>
        <v/>
      </c>
      <c r="HE141" s="43" t="str">
        <f aca="false">IF(Tasks[[#This Row],[Task Name]]="","",IF(Tasks[[#This Row],[_IsSummary]],NETWORKDAYS.INTL(Tasks[[#This Row],[Start]],Tasks[[#This Row],[Finish]],WorkWeek,Holidays),N(Tasks[[#This Row],[_Days]])))</f>
        <v/>
      </c>
      <c r="HF141" s="43" t="n">
        <f aca="false">IF(Tasks[[#This Row],[Expected]]="",0,((Tasks[[#This Row],[Pessimistic]]-Tasks[[#This Row],[Optimistic]])/6)^2)</f>
        <v>0</v>
      </c>
      <c r="HG141" s="43" t="n">
        <f aca="false">IF(Tasks[[#This Row],[Expected]]="",0,Tasks[[#This Row],[Expected]]-N(Tasks[[#This Row],[_Days]]))</f>
        <v>0</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4"/>
      <c r="U142" s="23"/>
      <c r="V142" s="84"/>
      <c r="W142" s="23"/>
      <c r="X142" s="84"/>
      <c r="Y142" s="23"/>
      <c r="Z142" s="84"/>
      <c r="AA142" s="23"/>
      <c r="AB142" s="23"/>
      <c r="AC142" s="7"/>
      <c r="AD142" s="7"/>
      <c r="AE142" s="63" t="str">
        <f aca="false">IF(Tasks[[#This Row],[Task Name]]="","",IF(Tasks[[#This Row],[_IsSummary]],MIN(INDEX(Tasks[_ShownFcstStart],Tasks[[#This Row],[_Row]]+1):INDEX(Tasks[_ShownFcstStart],Tasks[[#This Row],[_Row]]+Tasks[[#This Row],[_Descendants]])),Tasks[[#This Row],[_ShownFcstStart]]))</f>
        <v/>
      </c>
      <c r="AF142" s="63"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2" s="7"/>
      <c r="AK142" s="22"/>
      <c r="AL142" s="23"/>
      <c r="AM142" s="7"/>
      <c r="AN142" s="47"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3" t="str">
        <f aca="false">IF(Tasks[[#This Row],[Task Name]]="","",IF(N(Tasks[[#This Row],[Baseline Start]])&gt;0,Tasks[[#This Row],[Baseline Start]],Tasks[[#This Row],[_CalcStart]]))</f>
        <v/>
      </c>
      <c r="AR142" s="63" t="str">
        <f aca="false">IF(Tasks[[#This Row],[Task Name]]="","",IF(N(Tasks[[#This Row],[Baseline Finish]])&gt;0,Tasks[[#This Row],[Baseline Finish]],Tasks[[#This Row],[_CalcFinish]]))</f>
        <v/>
      </c>
      <c r="AS142" s="47" t="str">
        <f aca="false">IF(Tasks[[#This Row],[Task Name]]="","",IF(Tasks[[#This Row],[Start]]&gt;=Tasks[[#This Row],[Planned Start]],NETWORKDAYS.INTL(Tasks[[#This Row],[Planned Start]],Tasks[[#This Row],[Start]],WorkWeek,Holidays)-1,1-NETWORKDAYS.INTL(Tasks[[#This Row],[Start]],Tasks[[#This Row],[Planned Start]],WorkWeek,Holidays)))</f>
        <v/>
      </c>
      <c r="AT142" s="63" t="str">
        <f aca="false">IF(Tasks[[#This Row],[Task Name]]="","",IF(Tasks[[#This Row],[_IsSummary]],MIN(INDEX(Tasks[_LeafLateStart],Tasks[[#This Row],[_Row]]+1):INDEX(Tasks[_LeafLateStart],Tasks[[#This Row],[_Row]]+Tasks[[#This Row],[_Descendants]])),Tasks[[#This Row],[_LeafLateStart]]))</f>
        <v/>
      </c>
      <c r="AU142" s="63" t="str">
        <f aca="false">IF(Tasks[[#This Row],[Task Name]]="","",IF(Tasks[[#This Row],[_IsSummary]],MAX(INDEX(Tasks[_LeafLateFinish],Tasks[[#This Row],[_Row]]+1):INDEX(Tasks[_LeafLateFinish],Tasks[[#This Row],[_Row]]+Tasks[[#This Row],[_Descendants]])),Tasks[[#This Row],[_LeafLateFinish]]))</f>
        <v/>
      </c>
      <c r="AV142" s="47"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5"/>
      <c r="BA1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6"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7"/>
      <c r="BJ142" s="22"/>
      <c r="BK142" s="47" t="str">
        <f aca="false">IF(OR(Tasks[[#This Row],[Task Name]]="",Tasks[[#This Row],[Baseline Duration]]=""),"",Tasks[[#This Row],[_SpanDays]]-N(Tasks[[#This Row],[Baseline Duration]]))</f>
        <v/>
      </c>
      <c r="BL142" s="86" t="str">
        <f aca="false">IF(OR(Tasks[[#This Row],[Task Name]]="",Tasks[[#This Row],[Baseline Work]]=""),"",Tasks[[#This Row],[Work]]-N(Tasks[[#This Row],[Baseline Work]]))</f>
        <v/>
      </c>
      <c r="BM142" s="63" t="str">
        <f aca="false">IF(Tasks[[#This Row],[Task Name]]="","",IF(OR(TakeBaseline="Yes",N(Tasks[[#This Row],[Baseline Start]])=0),Tasks[[#This Row],[Start]],Tasks[[#This Row],[Baseline Start]]))</f>
        <v/>
      </c>
      <c r="BN142" s="63" t="str">
        <f aca="false">IF(Tasks[[#This Row],[Task Name]]="","",IF(OR(TakeBaseline="Yes",N(Tasks[[#This Row],[Baseline Finish]])=0),Tasks[[#This Row],[Finish]],Tasks[[#This Row],[Baseline Finish]]))</f>
        <v/>
      </c>
      <c r="BO142" s="21" t="str">
        <f aca="false">IF(Tasks[[#This Row],[Task Name]]="","",IF(OR(TakeBaseline="Yes",N(Tasks[[#This Row],[Baseline Duration]])=0),Tasks[[#This Row],[_SpanDays]],Tasks[[#This Row],[Baseline Duration]]))</f>
        <v/>
      </c>
      <c r="BP142" s="86" t="str">
        <f aca="false">IF(Tasks[[#This Row],[Task Name]]="","",IF(OR(TakeBaseline="Yes",N(Tasks[[#This Row],[Baseline Work]])=0),Tasks[[#This Row],[Work]],Tasks[[#This Row],[Baseline Work]]))</f>
        <v/>
      </c>
      <c r="BQ142" s="7"/>
      <c r="BR142" s="7"/>
      <c r="BS142" s="22"/>
      <c r="BT142" s="88"/>
      <c r="BU142" s="23"/>
      <c r="BV142" s="23"/>
      <c r="BW142" s="23"/>
      <c r="BX142" s="89" t="str">
        <f aca="false">IF(AND(Tasks[[#This Row],[_IsLeaf]]=1,ISNUMBER(Tasks[[#This Row],[Optimistic]]),ISNUMBER(Tasks[[#This Row],[Pessimistic]])),ROUND((Tasks[[#This Row],[Optimistic]]+4*N(Tasks[[#This Row],[_Days]])+Tasks[[#This Row],[Pessimistic]])/6,1),"")</f>
        <v/>
      </c>
      <c r="BY142" s="87"/>
      <c r="BZ142" s="87"/>
      <c r="CA142" s="22"/>
      <c r="CB142" s="43" t="str">
        <f aca="false">IF(Tasks[[#This Row],[Task Name]]="","",MAX(1,N(Tasks[[#This Row],[Level]])))</f>
        <v/>
      </c>
      <c r="CC142" s="43" t="n">
        <f aca="false">ROW()-ROW(Tasks[[#Headers],[ID]])</f>
        <v>137</v>
      </c>
      <c r="CD142" s="43" t="n">
        <f aca="false">IF(OR(Tasks[[#This Row],[Task Name]]="",Tasks[[#This Row],[_Level]]&lt;=1),0,IFERROR(LOOKUP(2,1/(Tasks[[#Headers],[_Level]]:Tasks[[#This Row],[_Level]]=Tasks[[#This Row],[_Level]]-1),ROW(Tasks[[#Headers],[_Level]]:Tasks[[#This Row],[_Level]])),0))</f>
        <v>0</v>
      </c>
      <c r="CE142" s="43" t="n">
        <f aca="false">IFERROR(N(INDEX(Tasks[_Level],Tasks[[#This Row],[_Row]]+1)),0)</f>
        <v>0</v>
      </c>
      <c r="CF142" s="90" t="b">
        <f aca="false">AND(Tasks[[#This Row],[Task Name]]&lt;&gt;"",Tasks[[#This Row],[_NextLevel]]&gt;Tasks[[#This Row],[_Level]])</f>
        <v>0</v>
      </c>
      <c r="CG142" s="43" t="n">
        <f aca="false">IF(Tasks[[#This Row],[_IsSummary]],COUNTIF(Tasks[WBS],Tasks[[#This Row],[WBS]]&amp;".*"),0)</f>
        <v>0</v>
      </c>
      <c r="CH142" s="43" t="n">
        <f aca="false">IF(AND(Tasks[[#This Row],[Task Name]]&lt;&gt;"",NOT(Tasks[[#This Row],[_IsSummary]])),1,0)</f>
        <v>0</v>
      </c>
      <c r="CI142" s="43" t="n">
        <f aca="false">IF(N(Tasks[[#This Row],[_Pred1UID]])=0,0,IFERROR(MATCH(Tasks[[#This Row],[_Pred1UID]],Tasks[UID],0),-1))</f>
        <v>0</v>
      </c>
      <c r="CJ142" s="43" t="n">
        <f aca="false">IF(N(Tasks[[#This Row],[_Pred2UID]])=0,0,IFERROR(MATCH(Tasks[[#This Row],[_Pred2UID]],Tasks[UID],0),-1))</f>
        <v>0</v>
      </c>
      <c r="CK142" s="43" t="n">
        <f aca="false">IF(N(Tasks[[#This Row],[_Pred3UID]])=0,0,IFERROR(MATCH(Tasks[[#This Row],[_Pred3UID]],Tasks[UID],0),-1))</f>
        <v>0</v>
      </c>
      <c r="CL142" s="43" t="n">
        <f aca="false">IF(N(Tasks[[#This Row],[_Pred4UID]])=0,0,IFERROR(MATCH(Tasks[[#This Row],[_Pred4UID]],Tasks[UID],0),-1))</f>
        <v>0</v>
      </c>
      <c r="CM1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2" s="91" t="n">
        <f aca="false">IF(OR(Tasks[[#This Row],[_ConstraintCode]]=2,Tasks[[#This Row],[_ConstraintCode]]=3,Tasks[[#This Row],[_ConstraintCode]]=4,Tasks[[#This Row],[_ConstraintCode]]=6),Tasks[[#This Row],[_ConstraintStart]],0)</f>
        <v>0</v>
      </c>
      <c r="CP142" s="91" t="n">
        <f aca="false">IF(OR(Tasks[[#This Row],[_ConstraintCode]]=2,Tasks[[#This Row],[_ConstraintCode]]=3,Tasks[[#This Row],[_ConstraintCode]]=5,Tasks[[#This Row],[_ConstraintCode]]=7),Tasks[[#This Row],[_ConstraintStart]],2958465)</f>
        <v>2958465</v>
      </c>
      <c r="CQ1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91" t="str">
        <f aca="false">IF(NOT(Tasks[[#This Row],[_IsLeaf]]=1),"",IF(N(Tasks[[#This Row],[_Days]])&lt;=0,Tasks[[#This Row],[_LeafCalcStart]],WORKDAY.INTL(Tasks[[#This Row],[_LeafCalcStart]],Tasks[[#This Row],[_Days]]-1,WorkWeek,Holidays)))</f>
        <v/>
      </c>
      <c r="CS1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3" t="str">
        <f aca="false">IF(Tasks[[#This Row],[_Predecessors]]="","",TRIM(MID(SUBSTITUTE(SUBSTITUTE(SUBSTITUTE(UPPER(Tasks[[#This Row],[_Predecessors]]),";",",")," ",""),",",REPT(" ",99)),1,99)))</f>
        <v/>
      </c>
      <c r="CV142" s="43" t="str">
        <f aca="false">IF(Tasks[[#This Row],[_Pred1Text]]="","",IFERROR(VALUE(LEFT(Tasks[[#This Row],[_Pred1Text]],MIN(FIND("F",Tasks[[#This Row],[_Pred1Text]]&amp;"F"),FIND("S",Tasks[[#This Row],[_Pred1Text]]&amp;"S"),FIND("+",Tasks[[#This Row],[_Pred1Text]]&amp;"+"),FIND("-",Tasks[[#This Row],[_Pred1Text]]&amp;"-"))-1)),""))</f>
        <v/>
      </c>
      <c r="CW1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3" t="str">
        <f aca="false">IF(Tasks[[#This Row],[_Pred1Text]]="","",TRIM(MID(SUBSTITUTE(SUBSTITUTE(SUBSTITUTE(UPPER(Tasks[[#This Row],[_Predecessors]]),";",",")," ",""),",",REPT(" ",99)),100,99)))</f>
        <v/>
      </c>
      <c r="CZ142" s="43" t="str">
        <f aca="false">IF(Tasks[[#This Row],[_Pred2Text]]="","",IFERROR(VALUE(LEFT(Tasks[[#This Row],[_Pred2Text]],MIN(FIND("F",Tasks[[#This Row],[_Pred2Text]]&amp;"F"),FIND("S",Tasks[[#This Row],[_Pred2Text]]&amp;"S"),FIND("+",Tasks[[#This Row],[_Pred2Text]]&amp;"+"),FIND("-",Tasks[[#This Row],[_Pred2Text]]&amp;"-"))-1)),""))</f>
        <v/>
      </c>
      <c r="DA1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3" t="str">
        <f aca="false">IF(Tasks[[#This Row],[_Pred2Text]]="","",TRIM(MID(SUBSTITUTE(SUBSTITUTE(SUBSTITUTE(UPPER(Tasks[[#This Row],[_Predecessors]]),";",",")," ",""),",",REPT(" ",99)),199,99)))</f>
        <v/>
      </c>
      <c r="DD142" s="43" t="str">
        <f aca="false">IF(Tasks[[#This Row],[_Pred3Text]]="","",IFERROR(VALUE(LEFT(Tasks[[#This Row],[_Pred3Text]],MIN(FIND("F",Tasks[[#This Row],[_Pred3Text]]&amp;"F"),FIND("S",Tasks[[#This Row],[_Pred3Text]]&amp;"S"),FIND("+",Tasks[[#This Row],[_Pred3Text]]&amp;"+"),FIND("-",Tasks[[#This Row],[_Pred3Text]]&amp;"-"))-1)),""))</f>
        <v/>
      </c>
      <c r="DE1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3" t="str">
        <f aca="false">IF(Tasks[[#This Row],[_Pred3Text]]="","",TRIM(MID(SUBSTITUTE(SUBSTITUTE(SUBSTITUTE(UPPER(Tasks[[#This Row],[_Predecessors]]),";",",")," ",""),",",REPT(" ",99)),298,99)))</f>
        <v/>
      </c>
      <c r="DH142" s="43" t="str">
        <f aca="false">IF(Tasks[[#This Row],[_Pred4Text]]="","",IFERROR(VALUE(LEFT(Tasks[[#This Row],[_Pred4Text]],MIN(FIND("F",Tasks[[#This Row],[_Pred4Text]]&amp;"F"),FIND("S",Tasks[[#This Row],[_Pred4Text]]&amp;"S"),FIND("+",Tasks[[#This Row],[_Pred4Text]]&amp;"+"),FIND("-",Tasks[[#This Row],[_Pred4Text]]&amp;"-"))-1)),""))</f>
        <v/>
      </c>
      <c r="DI1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3" t="str">
        <f aca="false">IF(OR(Tasks[[#This Row],[Task Name]]="",Tasks[[#This Row],[_Resources]]=""),"",TRIM(MID(SUBSTITUTE(Tasks[[#This Row],[_Resources]],",",REPT(" ",99)),1,99)))</f>
        <v/>
      </c>
      <c r="DL142" s="43" t="str">
        <f aca="false">IF(Tasks[[#This Row],[_Res1Text]]="","",TRIM(MID(SUBSTITUTE(Tasks[[#This Row],[_Resources]],",",REPT(" ",99)),100,99)))</f>
        <v/>
      </c>
      <c r="DM142" s="43" t="str">
        <f aca="false">IF(Tasks[[#This Row],[_Res2Text]]="","",TRIM(MID(SUBSTITUTE(Tasks[[#This Row],[_Resources]],",",REPT(" ",99)),199,99)))</f>
        <v/>
      </c>
      <c r="DN142" s="43" t="str">
        <f aca="false">IF(Tasks[[#This Row],[_Res3Text]]="","",TRIM(MID(SUBSTITUTE(Tasks[[#This Row],[_Resources]],",",REPT(" ",99)),298,99)))</f>
        <v/>
      </c>
      <c r="DO142" s="43" t="n">
        <f aca="false">IF(Tasks[[#This Row],[_Res1Text]]="",0,IFERROR(MATCH(TRIM(LEFT(Tasks[[#This Row],[_Res1Text]],FIND("[",Tasks[[#This Row],[_Res1Text]]&amp;"[")-1)),res_Name,0),IFERROR(MATCH(TRIM(LEFT(Tasks[[#This Row],[_Res1Text]],FIND("[",Tasks[[#This Row],[_Res1Text]]&amp;"[")-1)),res_Initials,0),0)))</f>
        <v>0</v>
      </c>
      <c r="DP142" s="43" t="n">
        <f aca="false">IF(Tasks[[#This Row],[_Res2Text]]="",0,IFERROR(MATCH(TRIM(LEFT(Tasks[[#This Row],[_Res2Text]],FIND("[",Tasks[[#This Row],[_Res2Text]]&amp;"[")-1)),res_Name,0),IFERROR(MATCH(TRIM(LEFT(Tasks[[#This Row],[_Res2Text]],FIND("[",Tasks[[#This Row],[_Res2Text]]&amp;"[")-1)),res_Initials,0),0)))</f>
        <v>0</v>
      </c>
      <c r="DQ142" s="43" t="n">
        <f aca="false">IF(Tasks[[#This Row],[_Res3Text]]="",0,IFERROR(MATCH(TRIM(LEFT(Tasks[[#This Row],[_Res3Text]],FIND("[",Tasks[[#This Row],[_Res3Text]]&amp;"[")-1)),res_Name,0),IFERROR(MATCH(TRIM(LEFT(Tasks[[#This Row],[_Res3Text]],FIND("[",Tasks[[#This Row],[_Res3Text]]&amp;"[")-1)),res_Initials,0),0)))</f>
        <v>0</v>
      </c>
      <c r="DR142" s="43" t="n">
        <f aca="false">IF(Tasks[[#This Row],[_Res4Text]]="",0,IFERROR(MATCH(TRIM(LEFT(Tasks[[#This Row],[_Res4Text]],FIND("[",Tasks[[#This Row],[_Res4Text]]&amp;"[")-1)),res_Name,0),IFERROR(MATCH(TRIM(LEFT(Tasks[[#This Row],[_Res4Text]],FIND("[",Tasks[[#This Row],[_Res4Text]]&amp;"[")-1)),res_Initials,0),0)))</f>
        <v>0</v>
      </c>
      <c r="DS142" s="43" t="str">
        <f aca="false">IF(Tasks[[#This Row],[_Res1Text]]="","",IF(Tasks[[#This Row],[_Res1Row]]&gt;0,INDEX(res_Name,Tasks[[#This Row],[_Res1Row]]),TRIM(LEFT(Tasks[[#This Row],[_Res1Text]],FIND("[",Tasks[[#This Row],[_Res1Text]]&amp;"[")-1))))</f>
        <v/>
      </c>
      <c r="DT1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3" t="n">
        <f aca="false">IF(NOT(Tasks[[#This Row],[_IsLeaf]]=1),0,(Tasks[[#This Row],[_Resource1]]&lt;&gt;"")+(Tasks[[#This Row],[_Res2]]&lt;&gt;"")+(Tasks[[#This Row],[_Res3]]&lt;&gt;"")+(Tasks[[#This Row],[_Res4]]&lt;&gt;""))</f>
        <v>0</v>
      </c>
      <c r="DV142" s="43" t="str">
        <f aca="false">IF(Tasks[[#This Row],[_Res2Text]]="","",IF(Tasks[[#This Row],[_Res2Row]]&gt;0,INDEX(res_Name,Tasks[[#This Row],[_Res2Row]]),TRIM(LEFT(Tasks[[#This Row],[_Res2Text]],FIND("[",Tasks[[#This Row],[_Res2Text]]&amp;"[")-1))))</f>
        <v/>
      </c>
      <c r="DW1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3" t="n">
        <f aca="false">IF(OR(NOT(Tasks[[#This Row],[_IsLeaf]]=1),Tasks[[#This Row],[_Res2Row]]=0),0,N(Tasks[[#This Row],[_Days]])*HoursPerDay*IF(Tasks[[#This Row],[_Res2Units]]="",DefaultUnits,Tasks[[#This Row],[_Res2Units]]))</f>
        <v>0</v>
      </c>
      <c r="DY142" s="43" t="n">
        <f aca="false">IF(AND(AND(Tasks[[#This Row],[_IsLeaf]]=1,Tasks[[#This Row],[_LeafTotalWork]]&gt;0),Tasks[[#This Row],[_Res2Work]]&gt;0),Tasks[[#This Row],[_Res2Work]]/(Tasks[[#This Row],[_FinishWorkday]]-Tasks[[#This Row],[_StartWorkday]]+1),0)</f>
        <v>0</v>
      </c>
      <c r="DZ142" s="43" t="n">
        <f aca="false">Tasks[[#This Row],[_Res2WorkPerWD]]*MAX(0,Tasks[[#This Row],[_StartWorkday]]-1)</f>
        <v>0</v>
      </c>
      <c r="EA142" s="43" t="n">
        <f aca="false">Tasks[[#This Row],[_Res2Work]]*Tasks[[#This Row],[_LeafProgress]]</f>
        <v>0</v>
      </c>
      <c r="EB142" s="43" t="str">
        <f aca="false">IF(Tasks[[#This Row],[_Res3Text]]="","",IF(Tasks[[#This Row],[_Res3Row]]&gt;0,INDEX(res_Name,Tasks[[#This Row],[_Res3Row]]),TRIM(LEFT(Tasks[[#This Row],[_Res3Text]],FIND("[",Tasks[[#This Row],[_Res3Text]]&amp;"[")-1))))</f>
        <v/>
      </c>
      <c r="EC1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3" t="n">
        <f aca="false">IF(OR(NOT(Tasks[[#This Row],[_IsLeaf]]=1),Tasks[[#This Row],[_Res3Row]]=0),0,N(Tasks[[#This Row],[_Days]])*HoursPerDay*IF(Tasks[[#This Row],[_Res3Units]]="",DefaultUnits,Tasks[[#This Row],[_Res3Units]]))</f>
        <v>0</v>
      </c>
      <c r="EE142" s="43" t="n">
        <f aca="false">IF(AND(AND(Tasks[[#This Row],[_IsLeaf]]=1,Tasks[[#This Row],[_LeafTotalWork]]&gt;0),Tasks[[#This Row],[_Res3Work]]&gt;0),Tasks[[#This Row],[_Res3Work]]/(Tasks[[#This Row],[_FinishWorkday]]-Tasks[[#This Row],[_StartWorkday]]+1),0)</f>
        <v>0</v>
      </c>
      <c r="EF142" s="43" t="n">
        <f aca="false">Tasks[[#This Row],[_Res3WorkPerWD]]*MAX(0,Tasks[[#This Row],[_StartWorkday]]-1)</f>
        <v>0</v>
      </c>
      <c r="EG142" s="43" t="n">
        <f aca="false">Tasks[[#This Row],[_Res3Work]]*Tasks[[#This Row],[_LeafProgress]]</f>
        <v>0</v>
      </c>
      <c r="EH142" s="43" t="str">
        <f aca="false">IF(Tasks[[#This Row],[_Res4Text]]="","",IF(Tasks[[#This Row],[_Res4Row]]&gt;0,INDEX(res_Name,Tasks[[#This Row],[_Res4Row]]),TRIM(LEFT(Tasks[[#This Row],[_Res4Text]],FIND("[",Tasks[[#This Row],[_Res4Text]]&amp;"[")-1))))</f>
        <v/>
      </c>
      <c r="EI1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3" t="n">
        <f aca="false">IF(OR(NOT(Tasks[[#This Row],[_IsLeaf]]=1),Tasks[[#This Row],[_Res4Row]]=0),0,N(Tasks[[#This Row],[_Days]])*HoursPerDay*IF(Tasks[[#This Row],[_Res4Units]]="",DefaultUnits,Tasks[[#This Row],[_Res4Units]]))</f>
        <v>0</v>
      </c>
      <c r="EK142" s="43" t="n">
        <f aca="false">IF(AND(AND(Tasks[[#This Row],[_IsLeaf]]=1,Tasks[[#This Row],[_LeafTotalWork]]&gt;0),Tasks[[#This Row],[_Res4Work]]&gt;0),Tasks[[#This Row],[_Res4Work]]/(Tasks[[#This Row],[_FinishWorkday]]-Tasks[[#This Row],[_StartWorkday]]+1),0)</f>
        <v>0</v>
      </c>
      <c r="EL142" s="43" t="n">
        <f aca="false">Tasks[[#This Row],[_Res4WorkPerWD]]*MAX(0,Tasks[[#This Row],[_StartWorkday]]-1)</f>
        <v>0</v>
      </c>
      <c r="EM142" s="43" t="n">
        <f aca="false">Tasks[[#This Row],[_Res4Work]]*Tasks[[#This Row],[_LeafProgress]]</f>
        <v>0</v>
      </c>
      <c r="EN142" s="43" t="n">
        <f aca="false">IF(ISNUMBER(Tasks[[#This Row],[% Complete]]),Tasks[[#This Row],[% Complete]],IF(Tasks[[#This Row],[Stage]]="",0,IFERROR(INDEX(stg_Pct,MATCH(Tasks[[#This Row],[Stage]],stg_Name,0)),0)))</f>
        <v>0</v>
      </c>
      <c r="EO142" s="43" t="n">
        <f aca="false">IF(NOT(Tasks[[#This Row],[_IsLeaf]]=1),0,IF(N(Tasks[[#This Row],[Actual Finish]])&gt;0,1,MIN(1,Tasks[[#This Row],[_Pct]])))</f>
        <v>0</v>
      </c>
      <c r="EP142" s="43" t="n">
        <f aca="false">IF(OR(NOT(Tasks[[#This Row],[_IsLeaf]]=1),Tasks[[#This Row],[_Res1Row]]=0),0,N(Tasks[[#This Row],[_Days]])*HoursPerDay*IF(Tasks[[#This Row],[_Units1]]="",DefaultUnits,Tasks[[#This Row],[_Units1]]))</f>
        <v>0</v>
      </c>
      <c r="EQ142" s="43" t="n">
        <f aca="false">Tasks[[#This Row],[_LeafWork]]+Tasks[[#This Row],[_Res2Work]]+Tasks[[#This Row],[_Res3Work]]+Tasks[[#This Row],[_Res4Work]]</f>
        <v>0</v>
      </c>
      <c r="ER1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3" t="n">
        <f aca="false">IF(NOT(Tasks[[#This Row],[_IsLeaf]]=1),0,MAX(_xlfn.MAXIFS(Tasks[_Row],Tasks[_Pred1UID],Tasks[[#This Row],[UID]]),_xlfn.MAXIFS(Tasks[_Row],Tasks[_Pred2UID],Tasks[[#This Row],[UID]]),_xlfn.MAXIFS(Tasks[_Row],Tasks[_Pred3UID],Tasks[[#This Row],[UID]]),_xlfn.MAXIFS(Tasks[_Row],Tasks[_Pred4UID],Tasks[[#This Row],[UID]])))</f>
        <v>0</v>
      </c>
      <c r="FA1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91" t="str">
        <f aca="false">IF(NOT(Tasks[[#This Row],[_IsLeaf]]=1),"",IF(N(Tasks[[#This Row],[_Days]])&lt;=0,Tasks[[#This Row],[_LeafLateFinish]],WORKDAY.INTL(Tasks[[#This Row],[_LeafLateFinish]],-(Tasks[[#This Row],[_Days]]-1),WorkWeek,Holidays)))</f>
        <v/>
      </c>
      <c r="FD1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2" s="90" t="b">
        <f aca="false">AND(Tasks[[#This Row],[_IsLeaf]]=1,Tasks[[#This Row],[_LeafProgress]]&lt;1,N(Tasks[[#This Row],[_LeafTotalSlack]])&lt;=CriticalSlackDays)</f>
        <v>0</v>
      </c>
      <c r="FF142" s="43" t="n">
        <f aca="false">IF(AND(Tasks[[#This Row],[_IsLeaf]]=1,Tasks[[#This Row],[_ConstraintCode]]=1,Tasks[[#This Row],[Mode]]&lt;&gt;"Manual",N(Tasks[[#This Row],[Actual Start]])=0),MAX(0,N(Tasks[[#This Row],[Free Slack]])),0)</f>
        <v>0</v>
      </c>
      <c r="FG142" s="91" t="str">
        <f aca="false">IF(NOT(Tasks[[#This Row],[_IsLeaf]]=1),"",IF(Tasks[[#This Row],[_AlapShift]]=0,Tasks[[#This Row],[_LeafCalcStart]],WORKDAY.INTL(Tasks[[#This Row],[_LeafCalcStart]],Tasks[[#This Row],[_AlapShift]],WorkWeek,Holidays)))</f>
        <v/>
      </c>
      <c r="FH142" s="91" t="str">
        <f aca="false">IF(NOT(Tasks[[#This Row],[_IsLeaf]]=1),"",IF(Tasks[[#This Row],[_AlapShift]]=0,Tasks[[#This Row],[_LeafCalcFinish]],WORKDAY.INTL(Tasks[[#This Row],[_LeafCalcFinish]],Tasks[[#This Row],[_AlapShift]],WorkWeek,Holidays)))</f>
        <v/>
      </c>
      <c r="FI142" s="91" t="str">
        <f aca="false">IF(NOT(Tasks[[#This Row],[_IsLeaf]]=1),"",IF(Tasks[[#This Row],[_AlapShift]]=0,Tasks[[#This Row],[_LeafFcstStart]],WORKDAY.INTL(Tasks[[#This Row],[_LeafFcstStart]],Tasks[[#This Row],[_AlapShift]],WorkWeek,Holidays)))</f>
        <v/>
      </c>
      <c r="FJ142" s="91" t="str">
        <f aca="false">IF(NOT(Tasks[[#This Row],[_IsLeaf]]=1),"",IF(Tasks[[#This Row],[_AlapShift]]=0,Tasks[[#This Row],[_LeafFcstFinish]],WORKDAY.INTL(Tasks[[#This Row],[_LeafFcstFinish]],Tasks[[#This Row],[_AlapShift]],WorkWeek,Holidays)))</f>
        <v/>
      </c>
      <c r="FK142" s="91" t="str">
        <f aca="false">IF(Tasks[[#This Row],[Task Name]]="","",IF(Tasks[[#This Row],[_IsSummary]],MIN(INDEX(Tasks[_ShownCalcStart],Tasks[[#This Row],[_Row]]+1):INDEX(Tasks[_ShownCalcStart],Tasks[[#This Row],[_Row]]+Tasks[[#This Row],[_Descendants]])),Tasks[[#This Row],[_ShownCalcStart]]))</f>
        <v/>
      </c>
      <c r="FL142" s="91" t="str">
        <f aca="false">IF(Tasks[[#This Row],[Task Name]]="","",IF(Tasks[[#This Row],[_IsSummary]],MAX(INDEX(Tasks[_ShownCalcFinish],Tasks[[#This Row],[_Row]]+1):INDEX(Tasks[_ShownCalcFinish],Tasks[[#This Row],[_Row]]+Tasks[[#This Row],[_Descendants]])),Tasks[[#This Row],[_ShownCalcFinish]]))</f>
        <v/>
      </c>
      <c r="FM1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2" s="43" t="n">
        <f aca="false">IF(AND(Tasks[[#This Row],[_IsLeaf]]=1,Tasks[[#This Row],[_LeafTotalWork]]&gt;0),NETWORKDAYS.INTL(ProjectStart,Tasks[[#This Row],[_ShownFcstStart]],WorkWeek,Holidays),0)</f>
        <v>0</v>
      </c>
      <c r="FZ142" s="43" t="n">
        <f aca="false">IF(AND(Tasks[[#This Row],[_IsLeaf]]=1,Tasks[[#This Row],[_LeafTotalWork]]&gt;0),MAX(Tasks[[#This Row],[_StartWorkday]],NETWORKDAYS.INTL(ProjectStart,Tasks[[#This Row],[_ShownFcstFinish]],WorkWeek,Holidays)),0)</f>
        <v>0</v>
      </c>
      <c r="GA142" s="43" t="n">
        <f aca="false">IF(AND(Tasks[[#This Row],[_IsLeaf]]=1,Tasks[[#This Row],[_LeafTotalWork]]&gt;0),Tasks[[#This Row],[_LeafWork]]/(Tasks[[#This Row],[_FinishWorkday]]-Tasks[[#This Row],[_StartWorkday]]+1),0)</f>
        <v>0</v>
      </c>
      <c r="GB142" s="43" t="n">
        <f aca="false">Tasks[[#This Row],[_WorkPerWorkday]]*(Tasks[[#This Row],[_StartWorkday]]-1)</f>
        <v>-0</v>
      </c>
      <c r="GC142" s="43" t="n">
        <f aca="false">IF(Tasks[[#This Row],[_IsLeaf]]=1,MAX(N(Tasks[[#This Row],[_Days]]),0.1),0)</f>
        <v>0</v>
      </c>
      <c r="GD142" s="43" t="n">
        <f aca="false">Tasks[[#This Row],[_WeightDur]]*Tasks[[#This Row],[_LeafProgress]]</f>
        <v>0</v>
      </c>
      <c r="GE142" s="43" t="n">
        <f aca="false">Tasks[[#This Row],[_WeightDur]]*Tasks[[#This Row],[_PlannedPct]]</f>
        <v>0</v>
      </c>
      <c r="GF1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3" t="str">
        <f aca="false">IF(AND(Tasks[[#This Row],[_IsLeaf]]=1,N(Tasks[[#This Row],[_Days]])=0,Tasks[[#This Row],[_LeafProgress]]&lt;1),Tasks[[#This Row],[_ShownFcstFinish]]+Tasks[[#This Row],[_Row]]/100000,"")</f>
        <v/>
      </c>
      <c r="GH1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2" s="43" t="str">
        <f aca="false">IF(Tasks[[#This Row],[Task Name]]="","",LEFT(Tasks[[#This Row],[WBS]],FIND(".",Tasks[[#This Row],[WBS]]&amp;".")-1))</f>
        <v/>
      </c>
      <c r="GJ142" s="43" t="str">
        <f aca="false">IF(AND(Tasks[[#This Row],[Task Name]]&lt;&gt;"",Tasks[[#This Row],[_Level]]=1),Tasks[[#This Row],[_Row]],"")</f>
        <v/>
      </c>
      <c r="GK142" s="43" t="str">
        <f aca="false">IF(AND(Tasks[[#This Row],[_IsLeaf]]=1,N(Tasks[[#This Row],[_Days]])=0),Tasks[[#This Row],[Planned Finish]]+Tasks[[#This Row],[_Row]]/100000,"")</f>
        <v/>
      </c>
      <c r="GL142" s="43" t="str">
        <f aca="false">IF(AND(Tasks[[#This Row],[_IsLeaf]]=1,Tasks[[#This Row],[_LeafProgress]]&lt;1,OR(N(Tasks[[#This Row],[Finish Var]])&gt;0,Tasks[[#This Row],[Status]]="Late Start")),MAX(0,Tasks[[#This Row],[Finish Var]])+1-Tasks[[#This Row],[_Row]]/1000000,"")</f>
        <v/>
      </c>
      <c r="GM142" s="43" t="str">
        <f aca="false">IF(AND(Tasks[[#This Row],[_IsLeaf]]=1,N(Tasks[[#This Row],[Actual Start]])=0,Tasks[[#This Row],[_ShownFcstStart]]&gt;=StatusDate,Tasks[[#This Row],[_ShownFcstStart]]&lt;=LookaheadEnd),Tasks[[#This Row],[_ShownFcstStart]]+Tasks[[#This Row],[_Row]]/100000,"")</f>
        <v/>
      </c>
      <c r="GN142" s="43" t="str">
        <f aca="false">IF(AND(Tasks[[#This Row],[_IsLeaf]]=1,Tasks[[#This Row],[_LeafProgress]]&lt;1,Tasks[[#This Row],[_ShownFcstFinish]]&gt;=StatusDate,Tasks[[#This Row],[_ShownFcstFinish]]&lt;=LookaheadEnd),Tasks[[#This Row],[_ShownFcstFinish]]+Tasks[[#This Row],[_Row]]/100000,"")</f>
        <v/>
      </c>
      <c r="GO142" s="43" t="str">
        <f aca="false">IF(Tasks[[#This Row],[_LeafCritical]],Tasks[[#This Row],[_ShownFcstStart]]+Tasks[[#This Row],[_Row]]/100000,"")</f>
        <v/>
      </c>
      <c r="GP142" s="43" t="n">
        <f aca="false">Tasks[[#This Row],[_LeafWork]]*Tasks[[#This Row],[_LeafProgress]]</f>
        <v>0</v>
      </c>
      <c r="GQ142" s="91" t="str">
        <f aca="false">IF(AND(Tasks[[#This Row],[_IsLeaf]]=1,Tasks[[#This Row],[_LeafProgress]]&gt;=1),IF(N(Tasks[[#This Row],[Actual Finish]])&gt;0,Tasks[[#This Row],[Actual Finish]],Tasks[[#This Row],[_ShownFcstFinish]]),"")</f>
        <v/>
      </c>
      <c r="GR142" s="43" t="n">
        <f aca="false">IF(Tasks[[#This Row],[_IsLeaf]]=1,N(Tasks[[#This Row],[Story Points]]),0)</f>
        <v>0</v>
      </c>
      <c r="GS142" s="43" t="str">
        <f aca="false">""</f>
        <v/>
      </c>
      <c r="GT142" s="90" t="b">
        <f aca="false">IF(Tasks[[#This Row],[Task Name]]="",FALSE(),AND(Tasks[[#This Row],[_IsLeaf]]=1,N(Tasks[[#This Row],[_Days]])=0))</f>
        <v>0</v>
      </c>
      <c r="GU142" s="91" t="n">
        <f aca="false">IF(Tasks[[#This Row],[Task Name]]="",0,IF(AND(Tasks[[#This Row],[_IsLeaf]]=1,NOT(Tasks[[#This Row],[_IsMilestone]]),N(Tasks[[#This Row],[Progress]])&gt;0),Tasks[[#This Row],[Start]],0))</f>
        <v>0</v>
      </c>
      <c r="GV142" s="91" t="n">
        <f aca="false">IF(Tasks[[#This Row],[_DoneFrom]]=0,0,IF(Tasks[[#This Row],[Progress]]&gt;=1,Tasks[[#This Row],[Finish]],MAX(Tasks[[#This Row],[_DoneFrom]],Tasks[[#This Row],[Start]]+ROUND((Tasks[[#This Row],[Finish]]-Tasks[[#This Row],[Start]]+1)*Tasks[[#This Row],[Progress]],0)-1)))</f>
        <v>0</v>
      </c>
      <c r="GW142" s="91" t="n">
        <f aca="false">IF(Tasks[[#This Row],[Task Name]]="",0,IF(OR(NOT(Tasks[[#This Row],[_IsLeaf]]=1),Tasks[[#This Row],[_IsMilestone]],N(Tasks[[#This Row],[Progress]])&gt;=1),0,IF(Tasks[[#This Row],[_DoneTo]]&gt;0,Tasks[[#This Row],[_DoneTo]]+1,Tasks[[#This Row],[Start]])))</f>
        <v>0</v>
      </c>
      <c r="GX142" s="91" t="n">
        <f aca="false">IF(Tasks[[#This Row],[_RemFrom]]=0,0,Tasks[[#This Row],[Finish]])</f>
        <v>0</v>
      </c>
      <c r="GY142" s="90" t="b">
        <f aca="false">IF(Tasks[[#This Row],[Task Name]]="",FALSE(),OR(NOT(BaselineSet),N(Tasks[[#This Row],[Baseline Start]])&gt;0))</f>
        <v>0</v>
      </c>
      <c r="GZ14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92" t="str">
        <f aca="false">IF(Tasks[[#This Row],[_IsLeaf]]=1,Tasks[[#This Row],[_Row]],"")</f>
        <v/>
      </c>
      <c r="HD142" s="92" t="str">
        <f aca="false">IFERROR(INDEX(Tasks[UID],SMALL(Tasks[_PickKey],Tasks[[#This Row],[_Row]]))&amp;" "&amp;INDEX(Tasks[Task Name],SMALL(Tasks[_PickKey],Tasks[[#This Row],[_Row]])),"")</f>
        <v/>
      </c>
      <c r="HE142" s="43" t="str">
        <f aca="false">IF(Tasks[[#This Row],[Task Name]]="","",IF(Tasks[[#This Row],[_IsSummary]],NETWORKDAYS.INTL(Tasks[[#This Row],[Start]],Tasks[[#This Row],[Finish]],WorkWeek,Holidays),N(Tasks[[#This Row],[_Days]])))</f>
        <v/>
      </c>
      <c r="HF142" s="43" t="n">
        <f aca="false">IF(Tasks[[#This Row],[Expected]]="",0,((Tasks[[#This Row],[Pessimistic]]-Tasks[[#This Row],[Optimistic]])/6)^2)</f>
        <v>0</v>
      </c>
      <c r="HG142" s="43" t="n">
        <f aca="false">IF(Tasks[[#This Row],[Expected]]="",0,Tasks[[#This Row],[Expected]]-N(Tasks[[#This Row],[_Days]]))</f>
        <v>0</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4"/>
      <c r="U143" s="23"/>
      <c r="V143" s="84"/>
      <c r="W143" s="23"/>
      <c r="X143" s="84"/>
      <c r="Y143" s="23"/>
      <c r="Z143" s="84"/>
      <c r="AA143" s="23"/>
      <c r="AB143" s="23"/>
      <c r="AC143" s="7"/>
      <c r="AD143" s="7"/>
      <c r="AE143" s="63" t="str">
        <f aca="false">IF(Tasks[[#This Row],[Task Name]]="","",IF(Tasks[[#This Row],[_IsSummary]],MIN(INDEX(Tasks[_ShownFcstStart],Tasks[[#This Row],[_Row]]+1):INDEX(Tasks[_ShownFcstStart],Tasks[[#This Row],[_Row]]+Tasks[[#This Row],[_Descendants]])),Tasks[[#This Row],[_ShownFcstStart]]))</f>
        <v/>
      </c>
      <c r="AF143" s="63"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3" s="7"/>
      <c r="AK143" s="22"/>
      <c r="AL143" s="23"/>
      <c r="AM143" s="7"/>
      <c r="AN143" s="47"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3" t="str">
        <f aca="false">IF(Tasks[[#This Row],[Task Name]]="","",IF(N(Tasks[[#This Row],[Baseline Start]])&gt;0,Tasks[[#This Row],[Baseline Start]],Tasks[[#This Row],[_CalcStart]]))</f>
        <v/>
      </c>
      <c r="AR143" s="63" t="str">
        <f aca="false">IF(Tasks[[#This Row],[Task Name]]="","",IF(N(Tasks[[#This Row],[Baseline Finish]])&gt;0,Tasks[[#This Row],[Baseline Finish]],Tasks[[#This Row],[_CalcFinish]]))</f>
        <v/>
      </c>
      <c r="AS143" s="47" t="str">
        <f aca="false">IF(Tasks[[#This Row],[Task Name]]="","",IF(Tasks[[#This Row],[Start]]&gt;=Tasks[[#This Row],[Planned Start]],NETWORKDAYS.INTL(Tasks[[#This Row],[Planned Start]],Tasks[[#This Row],[Start]],WorkWeek,Holidays)-1,1-NETWORKDAYS.INTL(Tasks[[#This Row],[Start]],Tasks[[#This Row],[Planned Start]],WorkWeek,Holidays)))</f>
        <v/>
      </c>
      <c r="AT143" s="63" t="str">
        <f aca="false">IF(Tasks[[#This Row],[Task Name]]="","",IF(Tasks[[#This Row],[_IsSummary]],MIN(INDEX(Tasks[_LeafLateStart],Tasks[[#This Row],[_Row]]+1):INDEX(Tasks[_LeafLateStart],Tasks[[#This Row],[_Row]]+Tasks[[#This Row],[_Descendants]])),Tasks[[#This Row],[_LeafLateStart]]))</f>
        <v/>
      </c>
      <c r="AU143" s="63" t="str">
        <f aca="false">IF(Tasks[[#This Row],[Task Name]]="","",IF(Tasks[[#This Row],[_IsSummary]],MAX(INDEX(Tasks[_LeafLateFinish],Tasks[[#This Row],[_Row]]+1):INDEX(Tasks[_LeafLateFinish],Tasks[[#This Row],[_Row]]+Tasks[[#This Row],[_Descendants]])),Tasks[[#This Row],[_LeafLateFinish]]))</f>
        <v/>
      </c>
      <c r="AV143" s="47"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5"/>
      <c r="BA1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6"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7"/>
      <c r="BJ143" s="22"/>
      <c r="BK143" s="47" t="str">
        <f aca="false">IF(OR(Tasks[[#This Row],[Task Name]]="",Tasks[[#This Row],[Baseline Duration]]=""),"",Tasks[[#This Row],[_SpanDays]]-N(Tasks[[#This Row],[Baseline Duration]]))</f>
        <v/>
      </c>
      <c r="BL143" s="86" t="str">
        <f aca="false">IF(OR(Tasks[[#This Row],[Task Name]]="",Tasks[[#This Row],[Baseline Work]]=""),"",Tasks[[#This Row],[Work]]-N(Tasks[[#This Row],[Baseline Work]]))</f>
        <v/>
      </c>
      <c r="BM143" s="63" t="str">
        <f aca="false">IF(Tasks[[#This Row],[Task Name]]="","",IF(OR(TakeBaseline="Yes",N(Tasks[[#This Row],[Baseline Start]])=0),Tasks[[#This Row],[Start]],Tasks[[#This Row],[Baseline Start]]))</f>
        <v/>
      </c>
      <c r="BN143" s="63" t="str">
        <f aca="false">IF(Tasks[[#This Row],[Task Name]]="","",IF(OR(TakeBaseline="Yes",N(Tasks[[#This Row],[Baseline Finish]])=0),Tasks[[#This Row],[Finish]],Tasks[[#This Row],[Baseline Finish]]))</f>
        <v/>
      </c>
      <c r="BO143" s="21" t="str">
        <f aca="false">IF(Tasks[[#This Row],[Task Name]]="","",IF(OR(TakeBaseline="Yes",N(Tasks[[#This Row],[Baseline Duration]])=0),Tasks[[#This Row],[_SpanDays]],Tasks[[#This Row],[Baseline Duration]]))</f>
        <v/>
      </c>
      <c r="BP143" s="86" t="str">
        <f aca="false">IF(Tasks[[#This Row],[Task Name]]="","",IF(OR(TakeBaseline="Yes",N(Tasks[[#This Row],[Baseline Work]])=0),Tasks[[#This Row],[Work]],Tasks[[#This Row],[Baseline Work]]))</f>
        <v/>
      </c>
      <c r="BQ143" s="7"/>
      <c r="BR143" s="7"/>
      <c r="BS143" s="22"/>
      <c r="BT143" s="88"/>
      <c r="BU143" s="23"/>
      <c r="BV143" s="23"/>
      <c r="BW143" s="23"/>
      <c r="BX143" s="89" t="str">
        <f aca="false">IF(AND(Tasks[[#This Row],[_IsLeaf]]=1,ISNUMBER(Tasks[[#This Row],[Optimistic]]),ISNUMBER(Tasks[[#This Row],[Pessimistic]])),ROUND((Tasks[[#This Row],[Optimistic]]+4*N(Tasks[[#This Row],[_Days]])+Tasks[[#This Row],[Pessimistic]])/6,1),"")</f>
        <v/>
      </c>
      <c r="BY143" s="87"/>
      <c r="BZ143" s="87"/>
      <c r="CA143" s="22"/>
      <c r="CB143" s="43" t="str">
        <f aca="false">IF(Tasks[[#This Row],[Task Name]]="","",MAX(1,N(Tasks[[#This Row],[Level]])))</f>
        <v/>
      </c>
      <c r="CC143" s="43" t="n">
        <f aca="false">ROW()-ROW(Tasks[[#Headers],[ID]])</f>
        <v>138</v>
      </c>
      <c r="CD143" s="43" t="n">
        <f aca="false">IF(OR(Tasks[[#This Row],[Task Name]]="",Tasks[[#This Row],[_Level]]&lt;=1),0,IFERROR(LOOKUP(2,1/(Tasks[[#Headers],[_Level]]:Tasks[[#This Row],[_Level]]=Tasks[[#This Row],[_Level]]-1),ROW(Tasks[[#Headers],[_Level]]:Tasks[[#This Row],[_Level]])),0))</f>
        <v>0</v>
      </c>
      <c r="CE143" s="43" t="n">
        <f aca="false">IFERROR(N(INDEX(Tasks[_Level],Tasks[[#This Row],[_Row]]+1)),0)</f>
        <v>0</v>
      </c>
      <c r="CF143" s="90" t="b">
        <f aca="false">AND(Tasks[[#This Row],[Task Name]]&lt;&gt;"",Tasks[[#This Row],[_NextLevel]]&gt;Tasks[[#This Row],[_Level]])</f>
        <v>0</v>
      </c>
      <c r="CG143" s="43" t="n">
        <f aca="false">IF(Tasks[[#This Row],[_IsSummary]],COUNTIF(Tasks[WBS],Tasks[[#This Row],[WBS]]&amp;".*"),0)</f>
        <v>0</v>
      </c>
      <c r="CH143" s="43" t="n">
        <f aca="false">IF(AND(Tasks[[#This Row],[Task Name]]&lt;&gt;"",NOT(Tasks[[#This Row],[_IsSummary]])),1,0)</f>
        <v>0</v>
      </c>
      <c r="CI143" s="43" t="n">
        <f aca="false">IF(N(Tasks[[#This Row],[_Pred1UID]])=0,0,IFERROR(MATCH(Tasks[[#This Row],[_Pred1UID]],Tasks[UID],0),-1))</f>
        <v>0</v>
      </c>
      <c r="CJ143" s="43" t="n">
        <f aca="false">IF(N(Tasks[[#This Row],[_Pred2UID]])=0,0,IFERROR(MATCH(Tasks[[#This Row],[_Pred2UID]],Tasks[UID],0),-1))</f>
        <v>0</v>
      </c>
      <c r="CK143" s="43" t="n">
        <f aca="false">IF(N(Tasks[[#This Row],[_Pred3UID]])=0,0,IFERROR(MATCH(Tasks[[#This Row],[_Pred3UID]],Tasks[UID],0),-1))</f>
        <v>0</v>
      </c>
      <c r="CL143" s="43" t="n">
        <f aca="false">IF(N(Tasks[[#This Row],[_Pred4UID]])=0,0,IFERROR(MATCH(Tasks[[#This Row],[_Pred4UID]],Tasks[UID],0),-1))</f>
        <v>0</v>
      </c>
      <c r="CM1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3" s="91" t="n">
        <f aca="false">IF(OR(Tasks[[#This Row],[_ConstraintCode]]=2,Tasks[[#This Row],[_ConstraintCode]]=3,Tasks[[#This Row],[_ConstraintCode]]=4,Tasks[[#This Row],[_ConstraintCode]]=6),Tasks[[#This Row],[_ConstraintStart]],0)</f>
        <v>0</v>
      </c>
      <c r="CP143" s="91" t="n">
        <f aca="false">IF(OR(Tasks[[#This Row],[_ConstraintCode]]=2,Tasks[[#This Row],[_ConstraintCode]]=3,Tasks[[#This Row],[_ConstraintCode]]=5,Tasks[[#This Row],[_ConstraintCode]]=7),Tasks[[#This Row],[_ConstraintStart]],2958465)</f>
        <v>2958465</v>
      </c>
      <c r="CQ1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91" t="str">
        <f aca="false">IF(NOT(Tasks[[#This Row],[_IsLeaf]]=1),"",IF(N(Tasks[[#This Row],[_Days]])&lt;=0,Tasks[[#This Row],[_LeafCalcStart]],WORKDAY.INTL(Tasks[[#This Row],[_LeafCalcStart]],Tasks[[#This Row],[_Days]]-1,WorkWeek,Holidays)))</f>
        <v/>
      </c>
      <c r="CS1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3" t="str">
        <f aca="false">IF(Tasks[[#This Row],[_Predecessors]]="","",TRIM(MID(SUBSTITUTE(SUBSTITUTE(SUBSTITUTE(UPPER(Tasks[[#This Row],[_Predecessors]]),";",",")," ",""),",",REPT(" ",99)),1,99)))</f>
        <v/>
      </c>
      <c r="CV143" s="43" t="str">
        <f aca="false">IF(Tasks[[#This Row],[_Pred1Text]]="","",IFERROR(VALUE(LEFT(Tasks[[#This Row],[_Pred1Text]],MIN(FIND("F",Tasks[[#This Row],[_Pred1Text]]&amp;"F"),FIND("S",Tasks[[#This Row],[_Pred1Text]]&amp;"S"),FIND("+",Tasks[[#This Row],[_Pred1Text]]&amp;"+"),FIND("-",Tasks[[#This Row],[_Pred1Text]]&amp;"-"))-1)),""))</f>
        <v/>
      </c>
      <c r="CW1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3" t="str">
        <f aca="false">IF(Tasks[[#This Row],[_Pred1Text]]="","",TRIM(MID(SUBSTITUTE(SUBSTITUTE(SUBSTITUTE(UPPER(Tasks[[#This Row],[_Predecessors]]),";",",")," ",""),",",REPT(" ",99)),100,99)))</f>
        <v/>
      </c>
      <c r="CZ143" s="43" t="str">
        <f aca="false">IF(Tasks[[#This Row],[_Pred2Text]]="","",IFERROR(VALUE(LEFT(Tasks[[#This Row],[_Pred2Text]],MIN(FIND("F",Tasks[[#This Row],[_Pred2Text]]&amp;"F"),FIND("S",Tasks[[#This Row],[_Pred2Text]]&amp;"S"),FIND("+",Tasks[[#This Row],[_Pred2Text]]&amp;"+"),FIND("-",Tasks[[#This Row],[_Pred2Text]]&amp;"-"))-1)),""))</f>
        <v/>
      </c>
      <c r="DA1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3" t="str">
        <f aca="false">IF(Tasks[[#This Row],[_Pred2Text]]="","",TRIM(MID(SUBSTITUTE(SUBSTITUTE(SUBSTITUTE(UPPER(Tasks[[#This Row],[_Predecessors]]),";",",")," ",""),",",REPT(" ",99)),199,99)))</f>
        <v/>
      </c>
      <c r="DD143" s="43" t="str">
        <f aca="false">IF(Tasks[[#This Row],[_Pred3Text]]="","",IFERROR(VALUE(LEFT(Tasks[[#This Row],[_Pred3Text]],MIN(FIND("F",Tasks[[#This Row],[_Pred3Text]]&amp;"F"),FIND("S",Tasks[[#This Row],[_Pred3Text]]&amp;"S"),FIND("+",Tasks[[#This Row],[_Pred3Text]]&amp;"+"),FIND("-",Tasks[[#This Row],[_Pred3Text]]&amp;"-"))-1)),""))</f>
        <v/>
      </c>
      <c r="DE1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3" t="str">
        <f aca="false">IF(Tasks[[#This Row],[_Pred3Text]]="","",TRIM(MID(SUBSTITUTE(SUBSTITUTE(SUBSTITUTE(UPPER(Tasks[[#This Row],[_Predecessors]]),";",",")," ",""),",",REPT(" ",99)),298,99)))</f>
        <v/>
      </c>
      <c r="DH143" s="43" t="str">
        <f aca="false">IF(Tasks[[#This Row],[_Pred4Text]]="","",IFERROR(VALUE(LEFT(Tasks[[#This Row],[_Pred4Text]],MIN(FIND("F",Tasks[[#This Row],[_Pred4Text]]&amp;"F"),FIND("S",Tasks[[#This Row],[_Pred4Text]]&amp;"S"),FIND("+",Tasks[[#This Row],[_Pred4Text]]&amp;"+"),FIND("-",Tasks[[#This Row],[_Pred4Text]]&amp;"-"))-1)),""))</f>
        <v/>
      </c>
      <c r="DI1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3" t="str">
        <f aca="false">IF(OR(Tasks[[#This Row],[Task Name]]="",Tasks[[#This Row],[_Resources]]=""),"",TRIM(MID(SUBSTITUTE(Tasks[[#This Row],[_Resources]],",",REPT(" ",99)),1,99)))</f>
        <v/>
      </c>
      <c r="DL143" s="43" t="str">
        <f aca="false">IF(Tasks[[#This Row],[_Res1Text]]="","",TRIM(MID(SUBSTITUTE(Tasks[[#This Row],[_Resources]],",",REPT(" ",99)),100,99)))</f>
        <v/>
      </c>
      <c r="DM143" s="43" t="str">
        <f aca="false">IF(Tasks[[#This Row],[_Res2Text]]="","",TRIM(MID(SUBSTITUTE(Tasks[[#This Row],[_Resources]],",",REPT(" ",99)),199,99)))</f>
        <v/>
      </c>
      <c r="DN143" s="43" t="str">
        <f aca="false">IF(Tasks[[#This Row],[_Res3Text]]="","",TRIM(MID(SUBSTITUTE(Tasks[[#This Row],[_Resources]],",",REPT(" ",99)),298,99)))</f>
        <v/>
      </c>
      <c r="DO143" s="43" t="n">
        <f aca="false">IF(Tasks[[#This Row],[_Res1Text]]="",0,IFERROR(MATCH(TRIM(LEFT(Tasks[[#This Row],[_Res1Text]],FIND("[",Tasks[[#This Row],[_Res1Text]]&amp;"[")-1)),res_Name,0),IFERROR(MATCH(TRIM(LEFT(Tasks[[#This Row],[_Res1Text]],FIND("[",Tasks[[#This Row],[_Res1Text]]&amp;"[")-1)),res_Initials,0),0)))</f>
        <v>0</v>
      </c>
      <c r="DP143" s="43" t="n">
        <f aca="false">IF(Tasks[[#This Row],[_Res2Text]]="",0,IFERROR(MATCH(TRIM(LEFT(Tasks[[#This Row],[_Res2Text]],FIND("[",Tasks[[#This Row],[_Res2Text]]&amp;"[")-1)),res_Name,0),IFERROR(MATCH(TRIM(LEFT(Tasks[[#This Row],[_Res2Text]],FIND("[",Tasks[[#This Row],[_Res2Text]]&amp;"[")-1)),res_Initials,0),0)))</f>
        <v>0</v>
      </c>
      <c r="DQ143" s="43" t="n">
        <f aca="false">IF(Tasks[[#This Row],[_Res3Text]]="",0,IFERROR(MATCH(TRIM(LEFT(Tasks[[#This Row],[_Res3Text]],FIND("[",Tasks[[#This Row],[_Res3Text]]&amp;"[")-1)),res_Name,0),IFERROR(MATCH(TRIM(LEFT(Tasks[[#This Row],[_Res3Text]],FIND("[",Tasks[[#This Row],[_Res3Text]]&amp;"[")-1)),res_Initials,0),0)))</f>
        <v>0</v>
      </c>
      <c r="DR143" s="43" t="n">
        <f aca="false">IF(Tasks[[#This Row],[_Res4Text]]="",0,IFERROR(MATCH(TRIM(LEFT(Tasks[[#This Row],[_Res4Text]],FIND("[",Tasks[[#This Row],[_Res4Text]]&amp;"[")-1)),res_Name,0),IFERROR(MATCH(TRIM(LEFT(Tasks[[#This Row],[_Res4Text]],FIND("[",Tasks[[#This Row],[_Res4Text]]&amp;"[")-1)),res_Initials,0),0)))</f>
        <v>0</v>
      </c>
      <c r="DS143" s="43" t="str">
        <f aca="false">IF(Tasks[[#This Row],[_Res1Text]]="","",IF(Tasks[[#This Row],[_Res1Row]]&gt;0,INDEX(res_Name,Tasks[[#This Row],[_Res1Row]]),TRIM(LEFT(Tasks[[#This Row],[_Res1Text]],FIND("[",Tasks[[#This Row],[_Res1Text]]&amp;"[")-1))))</f>
        <v/>
      </c>
      <c r="DT1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3" t="n">
        <f aca="false">IF(NOT(Tasks[[#This Row],[_IsLeaf]]=1),0,(Tasks[[#This Row],[_Resource1]]&lt;&gt;"")+(Tasks[[#This Row],[_Res2]]&lt;&gt;"")+(Tasks[[#This Row],[_Res3]]&lt;&gt;"")+(Tasks[[#This Row],[_Res4]]&lt;&gt;""))</f>
        <v>0</v>
      </c>
      <c r="DV143" s="43" t="str">
        <f aca="false">IF(Tasks[[#This Row],[_Res2Text]]="","",IF(Tasks[[#This Row],[_Res2Row]]&gt;0,INDEX(res_Name,Tasks[[#This Row],[_Res2Row]]),TRIM(LEFT(Tasks[[#This Row],[_Res2Text]],FIND("[",Tasks[[#This Row],[_Res2Text]]&amp;"[")-1))))</f>
        <v/>
      </c>
      <c r="DW1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3" t="n">
        <f aca="false">IF(OR(NOT(Tasks[[#This Row],[_IsLeaf]]=1),Tasks[[#This Row],[_Res2Row]]=0),0,N(Tasks[[#This Row],[_Days]])*HoursPerDay*IF(Tasks[[#This Row],[_Res2Units]]="",DefaultUnits,Tasks[[#This Row],[_Res2Units]]))</f>
        <v>0</v>
      </c>
      <c r="DY143" s="43" t="n">
        <f aca="false">IF(AND(AND(Tasks[[#This Row],[_IsLeaf]]=1,Tasks[[#This Row],[_LeafTotalWork]]&gt;0),Tasks[[#This Row],[_Res2Work]]&gt;0),Tasks[[#This Row],[_Res2Work]]/(Tasks[[#This Row],[_FinishWorkday]]-Tasks[[#This Row],[_StartWorkday]]+1),0)</f>
        <v>0</v>
      </c>
      <c r="DZ143" s="43" t="n">
        <f aca="false">Tasks[[#This Row],[_Res2WorkPerWD]]*MAX(0,Tasks[[#This Row],[_StartWorkday]]-1)</f>
        <v>0</v>
      </c>
      <c r="EA143" s="43" t="n">
        <f aca="false">Tasks[[#This Row],[_Res2Work]]*Tasks[[#This Row],[_LeafProgress]]</f>
        <v>0</v>
      </c>
      <c r="EB143" s="43" t="str">
        <f aca="false">IF(Tasks[[#This Row],[_Res3Text]]="","",IF(Tasks[[#This Row],[_Res3Row]]&gt;0,INDEX(res_Name,Tasks[[#This Row],[_Res3Row]]),TRIM(LEFT(Tasks[[#This Row],[_Res3Text]],FIND("[",Tasks[[#This Row],[_Res3Text]]&amp;"[")-1))))</f>
        <v/>
      </c>
      <c r="EC1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3" t="n">
        <f aca="false">IF(OR(NOT(Tasks[[#This Row],[_IsLeaf]]=1),Tasks[[#This Row],[_Res3Row]]=0),0,N(Tasks[[#This Row],[_Days]])*HoursPerDay*IF(Tasks[[#This Row],[_Res3Units]]="",DefaultUnits,Tasks[[#This Row],[_Res3Units]]))</f>
        <v>0</v>
      </c>
      <c r="EE143" s="43" t="n">
        <f aca="false">IF(AND(AND(Tasks[[#This Row],[_IsLeaf]]=1,Tasks[[#This Row],[_LeafTotalWork]]&gt;0),Tasks[[#This Row],[_Res3Work]]&gt;0),Tasks[[#This Row],[_Res3Work]]/(Tasks[[#This Row],[_FinishWorkday]]-Tasks[[#This Row],[_StartWorkday]]+1),0)</f>
        <v>0</v>
      </c>
      <c r="EF143" s="43" t="n">
        <f aca="false">Tasks[[#This Row],[_Res3WorkPerWD]]*MAX(0,Tasks[[#This Row],[_StartWorkday]]-1)</f>
        <v>0</v>
      </c>
      <c r="EG143" s="43" t="n">
        <f aca="false">Tasks[[#This Row],[_Res3Work]]*Tasks[[#This Row],[_LeafProgress]]</f>
        <v>0</v>
      </c>
      <c r="EH143" s="43" t="str">
        <f aca="false">IF(Tasks[[#This Row],[_Res4Text]]="","",IF(Tasks[[#This Row],[_Res4Row]]&gt;0,INDEX(res_Name,Tasks[[#This Row],[_Res4Row]]),TRIM(LEFT(Tasks[[#This Row],[_Res4Text]],FIND("[",Tasks[[#This Row],[_Res4Text]]&amp;"[")-1))))</f>
        <v/>
      </c>
      <c r="EI1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3" t="n">
        <f aca="false">IF(OR(NOT(Tasks[[#This Row],[_IsLeaf]]=1),Tasks[[#This Row],[_Res4Row]]=0),0,N(Tasks[[#This Row],[_Days]])*HoursPerDay*IF(Tasks[[#This Row],[_Res4Units]]="",DefaultUnits,Tasks[[#This Row],[_Res4Units]]))</f>
        <v>0</v>
      </c>
      <c r="EK143" s="43" t="n">
        <f aca="false">IF(AND(AND(Tasks[[#This Row],[_IsLeaf]]=1,Tasks[[#This Row],[_LeafTotalWork]]&gt;0),Tasks[[#This Row],[_Res4Work]]&gt;0),Tasks[[#This Row],[_Res4Work]]/(Tasks[[#This Row],[_FinishWorkday]]-Tasks[[#This Row],[_StartWorkday]]+1),0)</f>
        <v>0</v>
      </c>
      <c r="EL143" s="43" t="n">
        <f aca="false">Tasks[[#This Row],[_Res4WorkPerWD]]*MAX(0,Tasks[[#This Row],[_StartWorkday]]-1)</f>
        <v>0</v>
      </c>
      <c r="EM143" s="43" t="n">
        <f aca="false">Tasks[[#This Row],[_Res4Work]]*Tasks[[#This Row],[_LeafProgress]]</f>
        <v>0</v>
      </c>
      <c r="EN143" s="43" t="n">
        <f aca="false">IF(ISNUMBER(Tasks[[#This Row],[% Complete]]),Tasks[[#This Row],[% Complete]],IF(Tasks[[#This Row],[Stage]]="",0,IFERROR(INDEX(stg_Pct,MATCH(Tasks[[#This Row],[Stage]],stg_Name,0)),0)))</f>
        <v>0</v>
      </c>
      <c r="EO143" s="43" t="n">
        <f aca="false">IF(NOT(Tasks[[#This Row],[_IsLeaf]]=1),0,IF(N(Tasks[[#This Row],[Actual Finish]])&gt;0,1,MIN(1,Tasks[[#This Row],[_Pct]])))</f>
        <v>0</v>
      </c>
      <c r="EP143" s="43" t="n">
        <f aca="false">IF(OR(NOT(Tasks[[#This Row],[_IsLeaf]]=1),Tasks[[#This Row],[_Res1Row]]=0),0,N(Tasks[[#This Row],[_Days]])*HoursPerDay*IF(Tasks[[#This Row],[_Units1]]="",DefaultUnits,Tasks[[#This Row],[_Units1]]))</f>
        <v>0</v>
      </c>
      <c r="EQ143" s="43" t="n">
        <f aca="false">Tasks[[#This Row],[_LeafWork]]+Tasks[[#This Row],[_Res2Work]]+Tasks[[#This Row],[_Res3Work]]+Tasks[[#This Row],[_Res4Work]]</f>
        <v>0</v>
      </c>
      <c r="ER1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3" t="n">
        <f aca="false">IF(NOT(Tasks[[#This Row],[_IsLeaf]]=1),0,MAX(_xlfn.MAXIFS(Tasks[_Row],Tasks[_Pred1UID],Tasks[[#This Row],[UID]]),_xlfn.MAXIFS(Tasks[_Row],Tasks[_Pred2UID],Tasks[[#This Row],[UID]]),_xlfn.MAXIFS(Tasks[_Row],Tasks[_Pred3UID],Tasks[[#This Row],[UID]]),_xlfn.MAXIFS(Tasks[_Row],Tasks[_Pred4UID],Tasks[[#This Row],[UID]])))</f>
        <v>0</v>
      </c>
      <c r="FA1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91" t="str">
        <f aca="false">IF(NOT(Tasks[[#This Row],[_IsLeaf]]=1),"",IF(N(Tasks[[#This Row],[_Days]])&lt;=0,Tasks[[#This Row],[_LeafLateFinish]],WORKDAY.INTL(Tasks[[#This Row],[_LeafLateFinish]],-(Tasks[[#This Row],[_Days]]-1),WorkWeek,Holidays)))</f>
        <v/>
      </c>
      <c r="FD1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3" s="90" t="b">
        <f aca="false">AND(Tasks[[#This Row],[_IsLeaf]]=1,Tasks[[#This Row],[_LeafProgress]]&lt;1,N(Tasks[[#This Row],[_LeafTotalSlack]])&lt;=CriticalSlackDays)</f>
        <v>0</v>
      </c>
      <c r="FF143" s="43" t="n">
        <f aca="false">IF(AND(Tasks[[#This Row],[_IsLeaf]]=1,Tasks[[#This Row],[_ConstraintCode]]=1,Tasks[[#This Row],[Mode]]&lt;&gt;"Manual",N(Tasks[[#This Row],[Actual Start]])=0),MAX(0,N(Tasks[[#This Row],[Free Slack]])),0)</f>
        <v>0</v>
      </c>
      <c r="FG143" s="91" t="str">
        <f aca="false">IF(NOT(Tasks[[#This Row],[_IsLeaf]]=1),"",IF(Tasks[[#This Row],[_AlapShift]]=0,Tasks[[#This Row],[_LeafCalcStart]],WORKDAY.INTL(Tasks[[#This Row],[_LeafCalcStart]],Tasks[[#This Row],[_AlapShift]],WorkWeek,Holidays)))</f>
        <v/>
      </c>
      <c r="FH143" s="91" t="str">
        <f aca="false">IF(NOT(Tasks[[#This Row],[_IsLeaf]]=1),"",IF(Tasks[[#This Row],[_AlapShift]]=0,Tasks[[#This Row],[_LeafCalcFinish]],WORKDAY.INTL(Tasks[[#This Row],[_LeafCalcFinish]],Tasks[[#This Row],[_AlapShift]],WorkWeek,Holidays)))</f>
        <v/>
      </c>
      <c r="FI143" s="91" t="str">
        <f aca="false">IF(NOT(Tasks[[#This Row],[_IsLeaf]]=1),"",IF(Tasks[[#This Row],[_AlapShift]]=0,Tasks[[#This Row],[_LeafFcstStart]],WORKDAY.INTL(Tasks[[#This Row],[_LeafFcstStart]],Tasks[[#This Row],[_AlapShift]],WorkWeek,Holidays)))</f>
        <v/>
      </c>
      <c r="FJ143" s="91" t="str">
        <f aca="false">IF(NOT(Tasks[[#This Row],[_IsLeaf]]=1),"",IF(Tasks[[#This Row],[_AlapShift]]=0,Tasks[[#This Row],[_LeafFcstFinish]],WORKDAY.INTL(Tasks[[#This Row],[_LeafFcstFinish]],Tasks[[#This Row],[_AlapShift]],WorkWeek,Holidays)))</f>
        <v/>
      </c>
      <c r="FK143" s="91" t="str">
        <f aca="false">IF(Tasks[[#This Row],[Task Name]]="","",IF(Tasks[[#This Row],[_IsSummary]],MIN(INDEX(Tasks[_ShownCalcStart],Tasks[[#This Row],[_Row]]+1):INDEX(Tasks[_ShownCalcStart],Tasks[[#This Row],[_Row]]+Tasks[[#This Row],[_Descendants]])),Tasks[[#This Row],[_ShownCalcStart]]))</f>
        <v/>
      </c>
      <c r="FL143" s="91" t="str">
        <f aca="false">IF(Tasks[[#This Row],[Task Name]]="","",IF(Tasks[[#This Row],[_IsSummary]],MAX(INDEX(Tasks[_ShownCalcFinish],Tasks[[#This Row],[_Row]]+1):INDEX(Tasks[_ShownCalcFinish],Tasks[[#This Row],[_Row]]+Tasks[[#This Row],[_Descendants]])),Tasks[[#This Row],[_ShownCalcFinish]]))</f>
        <v/>
      </c>
      <c r="FM1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3" s="43" t="n">
        <f aca="false">IF(AND(Tasks[[#This Row],[_IsLeaf]]=1,Tasks[[#This Row],[_LeafTotalWork]]&gt;0),NETWORKDAYS.INTL(ProjectStart,Tasks[[#This Row],[_ShownFcstStart]],WorkWeek,Holidays),0)</f>
        <v>0</v>
      </c>
      <c r="FZ143" s="43" t="n">
        <f aca="false">IF(AND(Tasks[[#This Row],[_IsLeaf]]=1,Tasks[[#This Row],[_LeafTotalWork]]&gt;0),MAX(Tasks[[#This Row],[_StartWorkday]],NETWORKDAYS.INTL(ProjectStart,Tasks[[#This Row],[_ShownFcstFinish]],WorkWeek,Holidays)),0)</f>
        <v>0</v>
      </c>
      <c r="GA143" s="43" t="n">
        <f aca="false">IF(AND(Tasks[[#This Row],[_IsLeaf]]=1,Tasks[[#This Row],[_LeafTotalWork]]&gt;0),Tasks[[#This Row],[_LeafWork]]/(Tasks[[#This Row],[_FinishWorkday]]-Tasks[[#This Row],[_StartWorkday]]+1),0)</f>
        <v>0</v>
      </c>
      <c r="GB143" s="43" t="n">
        <f aca="false">Tasks[[#This Row],[_WorkPerWorkday]]*(Tasks[[#This Row],[_StartWorkday]]-1)</f>
        <v>-0</v>
      </c>
      <c r="GC143" s="43" t="n">
        <f aca="false">IF(Tasks[[#This Row],[_IsLeaf]]=1,MAX(N(Tasks[[#This Row],[_Days]]),0.1),0)</f>
        <v>0</v>
      </c>
      <c r="GD143" s="43" t="n">
        <f aca="false">Tasks[[#This Row],[_WeightDur]]*Tasks[[#This Row],[_LeafProgress]]</f>
        <v>0</v>
      </c>
      <c r="GE143" s="43" t="n">
        <f aca="false">Tasks[[#This Row],[_WeightDur]]*Tasks[[#This Row],[_PlannedPct]]</f>
        <v>0</v>
      </c>
      <c r="GF1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3" t="str">
        <f aca="false">IF(AND(Tasks[[#This Row],[_IsLeaf]]=1,N(Tasks[[#This Row],[_Days]])=0,Tasks[[#This Row],[_LeafProgress]]&lt;1),Tasks[[#This Row],[_ShownFcstFinish]]+Tasks[[#This Row],[_Row]]/100000,"")</f>
        <v/>
      </c>
      <c r="GH1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3" s="43" t="str">
        <f aca="false">IF(Tasks[[#This Row],[Task Name]]="","",LEFT(Tasks[[#This Row],[WBS]],FIND(".",Tasks[[#This Row],[WBS]]&amp;".")-1))</f>
        <v/>
      </c>
      <c r="GJ143" s="43" t="str">
        <f aca="false">IF(AND(Tasks[[#This Row],[Task Name]]&lt;&gt;"",Tasks[[#This Row],[_Level]]=1),Tasks[[#This Row],[_Row]],"")</f>
        <v/>
      </c>
      <c r="GK143" s="43" t="str">
        <f aca="false">IF(AND(Tasks[[#This Row],[_IsLeaf]]=1,N(Tasks[[#This Row],[_Days]])=0),Tasks[[#This Row],[Planned Finish]]+Tasks[[#This Row],[_Row]]/100000,"")</f>
        <v/>
      </c>
      <c r="GL143" s="43" t="str">
        <f aca="false">IF(AND(Tasks[[#This Row],[_IsLeaf]]=1,Tasks[[#This Row],[_LeafProgress]]&lt;1,OR(N(Tasks[[#This Row],[Finish Var]])&gt;0,Tasks[[#This Row],[Status]]="Late Start")),MAX(0,Tasks[[#This Row],[Finish Var]])+1-Tasks[[#This Row],[_Row]]/1000000,"")</f>
        <v/>
      </c>
      <c r="GM143" s="43" t="str">
        <f aca="false">IF(AND(Tasks[[#This Row],[_IsLeaf]]=1,N(Tasks[[#This Row],[Actual Start]])=0,Tasks[[#This Row],[_ShownFcstStart]]&gt;=StatusDate,Tasks[[#This Row],[_ShownFcstStart]]&lt;=LookaheadEnd),Tasks[[#This Row],[_ShownFcstStart]]+Tasks[[#This Row],[_Row]]/100000,"")</f>
        <v/>
      </c>
      <c r="GN143" s="43" t="str">
        <f aca="false">IF(AND(Tasks[[#This Row],[_IsLeaf]]=1,Tasks[[#This Row],[_LeafProgress]]&lt;1,Tasks[[#This Row],[_ShownFcstFinish]]&gt;=StatusDate,Tasks[[#This Row],[_ShownFcstFinish]]&lt;=LookaheadEnd),Tasks[[#This Row],[_ShownFcstFinish]]+Tasks[[#This Row],[_Row]]/100000,"")</f>
        <v/>
      </c>
      <c r="GO143" s="43" t="str">
        <f aca="false">IF(Tasks[[#This Row],[_LeafCritical]],Tasks[[#This Row],[_ShownFcstStart]]+Tasks[[#This Row],[_Row]]/100000,"")</f>
        <v/>
      </c>
      <c r="GP143" s="43" t="n">
        <f aca="false">Tasks[[#This Row],[_LeafWork]]*Tasks[[#This Row],[_LeafProgress]]</f>
        <v>0</v>
      </c>
      <c r="GQ143" s="91" t="str">
        <f aca="false">IF(AND(Tasks[[#This Row],[_IsLeaf]]=1,Tasks[[#This Row],[_LeafProgress]]&gt;=1),IF(N(Tasks[[#This Row],[Actual Finish]])&gt;0,Tasks[[#This Row],[Actual Finish]],Tasks[[#This Row],[_ShownFcstFinish]]),"")</f>
        <v/>
      </c>
      <c r="GR143" s="43" t="n">
        <f aca="false">IF(Tasks[[#This Row],[_IsLeaf]]=1,N(Tasks[[#This Row],[Story Points]]),0)</f>
        <v>0</v>
      </c>
      <c r="GS143" s="43" t="str">
        <f aca="false">""</f>
        <v/>
      </c>
      <c r="GT143" s="90" t="b">
        <f aca="false">IF(Tasks[[#This Row],[Task Name]]="",FALSE(),AND(Tasks[[#This Row],[_IsLeaf]]=1,N(Tasks[[#This Row],[_Days]])=0))</f>
        <v>0</v>
      </c>
      <c r="GU143" s="91" t="n">
        <f aca="false">IF(Tasks[[#This Row],[Task Name]]="",0,IF(AND(Tasks[[#This Row],[_IsLeaf]]=1,NOT(Tasks[[#This Row],[_IsMilestone]]),N(Tasks[[#This Row],[Progress]])&gt;0),Tasks[[#This Row],[Start]],0))</f>
        <v>0</v>
      </c>
      <c r="GV143" s="91" t="n">
        <f aca="false">IF(Tasks[[#This Row],[_DoneFrom]]=0,0,IF(Tasks[[#This Row],[Progress]]&gt;=1,Tasks[[#This Row],[Finish]],MAX(Tasks[[#This Row],[_DoneFrom]],Tasks[[#This Row],[Start]]+ROUND((Tasks[[#This Row],[Finish]]-Tasks[[#This Row],[Start]]+1)*Tasks[[#This Row],[Progress]],0)-1)))</f>
        <v>0</v>
      </c>
      <c r="GW143" s="91" t="n">
        <f aca="false">IF(Tasks[[#This Row],[Task Name]]="",0,IF(OR(NOT(Tasks[[#This Row],[_IsLeaf]]=1),Tasks[[#This Row],[_IsMilestone]],N(Tasks[[#This Row],[Progress]])&gt;=1),0,IF(Tasks[[#This Row],[_DoneTo]]&gt;0,Tasks[[#This Row],[_DoneTo]]+1,Tasks[[#This Row],[Start]])))</f>
        <v>0</v>
      </c>
      <c r="GX143" s="91" t="n">
        <f aca="false">IF(Tasks[[#This Row],[_RemFrom]]=0,0,Tasks[[#This Row],[Finish]])</f>
        <v>0</v>
      </c>
      <c r="GY143" s="90" t="b">
        <f aca="false">IF(Tasks[[#This Row],[Task Name]]="",FALSE(),OR(NOT(BaselineSet),N(Tasks[[#This Row],[Baseline Start]])&gt;0))</f>
        <v>0</v>
      </c>
      <c r="GZ14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92" t="str">
        <f aca="false">IF(Tasks[[#This Row],[_IsLeaf]]=1,Tasks[[#This Row],[_Row]],"")</f>
        <v/>
      </c>
      <c r="HD143" s="92" t="str">
        <f aca="false">IFERROR(INDEX(Tasks[UID],SMALL(Tasks[_PickKey],Tasks[[#This Row],[_Row]]))&amp;" "&amp;INDEX(Tasks[Task Name],SMALL(Tasks[_PickKey],Tasks[[#This Row],[_Row]])),"")</f>
        <v/>
      </c>
      <c r="HE143" s="43" t="str">
        <f aca="false">IF(Tasks[[#This Row],[Task Name]]="","",IF(Tasks[[#This Row],[_IsSummary]],NETWORKDAYS.INTL(Tasks[[#This Row],[Start]],Tasks[[#This Row],[Finish]],WorkWeek,Holidays),N(Tasks[[#This Row],[_Days]])))</f>
        <v/>
      </c>
      <c r="HF143" s="43" t="n">
        <f aca="false">IF(Tasks[[#This Row],[Expected]]="",0,((Tasks[[#This Row],[Pessimistic]]-Tasks[[#This Row],[Optimistic]])/6)^2)</f>
        <v>0</v>
      </c>
      <c r="HG143" s="43" t="n">
        <f aca="false">IF(Tasks[[#This Row],[Expected]]="",0,Tasks[[#This Row],[Expected]]-N(Tasks[[#This Row],[_Days]]))</f>
        <v>0</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4"/>
      <c r="U144" s="23"/>
      <c r="V144" s="84"/>
      <c r="W144" s="23"/>
      <c r="X144" s="84"/>
      <c r="Y144" s="23"/>
      <c r="Z144" s="84"/>
      <c r="AA144" s="23"/>
      <c r="AB144" s="23"/>
      <c r="AC144" s="7"/>
      <c r="AD144" s="7"/>
      <c r="AE144" s="63" t="str">
        <f aca="false">IF(Tasks[[#This Row],[Task Name]]="","",IF(Tasks[[#This Row],[_IsSummary]],MIN(INDEX(Tasks[_ShownFcstStart],Tasks[[#This Row],[_Row]]+1):INDEX(Tasks[_ShownFcstStart],Tasks[[#This Row],[_Row]]+Tasks[[#This Row],[_Descendants]])),Tasks[[#This Row],[_ShownFcstStart]]))</f>
        <v/>
      </c>
      <c r="AF144" s="63"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4" s="7"/>
      <c r="AK144" s="22"/>
      <c r="AL144" s="23"/>
      <c r="AM144" s="7"/>
      <c r="AN144" s="47"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3" t="str">
        <f aca="false">IF(Tasks[[#This Row],[Task Name]]="","",IF(N(Tasks[[#This Row],[Baseline Start]])&gt;0,Tasks[[#This Row],[Baseline Start]],Tasks[[#This Row],[_CalcStart]]))</f>
        <v/>
      </c>
      <c r="AR144" s="63" t="str">
        <f aca="false">IF(Tasks[[#This Row],[Task Name]]="","",IF(N(Tasks[[#This Row],[Baseline Finish]])&gt;0,Tasks[[#This Row],[Baseline Finish]],Tasks[[#This Row],[_CalcFinish]]))</f>
        <v/>
      </c>
      <c r="AS144" s="47" t="str">
        <f aca="false">IF(Tasks[[#This Row],[Task Name]]="","",IF(Tasks[[#This Row],[Start]]&gt;=Tasks[[#This Row],[Planned Start]],NETWORKDAYS.INTL(Tasks[[#This Row],[Planned Start]],Tasks[[#This Row],[Start]],WorkWeek,Holidays)-1,1-NETWORKDAYS.INTL(Tasks[[#This Row],[Start]],Tasks[[#This Row],[Planned Start]],WorkWeek,Holidays)))</f>
        <v/>
      </c>
      <c r="AT144" s="63" t="str">
        <f aca="false">IF(Tasks[[#This Row],[Task Name]]="","",IF(Tasks[[#This Row],[_IsSummary]],MIN(INDEX(Tasks[_LeafLateStart],Tasks[[#This Row],[_Row]]+1):INDEX(Tasks[_LeafLateStart],Tasks[[#This Row],[_Row]]+Tasks[[#This Row],[_Descendants]])),Tasks[[#This Row],[_LeafLateStart]]))</f>
        <v/>
      </c>
      <c r="AU144" s="63" t="str">
        <f aca="false">IF(Tasks[[#This Row],[Task Name]]="","",IF(Tasks[[#This Row],[_IsSummary]],MAX(INDEX(Tasks[_LeafLateFinish],Tasks[[#This Row],[_Row]]+1):INDEX(Tasks[_LeafLateFinish],Tasks[[#This Row],[_Row]]+Tasks[[#This Row],[_Descendants]])),Tasks[[#This Row],[_LeafLateFinish]]))</f>
        <v/>
      </c>
      <c r="AV144" s="47"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5"/>
      <c r="BA1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6"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7"/>
      <c r="BJ144" s="22"/>
      <c r="BK144" s="47" t="str">
        <f aca="false">IF(OR(Tasks[[#This Row],[Task Name]]="",Tasks[[#This Row],[Baseline Duration]]=""),"",Tasks[[#This Row],[_SpanDays]]-N(Tasks[[#This Row],[Baseline Duration]]))</f>
        <v/>
      </c>
      <c r="BL144" s="86" t="str">
        <f aca="false">IF(OR(Tasks[[#This Row],[Task Name]]="",Tasks[[#This Row],[Baseline Work]]=""),"",Tasks[[#This Row],[Work]]-N(Tasks[[#This Row],[Baseline Work]]))</f>
        <v/>
      </c>
      <c r="BM144" s="63" t="str">
        <f aca="false">IF(Tasks[[#This Row],[Task Name]]="","",IF(OR(TakeBaseline="Yes",N(Tasks[[#This Row],[Baseline Start]])=0),Tasks[[#This Row],[Start]],Tasks[[#This Row],[Baseline Start]]))</f>
        <v/>
      </c>
      <c r="BN144" s="63" t="str">
        <f aca="false">IF(Tasks[[#This Row],[Task Name]]="","",IF(OR(TakeBaseline="Yes",N(Tasks[[#This Row],[Baseline Finish]])=0),Tasks[[#This Row],[Finish]],Tasks[[#This Row],[Baseline Finish]]))</f>
        <v/>
      </c>
      <c r="BO144" s="21" t="str">
        <f aca="false">IF(Tasks[[#This Row],[Task Name]]="","",IF(OR(TakeBaseline="Yes",N(Tasks[[#This Row],[Baseline Duration]])=0),Tasks[[#This Row],[_SpanDays]],Tasks[[#This Row],[Baseline Duration]]))</f>
        <v/>
      </c>
      <c r="BP144" s="86" t="str">
        <f aca="false">IF(Tasks[[#This Row],[Task Name]]="","",IF(OR(TakeBaseline="Yes",N(Tasks[[#This Row],[Baseline Work]])=0),Tasks[[#This Row],[Work]],Tasks[[#This Row],[Baseline Work]]))</f>
        <v/>
      </c>
      <c r="BQ144" s="7"/>
      <c r="BR144" s="7"/>
      <c r="BS144" s="22"/>
      <c r="BT144" s="88"/>
      <c r="BU144" s="23"/>
      <c r="BV144" s="23"/>
      <c r="BW144" s="23"/>
      <c r="BX144" s="89" t="str">
        <f aca="false">IF(AND(Tasks[[#This Row],[_IsLeaf]]=1,ISNUMBER(Tasks[[#This Row],[Optimistic]]),ISNUMBER(Tasks[[#This Row],[Pessimistic]])),ROUND((Tasks[[#This Row],[Optimistic]]+4*N(Tasks[[#This Row],[_Days]])+Tasks[[#This Row],[Pessimistic]])/6,1),"")</f>
        <v/>
      </c>
      <c r="BY144" s="87"/>
      <c r="BZ144" s="87"/>
      <c r="CA144" s="22"/>
      <c r="CB144" s="43" t="str">
        <f aca="false">IF(Tasks[[#This Row],[Task Name]]="","",MAX(1,N(Tasks[[#This Row],[Level]])))</f>
        <v/>
      </c>
      <c r="CC144" s="43" t="n">
        <f aca="false">ROW()-ROW(Tasks[[#Headers],[ID]])</f>
        <v>139</v>
      </c>
      <c r="CD144" s="43" t="n">
        <f aca="false">IF(OR(Tasks[[#This Row],[Task Name]]="",Tasks[[#This Row],[_Level]]&lt;=1),0,IFERROR(LOOKUP(2,1/(Tasks[[#Headers],[_Level]]:Tasks[[#This Row],[_Level]]=Tasks[[#This Row],[_Level]]-1),ROW(Tasks[[#Headers],[_Level]]:Tasks[[#This Row],[_Level]])),0))</f>
        <v>0</v>
      </c>
      <c r="CE144" s="43" t="n">
        <f aca="false">IFERROR(N(INDEX(Tasks[_Level],Tasks[[#This Row],[_Row]]+1)),0)</f>
        <v>0</v>
      </c>
      <c r="CF144" s="90" t="b">
        <f aca="false">AND(Tasks[[#This Row],[Task Name]]&lt;&gt;"",Tasks[[#This Row],[_NextLevel]]&gt;Tasks[[#This Row],[_Level]])</f>
        <v>0</v>
      </c>
      <c r="CG144" s="43" t="n">
        <f aca="false">IF(Tasks[[#This Row],[_IsSummary]],COUNTIF(Tasks[WBS],Tasks[[#This Row],[WBS]]&amp;".*"),0)</f>
        <v>0</v>
      </c>
      <c r="CH144" s="43" t="n">
        <f aca="false">IF(AND(Tasks[[#This Row],[Task Name]]&lt;&gt;"",NOT(Tasks[[#This Row],[_IsSummary]])),1,0)</f>
        <v>0</v>
      </c>
      <c r="CI144" s="43" t="n">
        <f aca="false">IF(N(Tasks[[#This Row],[_Pred1UID]])=0,0,IFERROR(MATCH(Tasks[[#This Row],[_Pred1UID]],Tasks[UID],0),-1))</f>
        <v>0</v>
      </c>
      <c r="CJ144" s="43" t="n">
        <f aca="false">IF(N(Tasks[[#This Row],[_Pred2UID]])=0,0,IFERROR(MATCH(Tasks[[#This Row],[_Pred2UID]],Tasks[UID],0),-1))</f>
        <v>0</v>
      </c>
      <c r="CK144" s="43" t="n">
        <f aca="false">IF(N(Tasks[[#This Row],[_Pred3UID]])=0,0,IFERROR(MATCH(Tasks[[#This Row],[_Pred3UID]],Tasks[UID],0),-1))</f>
        <v>0</v>
      </c>
      <c r="CL144" s="43" t="n">
        <f aca="false">IF(N(Tasks[[#This Row],[_Pred4UID]])=0,0,IFERROR(MATCH(Tasks[[#This Row],[_Pred4UID]],Tasks[UID],0),-1))</f>
        <v>0</v>
      </c>
      <c r="CM1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4" s="91" t="n">
        <f aca="false">IF(OR(Tasks[[#This Row],[_ConstraintCode]]=2,Tasks[[#This Row],[_ConstraintCode]]=3,Tasks[[#This Row],[_ConstraintCode]]=4,Tasks[[#This Row],[_ConstraintCode]]=6),Tasks[[#This Row],[_ConstraintStart]],0)</f>
        <v>0</v>
      </c>
      <c r="CP144" s="91" t="n">
        <f aca="false">IF(OR(Tasks[[#This Row],[_ConstraintCode]]=2,Tasks[[#This Row],[_ConstraintCode]]=3,Tasks[[#This Row],[_ConstraintCode]]=5,Tasks[[#This Row],[_ConstraintCode]]=7),Tasks[[#This Row],[_ConstraintStart]],2958465)</f>
        <v>2958465</v>
      </c>
      <c r="CQ1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91" t="str">
        <f aca="false">IF(NOT(Tasks[[#This Row],[_IsLeaf]]=1),"",IF(N(Tasks[[#This Row],[_Days]])&lt;=0,Tasks[[#This Row],[_LeafCalcStart]],WORKDAY.INTL(Tasks[[#This Row],[_LeafCalcStart]],Tasks[[#This Row],[_Days]]-1,WorkWeek,Holidays)))</f>
        <v/>
      </c>
      <c r="CS1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3" t="str">
        <f aca="false">IF(Tasks[[#This Row],[_Predecessors]]="","",TRIM(MID(SUBSTITUTE(SUBSTITUTE(SUBSTITUTE(UPPER(Tasks[[#This Row],[_Predecessors]]),";",",")," ",""),",",REPT(" ",99)),1,99)))</f>
        <v/>
      </c>
      <c r="CV144" s="43" t="str">
        <f aca="false">IF(Tasks[[#This Row],[_Pred1Text]]="","",IFERROR(VALUE(LEFT(Tasks[[#This Row],[_Pred1Text]],MIN(FIND("F",Tasks[[#This Row],[_Pred1Text]]&amp;"F"),FIND("S",Tasks[[#This Row],[_Pred1Text]]&amp;"S"),FIND("+",Tasks[[#This Row],[_Pred1Text]]&amp;"+"),FIND("-",Tasks[[#This Row],[_Pred1Text]]&amp;"-"))-1)),""))</f>
        <v/>
      </c>
      <c r="CW1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3" t="str">
        <f aca="false">IF(Tasks[[#This Row],[_Pred1Text]]="","",TRIM(MID(SUBSTITUTE(SUBSTITUTE(SUBSTITUTE(UPPER(Tasks[[#This Row],[_Predecessors]]),";",",")," ",""),",",REPT(" ",99)),100,99)))</f>
        <v/>
      </c>
      <c r="CZ144" s="43" t="str">
        <f aca="false">IF(Tasks[[#This Row],[_Pred2Text]]="","",IFERROR(VALUE(LEFT(Tasks[[#This Row],[_Pred2Text]],MIN(FIND("F",Tasks[[#This Row],[_Pred2Text]]&amp;"F"),FIND("S",Tasks[[#This Row],[_Pred2Text]]&amp;"S"),FIND("+",Tasks[[#This Row],[_Pred2Text]]&amp;"+"),FIND("-",Tasks[[#This Row],[_Pred2Text]]&amp;"-"))-1)),""))</f>
        <v/>
      </c>
      <c r="DA1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3" t="str">
        <f aca="false">IF(Tasks[[#This Row],[_Pred2Text]]="","",TRIM(MID(SUBSTITUTE(SUBSTITUTE(SUBSTITUTE(UPPER(Tasks[[#This Row],[_Predecessors]]),";",",")," ",""),",",REPT(" ",99)),199,99)))</f>
        <v/>
      </c>
      <c r="DD144" s="43" t="str">
        <f aca="false">IF(Tasks[[#This Row],[_Pred3Text]]="","",IFERROR(VALUE(LEFT(Tasks[[#This Row],[_Pred3Text]],MIN(FIND("F",Tasks[[#This Row],[_Pred3Text]]&amp;"F"),FIND("S",Tasks[[#This Row],[_Pred3Text]]&amp;"S"),FIND("+",Tasks[[#This Row],[_Pred3Text]]&amp;"+"),FIND("-",Tasks[[#This Row],[_Pred3Text]]&amp;"-"))-1)),""))</f>
        <v/>
      </c>
      <c r="DE1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3" t="str">
        <f aca="false">IF(Tasks[[#This Row],[_Pred3Text]]="","",TRIM(MID(SUBSTITUTE(SUBSTITUTE(SUBSTITUTE(UPPER(Tasks[[#This Row],[_Predecessors]]),";",",")," ",""),",",REPT(" ",99)),298,99)))</f>
        <v/>
      </c>
      <c r="DH144" s="43" t="str">
        <f aca="false">IF(Tasks[[#This Row],[_Pred4Text]]="","",IFERROR(VALUE(LEFT(Tasks[[#This Row],[_Pred4Text]],MIN(FIND("F",Tasks[[#This Row],[_Pred4Text]]&amp;"F"),FIND("S",Tasks[[#This Row],[_Pred4Text]]&amp;"S"),FIND("+",Tasks[[#This Row],[_Pred4Text]]&amp;"+"),FIND("-",Tasks[[#This Row],[_Pred4Text]]&amp;"-"))-1)),""))</f>
        <v/>
      </c>
      <c r="DI1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3" t="str">
        <f aca="false">IF(OR(Tasks[[#This Row],[Task Name]]="",Tasks[[#This Row],[_Resources]]=""),"",TRIM(MID(SUBSTITUTE(Tasks[[#This Row],[_Resources]],",",REPT(" ",99)),1,99)))</f>
        <v/>
      </c>
      <c r="DL144" s="43" t="str">
        <f aca="false">IF(Tasks[[#This Row],[_Res1Text]]="","",TRIM(MID(SUBSTITUTE(Tasks[[#This Row],[_Resources]],",",REPT(" ",99)),100,99)))</f>
        <v/>
      </c>
      <c r="DM144" s="43" t="str">
        <f aca="false">IF(Tasks[[#This Row],[_Res2Text]]="","",TRIM(MID(SUBSTITUTE(Tasks[[#This Row],[_Resources]],",",REPT(" ",99)),199,99)))</f>
        <v/>
      </c>
      <c r="DN144" s="43" t="str">
        <f aca="false">IF(Tasks[[#This Row],[_Res3Text]]="","",TRIM(MID(SUBSTITUTE(Tasks[[#This Row],[_Resources]],",",REPT(" ",99)),298,99)))</f>
        <v/>
      </c>
      <c r="DO144" s="43" t="n">
        <f aca="false">IF(Tasks[[#This Row],[_Res1Text]]="",0,IFERROR(MATCH(TRIM(LEFT(Tasks[[#This Row],[_Res1Text]],FIND("[",Tasks[[#This Row],[_Res1Text]]&amp;"[")-1)),res_Name,0),IFERROR(MATCH(TRIM(LEFT(Tasks[[#This Row],[_Res1Text]],FIND("[",Tasks[[#This Row],[_Res1Text]]&amp;"[")-1)),res_Initials,0),0)))</f>
        <v>0</v>
      </c>
      <c r="DP144" s="43" t="n">
        <f aca="false">IF(Tasks[[#This Row],[_Res2Text]]="",0,IFERROR(MATCH(TRIM(LEFT(Tasks[[#This Row],[_Res2Text]],FIND("[",Tasks[[#This Row],[_Res2Text]]&amp;"[")-1)),res_Name,0),IFERROR(MATCH(TRIM(LEFT(Tasks[[#This Row],[_Res2Text]],FIND("[",Tasks[[#This Row],[_Res2Text]]&amp;"[")-1)),res_Initials,0),0)))</f>
        <v>0</v>
      </c>
      <c r="DQ144" s="43" t="n">
        <f aca="false">IF(Tasks[[#This Row],[_Res3Text]]="",0,IFERROR(MATCH(TRIM(LEFT(Tasks[[#This Row],[_Res3Text]],FIND("[",Tasks[[#This Row],[_Res3Text]]&amp;"[")-1)),res_Name,0),IFERROR(MATCH(TRIM(LEFT(Tasks[[#This Row],[_Res3Text]],FIND("[",Tasks[[#This Row],[_Res3Text]]&amp;"[")-1)),res_Initials,0),0)))</f>
        <v>0</v>
      </c>
      <c r="DR144" s="43" t="n">
        <f aca="false">IF(Tasks[[#This Row],[_Res4Text]]="",0,IFERROR(MATCH(TRIM(LEFT(Tasks[[#This Row],[_Res4Text]],FIND("[",Tasks[[#This Row],[_Res4Text]]&amp;"[")-1)),res_Name,0),IFERROR(MATCH(TRIM(LEFT(Tasks[[#This Row],[_Res4Text]],FIND("[",Tasks[[#This Row],[_Res4Text]]&amp;"[")-1)),res_Initials,0),0)))</f>
        <v>0</v>
      </c>
      <c r="DS144" s="43" t="str">
        <f aca="false">IF(Tasks[[#This Row],[_Res1Text]]="","",IF(Tasks[[#This Row],[_Res1Row]]&gt;0,INDEX(res_Name,Tasks[[#This Row],[_Res1Row]]),TRIM(LEFT(Tasks[[#This Row],[_Res1Text]],FIND("[",Tasks[[#This Row],[_Res1Text]]&amp;"[")-1))))</f>
        <v/>
      </c>
      <c r="DT1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3" t="n">
        <f aca="false">IF(NOT(Tasks[[#This Row],[_IsLeaf]]=1),0,(Tasks[[#This Row],[_Resource1]]&lt;&gt;"")+(Tasks[[#This Row],[_Res2]]&lt;&gt;"")+(Tasks[[#This Row],[_Res3]]&lt;&gt;"")+(Tasks[[#This Row],[_Res4]]&lt;&gt;""))</f>
        <v>0</v>
      </c>
      <c r="DV144" s="43" t="str">
        <f aca="false">IF(Tasks[[#This Row],[_Res2Text]]="","",IF(Tasks[[#This Row],[_Res2Row]]&gt;0,INDEX(res_Name,Tasks[[#This Row],[_Res2Row]]),TRIM(LEFT(Tasks[[#This Row],[_Res2Text]],FIND("[",Tasks[[#This Row],[_Res2Text]]&amp;"[")-1))))</f>
        <v/>
      </c>
      <c r="DW1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3" t="n">
        <f aca="false">IF(OR(NOT(Tasks[[#This Row],[_IsLeaf]]=1),Tasks[[#This Row],[_Res2Row]]=0),0,N(Tasks[[#This Row],[_Days]])*HoursPerDay*IF(Tasks[[#This Row],[_Res2Units]]="",DefaultUnits,Tasks[[#This Row],[_Res2Units]]))</f>
        <v>0</v>
      </c>
      <c r="DY144" s="43" t="n">
        <f aca="false">IF(AND(AND(Tasks[[#This Row],[_IsLeaf]]=1,Tasks[[#This Row],[_LeafTotalWork]]&gt;0),Tasks[[#This Row],[_Res2Work]]&gt;0),Tasks[[#This Row],[_Res2Work]]/(Tasks[[#This Row],[_FinishWorkday]]-Tasks[[#This Row],[_StartWorkday]]+1),0)</f>
        <v>0</v>
      </c>
      <c r="DZ144" s="43" t="n">
        <f aca="false">Tasks[[#This Row],[_Res2WorkPerWD]]*MAX(0,Tasks[[#This Row],[_StartWorkday]]-1)</f>
        <v>0</v>
      </c>
      <c r="EA144" s="43" t="n">
        <f aca="false">Tasks[[#This Row],[_Res2Work]]*Tasks[[#This Row],[_LeafProgress]]</f>
        <v>0</v>
      </c>
      <c r="EB144" s="43" t="str">
        <f aca="false">IF(Tasks[[#This Row],[_Res3Text]]="","",IF(Tasks[[#This Row],[_Res3Row]]&gt;0,INDEX(res_Name,Tasks[[#This Row],[_Res3Row]]),TRIM(LEFT(Tasks[[#This Row],[_Res3Text]],FIND("[",Tasks[[#This Row],[_Res3Text]]&amp;"[")-1))))</f>
        <v/>
      </c>
      <c r="EC1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3" t="n">
        <f aca="false">IF(OR(NOT(Tasks[[#This Row],[_IsLeaf]]=1),Tasks[[#This Row],[_Res3Row]]=0),0,N(Tasks[[#This Row],[_Days]])*HoursPerDay*IF(Tasks[[#This Row],[_Res3Units]]="",DefaultUnits,Tasks[[#This Row],[_Res3Units]]))</f>
        <v>0</v>
      </c>
      <c r="EE144" s="43" t="n">
        <f aca="false">IF(AND(AND(Tasks[[#This Row],[_IsLeaf]]=1,Tasks[[#This Row],[_LeafTotalWork]]&gt;0),Tasks[[#This Row],[_Res3Work]]&gt;0),Tasks[[#This Row],[_Res3Work]]/(Tasks[[#This Row],[_FinishWorkday]]-Tasks[[#This Row],[_StartWorkday]]+1),0)</f>
        <v>0</v>
      </c>
      <c r="EF144" s="43" t="n">
        <f aca="false">Tasks[[#This Row],[_Res3WorkPerWD]]*MAX(0,Tasks[[#This Row],[_StartWorkday]]-1)</f>
        <v>0</v>
      </c>
      <c r="EG144" s="43" t="n">
        <f aca="false">Tasks[[#This Row],[_Res3Work]]*Tasks[[#This Row],[_LeafProgress]]</f>
        <v>0</v>
      </c>
      <c r="EH144" s="43" t="str">
        <f aca="false">IF(Tasks[[#This Row],[_Res4Text]]="","",IF(Tasks[[#This Row],[_Res4Row]]&gt;0,INDEX(res_Name,Tasks[[#This Row],[_Res4Row]]),TRIM(LEFT(Tasks[[#This Row],[_Res4Text]],FIND("[",Tasks[[#This Row],[_Res4Text]]&amp;"[")-1))))</f>
        <v/>
      </c>
      <c r="EI1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3" t="n">
        <f aca="false">IF(OR(NOT(Tasks[[#This Row],[_IsLeaf]]=1),Tasks[[#This Row],[_Res4Row]]=0),0,N(Tasks[[#This Row],[_Days]])*HoursPerDay*IF(Tasks[[#This Row],[_Res4Units]]="",DefaultUnits,Tasks[[#This Row],[_Res4Units]]))</f>
        <v>0</v>
      </c>
      <c r="EK144" s="43" t="n">
        <f aca="false">IF(AND(AND(Tasks[[#This Row],[_IsLeaf]]=1,Tasks[[#This Row],[_LeafTotalWork]]&gt;0),Tasks[[#This Row],[_Res4Work]]&gt;0),Tasks[[#This Row],[_Res4Work]]/(Tasks[[#This Row],[_FinishWorkday]]-Tasks[[#This Row],[_StartWorkday]]+1),0)</f>
        <v>0</v>
      </c>
      <c r="EL144" s="43" t="n">
        <f aca="false">Tasks[[#This Row],[_Res4WorkPerWD]]*MAX(0,Tasks[[#This Row],[_StartWorkday]]-1)</f>
        <v>0</v>
      </c>
      <c r="EM144" s="43" t="n">
        <f aca="false">Tasks[[#This Row],[_Res4Work]]*Tasks[[#This Row],[_LeafProgress]]</f>
        <v>0</v>
      </c>
      <c r="EN144" s="43" t="n">
        <f aca="false">IF(ISNUMBER(Tasks[[#This Row],[% Complete]]),Tasks[[#This Row],[% Complete]],IF(Tasks[[#This Row],[Stage]]="",0,IFERROR(INDEX(stg_Pct,MATCH(Tasks[[#This Row],[Stage]],stg_Name,0)),0)))</f>
        <v>0</v>
      </c>
      <c r="EO144" s="43" t="n">
        <f aca="false">IF(NOT(Tasks[[#This Row],[_IsLeaf]]=1),0,IF(N(Tasks[[#This Row],[Actual Finish]])&gt;0,1,MIN(1,Tasks[[#This Row],[_Pct]])))</f>
        <v>0</v>
      </c>
      <c r="EP144" s="43" t="n">
        <f aca="false">IF(OR(NOT(Tasks[[#This Row],[_IsLeaf]]=1),Tasks[[#This Row],[_Res1Row]]=0),0,N(Tasks[[#This Row],[_Days]])*HoursPerDay*IF(Tasks[[#This Row],[_Units1]]="",DefaultUnits,Tasks[[#This Row],[_Units1]]))</f>
        <v>0</v>
      </c>
      <c r="EQ144" s="43" t="n">
        <f aca="false">Tasks[[#This Row],[_LeafWork]]+Tasks[[#This Row],[_Res2Work]]+Tasks[[#This Row],[_Res3Work]]+Tasks[[#This Row],[_Res4Work]]</f>
        <v>0</v>
      </c>
      <c r="ER1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3" t="n">
        <f aca="false">IF(NOT(Tasks[[#This Row],[_IsLeaf]]=1),0,MAX(_xlfn.MAXIFS(Tasks[_Row],Tasks[_Pred1UID],Tasks[[#This Row],[UID]]),_xlfn.MAXIFS(Tasks[_Row],Tasks[_Pred2UID],Tasks[[#This Row],[UID]]),_xlfn.MAXIFS(Tasks[_Row],Tasks[_Pred3UID],Tasks[[#This Row],[UID]]),_xlfn.MAXIFS(Tasks[_Row],Tasks[_Pred4UID],Tasks[[#This Row],[UID]])))</f>
        <v>0</v>
      </c>
      <c r="FA1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91" t="str">
        <f aca="false">IF(NOT(Tasks[[#This Row],[_IsLeaf]]=1),"",IF(N(Tasks[[#This Row],[_Days]])&lt;=0,Tasks[[#This Row],[_LeafLateFinish]],WORKDAY.INTL(Tasks[[#This Row],[_LeafLateFinish]],-(Tasks[[#This Row],[_Days]]-1),WorkWeek,Holidays)))</f>
        <v/>
      </c>
      <c r="FD1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4" s="90" t="b">
        <f aca="false">AND(Tasks[[#This Row],[_IsLeaf]]=1,Tasks[[#This Row],[_LeafProgress]]&lt;1,N(Tasks[[#This Row],[_LeafTotalSlack]])&lt;=CriticalSlackDays)</f>
        <v>0</v>
      </c>
      <c r="FF144" s="43" t="n">
        <f aca="false">IF(AND(Tasks[[#This Row],[_IsLeaf]]=1,Tasks[[#This Row],[_ConstraintCode]]=1,Tasks[[#This Row],[Mode]]&lt;&gt;"Manual",N(Tasks[[#This Row],[Actual Start]])=0),MAX(0,N(Tasks[[#This Row],[Free Slack]])),0)</f>
        <v>0</v>
      </c>
      <c r="FG144" s="91" t="str">
        <f aca="false">IF(NOT(Tasks[[#This Row],[_IsLeaf]]=1),"",IF(Tasks[[#This Row],[_AlapShift]]=0,Tasks[[#This Row],[_LeafCalcStart]],WORKDAY.INTL(Tasks[[#This Row],[_LeafCalcStart]],Tasks[[#This Row],[_AlapShift]],WorkWeek,Holidays)))</f>
        <v/>
      </c>
      <c r="FH144" s="91" t="str">
        <f aca="false">IF(NOT(Tasks[[#This Row],[_IsLeaf]]=1),"",IF(Tasks[[#This Row],[_AlapShift]]=0,Tasks[[#This Row],[_LeafCalcFinish]],WORKDAY.INTL(Tasks[[#This Row],[_LeafCalcFinish]],Tasks[[#This Row],[_AlapShift]],WorkWeek,Holidays)))</f>
        <v/>
      </c>
      <c r="FI144" s="91" t="str">
        <f aca="false">IF(NOT(Tasks[[#This Row],[_IsLeaf]]=1),"",IF(Tasks[[#This Row],[_AlapShift]]=0,Tasks[[#This Row],[_LeafFcstStart]],WORKDAY.INTL(Tasks[[#This Row],[_LeafFcstStart]],Tasks[[#This Row],[_AlapShift]],WorkWeek,Holidays)))</f>
        <v/>
      </c>
      <c r="FJ144" s="91" t="str">
        <f aca="false">IF(NOT(Tasks[[#This Row],[_IsLeaf]]=1),"",IF(Tasks[[#This Row],[_AlapShift]]=0,Tasks[[#This Row],[_LeafFcstFinish]],WORKDAY.INTL(Tasks[[#This Row],[_LeafFcstFinish]],Tasks[[#This Row],[_AlapShift]],WorkWeek,Holidays)))</f>
        <v/>
      </c>
      <c r="FK144" s="91" t="str">
        <f aca="false">IF(Tasks[[#This Row],[Task Name]]="","",IF(Tasks[[#This Row],[_IsSummary]],MIN(INDEX(Tasks[_ShownCalcStart],Tasks[[#This Row],[_Row]]+1):INDEX(Tasks[_ShownCalcStart],Tasks[[#This Row],[_Row]]+Tasks[[#This Row],[_Descendants]])),Tasks[[#This Row],[_ShownCalcStart]]))</f>
        <v/>
      </c>
      <c r="FL144" s="91" t="str">
        <f aca="false">IF(Tasks[[#This Row],[Task Name]]="","",IF(Tasks[[#This Row],[_IsSummary]],MAX(INDEX(Tasks[_ShownCalcFinish],Tasks[[#This Row],[_Row]]+1):INDEX(Tasks[_ShownCalcFinish],Tasks[[#This Row],[_Row]]+Tasks[[#This Row],[_Descendants]])),Tasks[[#This Row],[_ShownCalcFinish]]))</f>
        <v/>
      </c>
      <c r="FM1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4" s="43" t="n">
        <f aca="false">IF(AND(Tasks[[#This Row],[_IsLeaf]]=1,Tasks[[#This Row],[_LeafTotalWork]]&gt;0),NETWORKDAYS.INTL(ProjectStart,Tasks[[#This Row],[_ShownFcstStart]],WorkWeek,Holidays),0)</f>
        <v>0</v>
      </c>
      <c r="FZ144" s="43" t="n">
        <f aca="false">IF(AND(Tasks[[#This Row],[_IsLeaf]]=1,Tasks[[#This Row],[_LeafTotalWork]]&gt;0),MAX(Tasks[[#This Row],[_StartWorkday]],NETWORKDAYS.INTL(ProjectStart,Tasks[[#This Row],[_ShownFcstFinish]],WorkWeek,Holidays)),0)</f>
        <v>0</v>
      </c>
      <c r="GA144" s="43" t="n">
        <f aca="false">IF(AND(Tasks[[#This Row],[_IsLeaf]]=1,Tasks[[#This Row],[_LeafTotalWork]]&gt;0),Tasks[[#This Row],[_LeafWork]]/(Tasks[[#This Row],[_FinishWorkday]]-Tasks[[#This Row],[_StartWorkday]]+1),0)</f>
        <v>0</v>
      </c>
      <c r="GB144" s="43" t="n">
        <f aca="false">Tasks[[#This Row],[_WorkPerWorkday]]*(Tasks[[#This Row],[_StartWorkday]]-1)</f>
        <v>-0</v>
      </c>
      <c r="GC144" s="43" t="n">
        <f aca="false">IF(Tasks[[#This Row],[_IsLeaf]]=1,MAX(N(Tasks[[#This Row],[_Days]]),0.1),0)</f>
        <v>0</v>
      </c>
      <c r="GD144" s="43" t="n">
        <f aca="false">Tasks[[#This Row],[_WeightDur]]*Tasks[[#This Row],[_LeafProgress]]</f>
        <v>0</v>
      </c>
      <c r="GE144" s="43" t="n">
        <f aca="false">Tasks[[#This Row],[_WeightDur]]*Tasks[[#This Row],[_PlannedPct]]</f>
        <v>0</v>
      </c>
      <c r="GF1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3" t="str">
        <f aca="false">IF(AND(Tasks[[#This Row],[_IsLeaf]]=1,N(Tasks[[#This Row],[_Days]])=0,Tasks[[#This Row],[_LeafProgress]]&lt;1),Tasks[[#This Row],[_ShownFcstFinish]]+Tasks[[#This Row],[_Row]]/100000,"")</f>
        <v/>
      </c>
      <c r="GH1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4" s="43" t="str">
        <f aca="false">IF(Tasks[[#This Row],[Task Name]]="","",LEFT(Tasks[[#This Row],[WBS]],FIND(".",Tasks[[#This Row],[WBS]]&amp;".")-1))</f>
        <v/>
      </c>
      <c r="GJ144" s="43" t="str">
        <f aca="false">IF(AND(Tasks[[#This Row],[Task Name]]&lt;&gt;"",Tasks[[#This Row],[_Level]]=1),Tasks[[#This Row],[_Row]],"")</f>
        <v/>
      </c>
      <c r="GK144" s="43" t="str">
        <f aca="false">IF(AND(Tasks[[#This Row],[_IsLeaf]]=1,N(Tasks[[#This Row],[_Days]])=0),Tasks[[#This Row],[Planned Finish]]+Tasks[[#This Row],[_Row]]/100000,"")</f>
        <v/>
      </c>
      <c r="GL144" s="43" t="str">
        <f aca="false">IF(AND(Tasks[[#This Row],[_IsLeaf]]=1,Tasks[[#This Row],[_LeafProgress]]&lt;1,OR(N(Tasks[[#This Row],[Finish Var]])&gt;0,Tasks[[#This Row],[Status]]="Late Start")),MAX(0,Tasks[[#This Row],[Finish Var]])+1-Tasks[[#This Row],[_Row]]/1000000,"")</f>
        <v/>
      </c>
      <c r="GM144" s="43" t="str">
        <f aca="false">IF(AND(Tasks[[#This Row],[_IsLeaf]]=1,N(Tasks[[#This Row],[Actual Start]])=0,Tasks[[#This Row],[_ShownFcstStart]]&gt;=StatusDate,Tasks[[#This Row],[_ShownFcstStart]]&lt;=LookaheadEnd),Tasks[[#This Row],[_ShownFcstStart]]+Tasks[[#This Row],[_Row]]/100000,"")</f>
        <v/>
      </c>
      <c r="GN144" s="43" t="str">
        <f aca="false">IF(AND(Tasks[[#This Row],[_IsLeaf]]=1,Tasks[[#This Row],[_LeafProgress]]&lt;1,Tasks[[#This Row],[_ShownFcstFinish]]&gt;=StatusDate,Tasks[[#This Row],[_ShownFcstFinish]]&lt;=LookaheadEnd),Tasks[[#This Row],[_ShownFcstFinish]]+Tasks[[#This Row],[_Row]]/100000,"")</f>
        <v/>
      </c>
      <c r="GO144" s="43" t="str">
        <f aca="false">IF(Tasks[[#This Row],[_LeafCritical]],Tasks[[#This Row],[_ShownFcstStart]]+Tasks[[#This Row],[_Row]]/100000,"")</f>
        <v/>
      </c>
      <c r="GP144" s="43" t="n">
        <f aca="false">Tasks[[#This Row],[_LeafWork]]*Tasks[[#This Row],[_LeafProgress]]</f>
        <v>0</v>
      </c>
      <c r="GQ144" s="91" t="str">
        <f aca="false">IF(AND(Tasks[[#This Row],[_IsLeaf]]=1,Tasks[[#This Row],[_LeafProgress]]&gt;=1),IF(N(Tasks[[#This Row],[Actual Finish]])&gt;0,Tasks[[#This Row],[Actual Finish]],Tasks[[#This Row],[_ShownFcstFinish]]),"")</f>
        <v/>
      </c>
      <c r="GR144" s="43" t="n">
        <f aca="false">IF(Tasks[[#This Row],[_IsLeaf]]=1,N(Tasks[[#This Row],[Story Points]]),0)</f>
        <v>0</v>
      </c>
      <c r="GS144" s="43" t="str">
        <f aca="false">""</f>
        <v/>
      </c>
      <c r="GT144" s="90" t="b">
        <f aca="false">IF(Tasks[[#This Row],[Task Name]]="",FALSE(),AND(Tasks[[#This Row],[_IsLeaf]]=1,N(Tasks[[#This Row],[_Days]])=0))</f>
        <v>0</v>
      </c>
      <c r="GU144" s="91" t="n">
        <f aca="false">IF(Tasks[[#This Row],[Task Name]]="",0,IF(AND(Tasks[[#This Row],[_IsLeaf]]=1,NOT(Tasks[[#This Row],[_IsMilestone]]),N(Tasks[[#This Row],[Progress]])&gt;0),Tasks[[#This Row],[Start]],0))</f>
        <v>0</v>
      </c>
      <c r="GV144" s="91" t="n">
        <f aca="false">IF(Tasks[[#This Row],[_DoneFrom]]=0,0,IF(Tasks[[#This Row],[Progress]]&gt;=1,Tasks[[#This Row],[Finish]],MAX(Tasks[[#This Row],[_DoneFrom]],Tasks[[#This Row],[Start]]+ROUND((Tasks[[#This Row],[Finish]]-Tasks[[#This Row],[Start]]+1)*Tasks[[#This Row],[Progress]],0)-1)))</f>
        <v>0</v>
      </c>
      <c r="GW144" s="91" t="n">
        <f aca="false">IF(Tasks[[#This Row],[Task Name]]="",0,IF(OR(NOT(Tasks[[#This Row],[_IsLeaf]]=1),Tasks[[#This Row],[_IsMilestone]],N(Tasks[[#This Row],[Progress]])&gt;=1),0,IF(Tasks[[#This Row],[_DoneTo]]&gt;0,Tasks[[#This Row],[_DoneTo]]+1,Tasks[[#This Row],[Start]])))</f>
        <v>0</v>
      </c>
      <c r="GX144" s="91" t="n">
        <f aca="false">IF(Tasks[[#This Row],[_RemFrom]]=0,0,Tasks[[#This Row],[Finish]])</f>
        <v>0</v>
      </c>
      <c r="GY144" s="90" t="b">
        <f aca="false">IF(Tasks[[#This Row],[Task Name]]="",FALSE(),OR(NOT(BaselineSet),N(Tasks[[#This Row],[Baseline Start]])&gt;0))</f>
        <v>0</v>
      </c>
      <c r="GZ14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92" t="str">
        <f aca="false">IF(Tasks[[#This Row],[_IsLeaf]]=1,Tasks[[#This Row],[_Row]],"")</f>
        <v/>
      </c>
      <c r="HD144" s="92" t="str">
        <f aca="false">IFERROR(INDEX(Tasks[UID],SMALL(Tasks[_PickKey],Tasks[[#This Row],[_Row]]))&amp;" "&amp;INDEX(Tasks[Task Name],SMALL(Tasks[_PickKey],Tasks[[#This Row],[_Row]])),"")</f>
        <v/>
      </c>
      <c r="HE144" s="43" t="str">
        <f aca="false">IF(Tasks[[#This Row],[Task Name]]="","",IF(Tasks[[#This Row],[_IsSummary]],NETWORKDAYS.INTL(Tasks[[#This Row],[Start]],Tasks[[#This Row],[Finish]],WorkWeek,Holidays),N(Tasks[[#This Row],[_Days]])))</f>
        <v/>
      </c>
      <c r="HF144" s="43" t="n">
        <f aca="false">IF(Tasks[[#This Row],[Expected]]="",0,((Tasks[[#This Row],[Pessimistic]]-Tasks[[#This Row],[Optimistic]])/6)^2)</f>
        <v>0</v>
      </c>
      <c r="HG144" s="43" t="n">
        <f aca="false">IF(Tasks[[#This Row],[Expected]]="",0,Tasks[[#This Row],[Expected]]-N(Tasks[[#This Row],[_Days]]))</f>
        <v>0</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4"/>
      <c r="U145" s="23"/>
      <c r="V145" s="84"/>
      <c r="W145" s="23"/>
      <c r="X145" s="84"/>
      <c r="Y145" s="23"/>
      <c r="Z145" s="84"/>
      <c r="AA145" s="23"/>
      <c r="AB145" s="23"/>
      <c r="AC145" s="7"/>
      <c r="AD145" s="7"/>
      <c r="AE145" s="63" t="str">
        <f aca="false">IF(Tasks[[#This Row],[Task Name]]="","",IF(Tasks[[#This Row],[_IsSummary]],MIN(INDEX(Tasks[_ShownFcstStart],Tasks[[#This Row],[_Row]]+1):INDEX(Tasks[_ShownFcstStart],Tasks[[#This Row],[_Row]]+Tasks[[#This Row],[_Descendants]])),Tasks[[#This Row],[_ShownFcstStart]]))</f>
        <v/>
      </c>
      <c r="AF145" s="63"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5" s="7"/>
      <c r="AK145" s="22"/>
      <c r="AL145" s="23"/>
      <c r="AM145" s="7"/>
      <c r="AN145" s="47"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3" t="str">
        <f aca="false">IF(Tasks[[#This Row],[Task Name]]="","",IF(N(Tasks[[#This Row],[Baseline Start]])&gt;0,Tasks[[#This Row],[Baseline Start]],Tasks[[#This Row],[_CalcStart]]))</f>
        <v/>
      </c>
      <c r="AR145" s="63" t="str">
        <f aca="false">IF(Tasks[[#This Row],[Task Name]]="","",IF(N(Tasks[[#This Row],[Baseline Finish]])&gt;0,Tasks[[#This Row],[Baseline Finish]],Tasks[[#This Row],[_CalcFinish]]))</f>
        <v/>
      </c>
      <c r="AS145" s="47" t="str">
        <f aca="false">IF(Tasks[[#This Row],[Task Name]]="","",IF(Tasks[[#This Row],[Start]]&gt;=Tasks[[#This Row],[Planned Start]],NETWORKDAYS.INTL(Tasks[[#This Row],[Planned Start]],Tasks[[#This Row],[Start]],WorkWeek,Holidays)-1,1-NETWORKDAYS.INTL(Tasks[[#This Row],[Start]],Tasks[[#This Row],[Planned Start]],WorkWeek,Holidays)))</f>
        <v/>
      </c>
      <c r="AT145" s="63" t="str">
        <f aca="false">IF(Tasks[[#This Row],[Task Name]]="","",IF(Tasks[[#This Row],[_IsSummary]],MIN(INDEX(Tasks[_LeafLateStart],Tasks[[#This Row],[_Row]]+1):INDEX(Tasks[_LeafLateStart],Tasks[[#This Row],[_Row]]+Tasks[[#This Row],[_Descendants]])),Tasks[[#This Row],[_LeafLateStart]]))</f>
        <v/>
      </c>
      <c r="AU145" s="63" t="str">
        <f aca="false">IF(Tasks[[#This Row],[Task Name]]="","",IF(Tasks[[#This Row],[_IsSummary]],MAX(INDEX(Tasks[_LeafLateFinish],Tasks[[#This Row],[_Row]]+1):INDEX(Tasks[_LeafLateFinish],Tasks[[#This Row],[_Row]]+Tasks[[#This Row],[_Descendants]])),Tasks[[#This Row],[_LeafLateFinish]]))</f>
        <v/>
      </c>
      <c r="AV145" s="47"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5"/>
      <c r="BA1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6"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7"/>
      <c r="BJ145" s="22"/>
      <c r="BK145" s="47" t="str">
        <f aca="false">IF(OR(Tasks[[#This Row],[Task Name]]="",Tasks[[#This Row],[Baseline Duration]]=""),"",Tasks[[#This Row],[_SpanDays]]-N(Tasks[[#This Row],[Baseline Duration]]))</f>
        <v/>
      </c>
      <c r="BL145" s="86" t="str">
        <f aca="false">IF(OR(Tasks[[#This Row],[Task Name]]="",Tasks[[#This Row],[Baseline Work]]=""),"",Tasks[[#This Row],[Work]]-N(Tasks[[#This Row],[Baseline Work]]))</f>
        <v/>
      </c>
      <c r="BM145" s="63" t="str">
        <f aca="false">IF(Tasks[[#This Row],[Task Name]]="","",IF(OR(TakeBaseline="Yes",N(Tasks[[#This Row],[Baseline Start]])=0),Tasks[[#This Row],[Start]],Tasks[[#This Row],[Baseline Start]]))</f>
        <v/>
      </c>
      <c r="BN145" s="63" t="str">
        <f aca="false">IF(Tasks[[#This Row],[Task Name]]="","",IF(OR(TakeBaseline="Yes",N(Tasks[[#This Row],[Baseline Finish]])=0),Tasks[[#This Row],[Finish]],Tasks[[#This Row],[Baseline Finish]]))</f>
        <v/>
      </c>
      <c r="BO145" s="21" t="str">
        <f aca="false">IF(Tasks[[#This Row],[Task Name]]="","",IF(OR(TakeBaseline="Yes",N(Tasks[[#This Row],[Baseline Duration]])=0),Tasks[[#This Row],[_SpanDays]],Tasks[[#This Row],[Baseline Duration]]))</f>
        <v/>
      </c>
      <c r="BP145" s="86" t="str">
        <f aca="false">IF(Tasks[[#This Row],[Task Name]]="","",IF(OR(TakeBaseline="Yes",N(Tasks[[#This Row],[Baseline Work]])=0),Tasks[[#This Row],[Work]],Tasks[[#This Row],[Baseline Work]]))</f>
        <v/>
      </c>
      <c r="BQ145" s="7"/>
      <c r="BR145" s="7"/>
      <c r="BS145" s="22"/>
      <c r="BT145" s="88"/>
      <c r="BU145" s="23"/>
      <c r="BV145" s="23"/>
      <c r="BW145" s="23"/>
      <c r="BX145" s="89" t="str">
        <f aca="false">IF(AND(Tasks[[#This Row],[_IsLeaf]]=1,ISNUMBER(Tasks[[#This Row],[Optimistic]]),ISNUMBER(Tasks[[#This Row],[Pessimistic]])),ROUND((Tasks[[#This Row],[Optimistic]]+4*N(Tasks[[#This Row],[_Days]])+Tasks[[#This Row],[Pessimistic]])/6,1),"")</f>
        <v/>
      </c>
      <c r="BY145" s="87"/>
      <c r="BZ145" s="87"/>
      <c r="CA145" s="22"/>
      <c r="CB145" s="43" t="str">
        <f aca="false">IF(Tasks[[#This Row],[Task Name]]="","",MAX(1,N(Tasks[[#This Row],[Level]])))</f>
        <v/>
      </c>
      <c r="CC145" s="43" t="n">
        <f aca="false">ROW()-ROW(Tasks[[#Headers],[ID]])</f>
        <v>140</v>
      </c>
      <c r="CD145" s="43" t="n">
        <f aca="false">IF(OR(Tasks[[#This Row],[Task Name]]="",Tasks[[#This Row],[_Level]]&lt;=1),0,IFERROR(LOOKUP(2,1/(Tasks[[#Headers],[_Level]]:Tasks[[#This Row],[_Level]]=Tasks[[#This Row],[_Level]]-1),ROW(Tasks[[#Headers],[_Level]]:Tasks[[#This Row],[_Level]])),0))</f>
        <v>0</v>
      </c>
      <c r="CE145" s="43" t="n">
        <f aca="false">IFERROR(N(INDEX(Tasks[_Level],Tasks[[#This Row],[_Row]]+1)),0)</f>
        <v>0</v>
      </c>
      <c r="CF145" s="90" t="b">
        <f aca="false">AND(Tasks[[#This Row],[Task Name]]&lt;&gt;"",Tasks[[#This Row],[_NextLevel]]&gt;Tasks[[#This Row],[_Level]])</f>
        <v>0</v>
      </c>
      <c r="CG145" s="43" t="n">
        <f aca="false">IF(Tasks[[#This Row],[_IsSummary]],COUNTIF(Tasks[WBS],Tasks[[#This Row],[WBS]]&amp;".*"),0)</f>
        <v>0</v>
      </c>
      <c r="CH145" s="43" t="n">
        <f aca="false">IF(AND(Tasks[[#This Row],[Task Name]]&lt;&gt;"",NOT(Tasks[[#This Row],[_IsSummary]])),1,0)</f>
        <v>0</v>
      </c>
      <c r="CI145" s="43" t="n">
        <f aca="false">IF(N(Tasks[[#This Row],[_Pred1UID]])=0,0,IFERROR(MATCH(Tasks[[#This Row],[_Pred1UID]],Tasks[UID],0),-1))</f>
        <v>0</v>
      </c>
      <c r="CJ145" s="43" t="n">
        <f aca="false">IF(N(Tasks[[#This Row],[_Pred2UID]])=0,0,IFERROR(MATCH(Tasks[[#This Row],[_Pred2UID]],Tasks[UID],0),-1))</f>
        <v>0</v>
      </c>
      <c r="CK145" s="43" t="n">
        <f aca="false">IF(N(Tasks[[#This Row],[_Pred3UID]])=0,0,IFERROR(MATCH(Tasks[[#This Row],[_Pred3UID]],Tasks[UID],0),-1))</f>
        <v>0</v>
      </c>
      <c r="CL145" s="43" t="n">
        <f aca="false">IF(N(Tasks[[#This Row],[_Pred4UID]])=0,0,IFERROR(MATCH(Tasks[[#This Row],[_Pred4UID]],Tasks[UID],0),-1))</f>
        <v>0</v>
      </c>
      <c r="CM1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5" s="91" t="n">
        <f aca="false">IF(OR(Tasks[[#This Row],[_ConstraintCode]]=2,Tasks[[#This Row],[_ConstraintCode]]=3,Tasks[[#This Row],[_ConstraintCode]]=4,Tasks[[#This Row],[_ConstraintCode]]=6),Tasks[[#This Row],[_ConstraintStart]],0)</f>
        <v>0</v>
      </c>
      <c r="CP145" s="91" t="n">
        <f aca="false">IF(OR(Tasks[[#This Row],[_ConstraintCode]]=2,Tasks[[#This Row],[_ConstraintCode]]=3,Tasks[[#This Row],[_ConstraintCode]]=5,Tasks[[#This Row],[_ConstraintCode]]=7),Tasks[[#This Row],[_ConstraintStart]],2958465)</f>
        <v>2958465</v>
      </c>
      <c r="CQ1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91" t="str">
        <f aca="false">IF(NOT(Tasks[[#This Row],[_IsLeaf]]=1),"",IF(N(Tasks[[#This Row],[_Days]])&lt;=0,Tasks[[#This Row],[_LeafCalcStart]],WORKDAY.INTL(Tasks[[#This Row],[_LeafCalcStart]],Tasks[[#This Row],[_Days]]-1,WorkWeek,Holidays)))</f>
        <v/>
      </c>
      <c r="CS1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3" t="str">
        <f aca="false">IF(Tasks[[#This Row],[_Predecessors]]="","",TRIM(MID(SUBSTITUTE(SUBSTITUTE(SUBSTITUTE(UPPER(Tasks[[#This Row],[_Predecessors]]),";",",")," ",""),",",REPT(" ",99)),1,99)))</f>
        <v/>
      </c>
      <c r="CV145" s="43" t="str">
        <f aca="false">IF(Tasks[[#This Row],[_Pred1Text]]="","",IFERROR(VALUE(LEFT(Tasks[[#This Row],[_Pred1Text]],MIN(FIND("F",Tasks[[#This Row],[_Pred1Text]]&amp;"F"),FIND("S",Tasks[[#This Row],[_Pred1Text]]&amp;"S"),FIND("+",Tasks[[#This Row],[_Pred1Text]]&amp;"+"),FIND("-",Tasks[[#This Row],[_Pred1Text]]&amp;"-"))-1)),""))</f>
        <v/>
      </c>
      <c r="CW1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3" t="str">
        <f aca="false">IF(Tasks[[#This Row],[_Pred1Text]]="","",TRIM(MID(SUBSTITUTE(SUBSTITUTE(SUBSTITUTE(UPPER(Tasks[[#This Row],[_Predecessors]]),";",",")," ",""),",",REPT(" ",99)),100,99)))</f>
        <v/>
      </c>
      <c r="CZ145" s="43" t="str">
        <f aca="false">IF(Tasks[[#This Row],[_Pred2Text]]="","",IFERROR(VALUE(LEFT(Tasks[[#This Row],[_Pred2Text]],MIN(FIND("F",Tasks[[#This Row],[_Pred2Text]]&amp;"F"),FIND("S",Tasks[[#This Row],[_Pred2Text]]&amp;"S"),FIND("+",Tasks[[#This Row],[_Pred2Text]]&amp;"+"),FIND("-",Tasks[[#This Row],[_Pred2Text]]&amp;"-"))-1)),""))</f>
        <v/>
      </c>
      <c r="DA1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3" t="str">
        <f aca="false">IF(Tasks[[#This Row],[_Pred2Text]]="","",TRIM(MID(SUBSTITUTE(SUBSTITUTE(SUBSTITUTE(UPPER(Tasks[[#This Row],[_Predecessors]]),";",",")," ",""),",",REPT(" ",99)),199,99)))</f>
        <v/>
      </c>
      <c r="DD145" s="43" t="str">
        <f aca="false">IF(Tasks[[#This Row],[_Pred3Text]]="","",IFERROR(VALUE(LEFT(Tasks[[#This Row],[_Pred3Text]],MIN(FIND("F",Tasks[[#This Row],[_Pred3Text]]&amp;"F"),FIND("S",Tasks[[#This Row],[_Pred3Text]]&amp;"S"),FIND("+",Tasks[[#This Row],[_Pred3Text]]&amp;"+"),FIND("-",Tasks[[#This Row],[_Pred3Text]]&amp;"-"))-1)),""))</f>
        <v/>
      </c>
      <c r="DE1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3" t="str">
        <f aca="false">IF(Tasks[[#This Row],[_Pred3Text]]="","",TRIM(MID(SUBSTITUTE(SUBSTITUTE(SUBSTITUTE(UPPER(Tasks[[#This Row],[_Predecessors]]),";",",")," ",""),",",REPT(" ",99)),298,99)))</f>
        <v/>
      </c>
      <c r="DH145" s="43" t="str">
        <f aca="false">IF(Tasks[[#This Row],[_Pred4Text]]="","",IFERROR(VALUE(LEFT(Tasks[[#This Row],[_Pred4Text]],MIN(FIND("F",Tasks[[#This Row],[_Pred4Text]]&amp;"F"),FIND("S",Tasks[[#This Row],[_Pred4Text]]&amp;"S"),FIND("+",Tasks[[#This Row],[_Pred4Text]]&amp;"+"),FIND("-",Tasks[[#This Row],[_Pred4Text]]&amp;"-"))-1)),""))</f>
        <v/>
      </c>
      <c r="DI1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3" t="str">
        <f aca="false">IF(OR(Tasks[[#This Row],[Task Name]]="",Tasks[[#This Row],[_Resources]]=""),"",TRIM(MID(SUBSTITUTE(Tasks[[#This Row],[_Resources]],",",REPT(" ",99)),1,99)))</f>
        <v/>
      </c>
      <c r="DL145" s="43" t="str">
        <f aca="false">IF(Tasks[[#This Row],[_Res1Text]]="","",TRIM(MID(SUBSTITUTE(Tasks[[#This Row],[_Resources]],",",REPT(" ",99)),100,99)))</f>
        <v/>
      </c>
      <c r="DM145" s="43" t="str">
        <f aca="false">IF(Tasks[[#This Row],[_Res2Text]]="","",TRIM(MID(SUBSTITUTE(Tasks[[#This Row],[_Resources]],",",REPT(" ",99)),199,99)))</f>
        <v/>
      </c>
      <c r="DN145" s="43" t="str">
        <f aca="false">IF(Tasks[[#This Row],[_Res3Text]]="","",TRIM(MID(SUBSTITUTE(Tasks[[#This Row],[_Resources]],",",REPT(" ",99)),298,99)))</f>
        <v/>
      </c>
      <c r="DO145" s="43" t="n">
        <f aca="false">IF(Tasks[[#This Row],[_Res1Text]]="",0,IFERROR(MATCH(TRIM(LEFT(Tasks[[#This Row],[_Res1Text]],FIND("[",Tasks[[#This Row],[_Res1Text]]&amp;"[")-1)),res_Name,0),IFERROR(MATCH(TRIM(LEFT(Tasks[[#This Row],[_Res1Text]],FIND("[",Tasks[[#This Row],[_Res1Text]]&amp;"[")-1)),res_Initials,0),0)))</f>
        <v>0</v>
      </c>
      <c r="DP145" s="43" t="n">
        <f aca="false">IF(Tasks[[#This Row],[_Res2Text]]="",0,IFERROR(MATCH(TRIM(LEFT(Tasks[[#This Row],[_Res2Text]],FIND("[",Tasks[[#This Row],[_Res2Text]]&amp;"[")-1)),res_Name,0),IFERROR(MATCH(TRIM(LEFT(Tasks[[#This Row],[_Res2Text]],FIND("[",Tasks[[#This Row],[_Res2Text]]&amp;"[")-1)),res_Initials,0),0)))</f>
        <v>0</v>
      </c>
      <c r="DQ145" s="43" t="n">
        <f aca="false">IF(Tasks[[#This Row],[_Res3Text]]="",0,IFERROR(MATCH(TRIM(LEFT(Tasks[[#This Row],[_Res3Text]],FIND("[",Tasks[[#This Row],[_Res3Text]]&amp;"[")-1)),res_Name,0),IFERROR(MATCH(TRIM(LEFT(Tasks[[#This Row],[_Res3Text]],FIND("[",Tasks[[#This Row],[_Res3Text]]&amp;"[")-1)),res_Initials,0),0)))</f>
        <v>0</v>
      </c>
      <c r="DR145" s="43" t="n">
        <f aca="false">IF(Tasks[[#This Row],[_Res4Text]]="",0,IFERROR(MATCH(TRIM(LEFT(Tasks[[#This Row],[_Res4Text]],FIND("[",Tasks[[#This Row],[_Res4Text]]&amp;"[")-1)),res_Name,0),IFERROR(MATCH(TRIM(LEFT(Tasks[[#This Row],[_Res4Text]],FIND("[",Tasks[[#This Row],[_Res4Text]]&amp;"[")-1)),res_Initials,0),0)))</f>
        <v>0</v>
      </c>
      <c r="DS145" s="43" t="str">
        <f aca="false">IF(Tasks[[#This Row],[_Res1Text]]="","",IF(Tasks[[#This Row],[_Res1Row]]&gt;0,INDEX(res_Name,Tasks[[#This Row],[_Res1Row]]),TRIM(LEFT(Tasks[[#This Row],[_Res1Text]],FIND("[",Tasks[[#This Row],[_Res1Text]]&amp;"[")-1))))</f>
        <v/>
      </c>
      <c r="DT1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3" t="n">
        <f aca="false">IF(NOT(Tasks[[#This Row],[_IsLeaf]]=1),0,(Tasks[[#This Row],[_Resource1]]&lt;&gt;"")+(Tasks[[#This Row],[_Res2]]&lt;&gt;"")+(Tasks[[#This Row],[_Res3]]&lt;&gt;"")+(Tasks[[#This Row],[_Res4]]&lt;&gt;""))</f>
        <v>0</v>
      </c>
      <c r="DV145" s="43" t="str">
        <f aca="false">IF(Tasks[[#This Row],[_Res2Text]]="","",IF(Tasks[[#This Row],[_Res2Row]]&gt;0,INDEX(res_Name,Tasks[[#This Row],[_Res2Row]]),TRIM(LEFT(Tasks[[#This Row],[_Res2Text]],FIND("[",Tasks[[#This Row],[_Res2Text]]&amp;"[")-1))))</f>
        <v/>
      </c>
      <c r="DW1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3" t="n">
        <f aca="false">IF(OR(NOT(Tasks[[#This Row],[_IsLeaf]]=1),Tasks[[#This Row],[_Res2Row]]=0),0,N(Tasks[[#This Row],[_Days]])*HoursPerDay*IF(Tasks[[#This Row],[_Res2Units]]="",DefaultUnits,Tasks[[#This Row],[_Res2Units]]))</f>
        <v>0</v>
      </c>
      <c r="DY145" s="43" t="n">
        <f aca="false">IF(AND(AND(Tasks[[#This Row],[_IsLeaf]]=1,Tasks[[#This Row],[_LeafTotalWork]]&gt;0),Tasks[[#This Row],[_Res2Work]]&gt;0),Tasks[[#This Row],[_Res2Work]]/(Tasks[[#This Row],[_FinishWorkday]]-Tasks[[#This Row],[_StartWorkday]]+1),0)</f>
        <v>0</v>
      </c>
      <c r="DZ145" s="43" t="n">
        <f aca="false">Tasks[[#This Row],[_Res2WorkPerWD]]*MAX(0,Tasks[[#This Row],[_StartWorkday]]-1)</f>
        <v>0</v>
      </c>
      <c r="EA145" s="43" t="n">
        <f aca="false">Tasks[[#This Row],[_Res2Work]]*Tasks[[#This Row],[_LeafProgress]]</f>
        <v>0</v>
      </c>
      <c r="EB145" s="43" t="str">
        <f aca="false">IF(Tasks[[#This Row],[_Res3Text]]="","",IF(Tasks[[#This Row],[_Res3Row]]&gt;0,INDEX(res_Name,Tasks[[#This Row],[_Res3Row]]),TRIM(LEFT(Tasks[[#This Row],[_Res3Text]],FIND("[",Tasks[[#This Row],[_Res3Text]]&amp;"[")-1))))</f>
        <v/>
      </c>
      <c r="EC1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3" t="n">
        <f aca="false">IF(OR(NOT(Tasks[[#This Row],[_IsLeaf]]=1),Tasks[[#This Row],[_Res3Row]]=0),0,N(Tasks[[#This Row],[_Days]])*HoursPerDay*IF(Tasks[[#This Row],[_Res3Units]]="",DefaultUnits,Tasks[[#This Row],[_Res3Units]]))</f>
        <v>0</v>
      </c>
      <c r="EE145" s="43" t="n">
        <f aca="false">IF(AND(AND(Tasks[[#This Row],[_IsLeaf]]=1,Tasks[[#This Row],[_LeafTotalWork]]&gt;0),Tasks[[#This Row],[_Res3Work]]&gt;0),Tasks[[#This Row],[_Res3Work]]/(Tasks[[#This Row],[_FinishWorkday]]-Tasks[[#This Row],[_StartWorkday]]+1),0)</f>
        <v>0</v>
      </c>
      <c r="EF145" s="43" t="n">
        <f aca="false">Tasks[[#This Row],[_Res3WorkPerWD]]*MAX(0,Tasks[[#This Row],[_StartWorkday]]-1)</f>
        <v>0</v>
      </c>
      <c r="EG145" s="43" t="n">
        <f aca="false">Tasks[[#This Row],[_Res3Work]]*Tasks[[#This Row],[_LeafProgress]]</f>
        <v>0</v>
      </c>
      <c r="EH145" s="43" t="str">
        <f aca="false">IF(Tasks[[#This Row],[_Res4Text]]="","",IF(Tasks[[#This Row],[_Res4Row]]&gt;0,INDEX(res_Name,Tasks[[#This Row],[_Res4Row]]),TRIM(LEFT(Tasks[[#This Row],[_Res4Text]],FIND("[",Tasks[[#This Row],[_Res4Text]]&amp;"[")-1))))</f>
        <v/>
      </c>
      <c r="EI1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3" t="n">
        <f aca="false">IF(OR(NOT(Tasks[[#This Row],[_IsLeaf]]=1),Tasks[[#This Row],[_Res4Row]]=0),0,N(Tasks[[#This Row],[_Days]])*HoursPerDay*IF(Tasks[[#This Row],[_Res4Units]]="",DefaultUnits,Tasks[[#This Row],[_Res4Units]]))</f>
        <v>0</v>
      </c>
      <c r="EK145" s="43" t="n">
        <f aca="false">IF(AND(AND(Tasks[[#This Row],[_IsLeaf]]=1,Tasks[[#This Row],[_LeafTotalWork]]&gt;0),Tasks[[#This Row],[_Res4Work]]&gt;0),Tasks[[#This Row],[_Res4Work]]/(Tasks[[#This Row],[_FinishWorkday]]-Tasks[[#This Row],[_StartWorkday]]+1),0)</f>
        <v>0</v>
      </c>
      <c r="EL145" s="43" t="n">
        <f aca="false">Tasks[[#This Row],[_Res4WorkPerWD]]*MAX(0,Tasks[[#This Row],[_StartWorkday]]-1)</f>
        <v>0</v>
      </c>
      <c r="EM145" s="43" t="n">
        <f aca="false">Tasks[[#This Row],[_Res4Work]]*Tasks[[#This Row],[_LeafProgress]]</f>
        <v>0</v>
      </c>
      <c r="EN145" s="43" t="n">
        <f aca="false">IF(ISNUMBER(Tasks[[#This Row],[% Complete]]),Tasks[[#This Row],[% Complete]],IF(Tasks[[#This Row],[Stage]]="",0,IFERROR(INDEX(stg_Pct,MATCH(Tasks[[#This Row],[Stage]],stg_Name,0)),0)))</f>
        <v>0</v>
      </c>
      <c r="EO145" s="43" t="n">
        <f aca="false">IF(NOT(Tasks[[#This Row],[_IsLeaf]]=1),0,IF(N(Tasks[[#This Row],[Actual Finish]])&gt;0,1,MIN(1,Tasks[[#This Row],[_Pct]])))</f>
        <v>0</v>
      </c>
      <c r="EP145" s="43" t="n">
        <f aca="false">IF(OR(NOT(Tasks[[#This Row],[_IsLeaf]]=1),Tasks[[#This Row],[_Res1Row]]=0),0,N(Tasks[[#This Row],[_Days]])*HoursPerDay*IF(Tasks[[#This Row],[_Units1]]="",DefaultUnits,Tasks[[#This Row],[_Units1]]))</f>
        <v>0</v>
      </c>
      <c r="EQ145" s="43" t="n">
        <f aca="false">Tasks[[#This Row],[_LeafWork]]+Tasks[[#This Row],[_Res2Work]]+Tasks[[#This Row],[_Res3Work]]+Tasks[[#This Row],[_Res4Work]]</f>
        <v>0</v>
      </c>
      <c r="ER1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3" t="n">
        <f aca="false">IF(NOT(Tasks[[#This Row],[_IsLeaf]]=1),0,MAX(_xlfn.MAXIFS(Tasks[_Row],Tasks[_Pred1UID],Tasks[[#This Row],[UID]]),_xlfn.MAXIFS(Tasks[_Row],Tasks[_Pred2UID],Tasks[[#This Row],[UID]]),_xlfn.MAXIFS(Tasks[_Row],Tasks[_Pred3UID],Tasks[[#This Row],[UID]]),_xlfn.MAXIFS(Tasks[_Row],Tasks[_Pred4UID],Tasks[[#This Row],[UID]])))</f>
        <v>0</v>
      </c>
      <c r="FA1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91" t="str">
        <f aca="false">IF(NOT(Tasks[[#This Row],[_IsLeaf]]=1),"",IF(N(Tasks[[#This Row],[_Days]])&lt;=0,Tasks[[#This Row],[_LeafLateFinish]],WORKDAY.INTL(Tasks[[#This Row],[_LeafLateFinish]],-(Tasks[[#This Row],[_Days]]-1),WorkWeek,Holidays)))</f>
        <v/>
      </c>
      <c r="FD1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5" s="90" t="b">
        <f aca="false">AND(Tasks[[#This Row],[_IsLeaf]]=1,Tasks[[#This Row],[_LeafProgress]]&lt;1,N(Tasks[[#This Row],[_LeafTotalSlack]])&lt;=CriticalSlackDays)</f>
        <v>0</v>
      </c>
      <c r="FF145" s="43" t="n">
        <f aca="false">IF(AND(Tasks[[#This Row],[_IsLeaf]]=1,Tasks[[#This Row],[_ConstraintCode]]=1,Tasks[[#This Row],[Mode]]&lt;&gt;"Manual",N(Tasks[[#This Row],[Actual Start]])=0),MAX(0,N(Tasks[[#This Row],[Free Slack]])),0)</f>
        <v>0</v>
      </c>
      <c r="FG145" s="91" t="str">
        <f aca="false">IF(NOT(Tasks[[#This Row],[_IsLeaf]]=1),"",IF(Tasks[[#This Row],[_AlapShift]]=0,Tasks[[#This Row],[_LeafCalcStart]],WORKDAY.INTL(Tasks[[#This Row],[_LeafCalcStart]],Tasks[[#This Row],[_AlapShift]],WorkWeek,Holidays)))</f>
        <v/>
      </c>
      <c r="FH145" s="91" t="str">
        <f aca="false">IF(NOT(Tasks[[#This Row],[_IsLeaf]]=1),"",IF(Tasks[[#This Row],[_AlapShift]]=0,Tasks[[#This Row],[_LeafCalcFinish]],WORKDAY.INTL(Tasks[[#This Row],[_LeafCalcFinish]],Tasks[[#This Row],[_AlapShift]],WorkWeek,Holidays)))</f>
        <v/>
      </c>
      <c r="FI145" s="91" t="str">
        <f aca="false">IF(NOT(Tasks[[#This Row],[_IsLeaf]]=1),"",IF(Tasks[[#This Row],[_AlapShift]]=0,Tasks[[#This Row],[_LeafFcstStart]],WORKDAY.INTL(Tasks[[#This Row],[_LeafFcstStart]],Tasks[[#This Row],[_AlapShift]],WorkWeek,Holidays)))</f>
        <v/>
      </c>
      <c r="FJ145" s="91" t="str">
        <f aca="false">IF(NOT(Tasks[[#This Row],[_IsLeaf]]=1),"",IF(Tasks[[#This Row],[_AlapShift]]=0,Tasks[[#This Row],[_LeafFcstFinish]],WORKDAY.INTL(Tasks[[#This Row],[_LeafFcstFinish]],Tasks[[#This Row],[_AlapShift]],WorkWeek,Holidays)))</f>
        <v/>
      </c>
      <c r="FK145" s="91" t="str">
        <f aca="false">IF(Tasks[[#This Row],[Task Name]]="","",IF(Tasks[[#This Row],[_IsSummary]],MIN(INDEX(Tasks[_ShownCalcStart],Tasks[[#This Row],[_Row]]+1):INDEX(Tasks[_ShownCalcStart],Tasks[[#This Row],[_Row]]+Tasks[[#This Row],[_Descendants]])),Tasks[[#This Row],[_ShownCalcStart]]))</f>
        <v/>
      </c>
      <c r="FL145" s="91" t="str">
        <f aca="false">IF(Tasks[[#This Row],[Task Name]]="","",IF(Tasks[[#This Row],[_IsSummary]],MAX(INDEX(Tasks[_ShownCalcFinish],Tasks[[#This Row],[_Row]]+1):INDEX(Tasks[_ShownCalcFinish],Tasks[[#This Row],[_Row]]+Tasks[[#This Row],[_Descendants]])),Tasks[[#This Row],[_ShownCalcFinish]]))</f>
        <v/>
      </c>
      <c r="FM1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5" s="43" t="n">
        <f aca="false">IF(AND(Tasks[[#This Row],[_IsLeaf]]=1,Tasks[[#This Row],[_LeafTotalWork]]&gt;0),NETWORKDAYS.INTL(ProjectStart,Tasks[[#This Row],[_ShownFcstStart]],WorkWeek,Holidays),0)</f>
        <v>0</v>
      </c>
      <c r="FZ145" s="43" t="n">
        <f aca="false">IF(AND(Tasks[[#This Row],[_IsLeaf]]=1,Tasks[[#This Row],[_LeafTotalWork]]&gt;0),MAX(Tasks[[#This Row],[_StartWorkday]],NETWORKDAYS.INTL(ProjectStart,Tasks[[#This Row],[_ShownFcstFinish]],WorkWeek,Holidays)),0)</f>
        <v>0</v>
      </c>
      <c r="GA145" s="43" t="n">
        <f aca="false">IF(AND(Tasks[[#This Row],[_IsLeaf]]=1,Tasks[[#This Row],[_LeafTotalWork]]&gt;0),Tasks[[#This Row],[_LeafWork]]/(Tasks[[#This Row],[_FinishWorkday]]-Tasks[[#This Row],[_StartWorkday]]+1),0)</f>
        <v>0</v>
      </c>
      <c r="GB145" s="43" t="n">
        <f aca="false">Tasks[[#This Row],[_WorkPerWorkday]]*(Tasks[[#This Row],[_StartWorkday]]-1)</f>
        <v>-0</v>
      </c>
      <c r="GC145" s="43" t="n">
        <f aca="false">IF(Tasks[[#This Row],[_IsLeaf]]=1,MAX(N(Tasks[[#This Row],[_Days]]),0.1),0)</f>
        <v>0</v>
      </c>
      <c r="GD145" s="43" t="n">
        <f aca="false">Tasks[[#This Row],[_WeightDur]]*Tasks[[#This Row],[_LeafProgress]]</f>
        <v>0</v>
      </c>
      <c r="GE145" s="43" t="n">
        <f aca="false">Tasks[[#This Row],[_WeightDur]]*Tasks[[#This Row],[_PlannedPct]]</f>
        <v>0</v>
      </c>
      <c r="GF1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3" t="str">
        <f aca="false">IF(AND(Tasks[[#This Row],[_IsLeaf]]=1,N(Tasks[[#This Row],[_Days]])=0,Tasks[[#This Row],[_LeafProgress]]&lt;1),Tasks[[#This Row],[_ShownFcstFinish]]+Tasks[[#This Row],[_Row]]/100000,"")</f>
        <v/>
      </c>
      <c r="GH1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5" s="43" t="str">
        <f aca="false">IF(Tasks[[#This Row],[Task Name]]="","",LEFT(Tasks[[#This Row],[WBS]],FIND(".",Tasks[[#This Row],[WBS]]&amp;".")-1))</f>
        <v/>
      </c>
      <c r="GJ145" s="43" t="str">
        <f aca="false">IF(AND(Tasks[[#This Row],[Task Name]]&lt;&gt;"",Tasks[[#This Row],[_Level]]=1),Tasks[[#This Row],[_Row]],"")</f>
        <v/>
      </c>
      <c r="GK145" s="43" t="str">
        <f aca="false">IF(AND(Tasks[[#This Row],[_IsLeaf]]=1,N(Tasks[[#This Row],[_Days]])=0),Tasks[[#This Row],[Planned Finish]]+Tasks[[#This Row],[_Row]]/100000,"")</f>
        <v/>
      </c>
      <c r="GL145" s="43" t="str">
        <f aca="false">IF(AND(Tasks[[#This Row],[_IsLeaf]]=1,Tasks[[#This Row],[_LeafProgress]]&lt;1,OR(N(Tasks[[#This Row],[Finish Var]])&gt;0,Tasks[[#This Row],[Status]]="Late Start")),MAX(0,Tasks[[#This Row],[Finish Var]])+1-Tasks[[#This Row],[_Row]]/1000000,"")</f>
        <v/>
      </c>
      <c r="GM145" s="43" t="str">
        <f aca="false">IF(AND(Tasks[[#This Row],[_IsLeaf]]=1,N(Tasks[[#This Row],[Actual Start]])=0,Tasks[[#This Row],[_ShownFcstStart]]&gt;=StatusDate,Tasks[[#This Row],[_ShownFcstStart]]&lt;=LookaheadEnd),Tasks[[#This Row],[_ShownFcstStart]]+Tasks[[#This Row],[_Row]]/100000,"")</f>
        <v/>
      </c>
      <c r="GN145" s="43" t="str">
        <f aca="false">IF(AND(Tasks[[#This Row],[_IsLeaf]]=1,Tasks[[#This Row],[_LeafProgress]]&lt;1,Tasks[[#This Row],[_ShownFcstFinish]]&gt;=StatusDate,Tasks[[#This Row],[_ShownFcstFinish]]&lt;=LookaheadEnd),Tasks[[#This Row],[_ShownFcstFinish]]+Tasks[[#This Row],[_Row]]/100000,"")</f>
        <v/>
      </c>
      <c r="GO145" s="43" t="str">
        <f aca="false">IF(Tasks[[#This Row],[_LeafCritical]],Tasks[[#This Row],[_ShownFcstStart]]+Tasks[[#This Row],[_Row]]/100000,"")</f>
        <v/>
      </c>
      <c r="GP145" s="43" t="n">
        <f aca="false">Tasks[[#This Row],[_LeafWork]]*Tasks[[#This Row],[_LeafProgress]]</f>
        <v>0</v>
      </c>
      <c r="GQ145" s="91" t="str">
        <f aca="false">IF(AND(Tasks[[#This Row],[_IsLeaf]]=1,Tasks[[#This Row],[_LeafProgress]]&gt;=1),IF(N(Tasks[[#This Row],[Actual Finish]])&gt;0,Tasks[[#This Row],[Actual Finish]],Tasks[[#This Row],[_ShownFcstFinish]]),"")</f>
        <v/>
      </c>
      <c r="GR145" s="43" t="n">
        <f aca="false">IF(Tasks[[#This Row],[_IsLeaf]]=1,N(Tasks[[#This Row],[Story Points]]),0)</f>
        <v>0</v>
      </c>
      <c r="GS145" s="43" t="str">
        <f aca="false">""</f>
        <v/>
      </c>
      <c r="GT145" s="90" t="b">
        <f aca="false">IF(Tasks[[#This Row],[Task Name]]="",FALSE(),AND(Tasks[[#This Row],[_IsLeaf]]=1,N(Tasks[[#This Row],[_Days]])=0))</f>
        <v>0</v>
      </c>
      <c r="GU145" s="91" t="n">
        <f aca="false">IF(Tasks[[#This Row],[Task Name]]="",0,IF(AND(Tasks[[#This Row],[_IsLeaf]]=1,NOT(Tasks[[#This Row],[_IsMilestone]]),N(Tasks[[#This Row],[Progress]])&gt;0),Tasks[[#This Row],[Start]],0))</f>
        <v>0</v>
      </c>
      <c r="GV145" s="91" t="n">
        <f aca="false">IF(Tasks[[#This Row],[_DoneFrom]]=0,0,IF(Tasks[[#This Row],[Progress]]&gt;=1,Tasks[[#This Row],[Finish]],MAX(Tasks[[#This Row],[_DoneFrom]],Tasks[[#This Row],[Start]]+ROUND((Tasks[[#This Row],[Finish]]-Tasks[[#This Row],[Start]]+1)*Tasks[[#This Row],[Progress]],0)-1)))</f>
        <v>0</v>
      </c>
      <c r="GW145" s="91" t="n">
        <f aca="false">IF(Tasks[[#This Row],[Task Name]]="",0,IF(OR(NOT(Tasks[[#This Row],[_IsLeaf]]=1),Tasks[[#This Row],[_IsMilestone]],N(Tasks[[#This Row],[Progress]])&gt;=1),0,IF(Tasks[[#This Row],[_DoneTo]]&gt;0,Tasks[[#This Row],[_DoneTo]]+1,Tasks[[#This Row],[Start]])))</f>
        <v>0</v>
      </c>
      <c r="GX145" s="91" t="n">
        <f aca="false">IF(Tasks[[#This Row],[_RemFrom]]=0,0,Tasks[[#This Row],[Finish]])</f>
        <v>0</v>
      </c>
      <c r="GY145" s="90" t="b">
        <f aca="false">IF(Tasks[[#This Row],[Task Name]]="",FALSE(),OR(NOT(BaselineSet),N(Tasks[[#This Row],[Baseline Start]])&gt;0))</f>
        <v>0</v>
      </c>
      <c r="GZ14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92" t="str">
        <f aca="false">IF(Tasks[[#This Row],[_IsLeaf]]=1,Tasks[[#This Row],[_Row]],"")</f>
        <v/>
      </c>
      <c r="HD145" s="92" t="str">
        <f aca="false">IFERROR(INDEX(Tasks[UID],SMALL(Tasks[_PickKey],Tasks[[#This Row],[_Row]]))&amp;" "&amp;INDEX(Tasks[Task Name],SMALL(Tasks[_PickKey],Tasks[[#This Row],[_Row]])),"")</f>
        <v/>
      </c>
      <c r="HE145" s="43" t="str">
        <f aca="false">IF(Tasks[[#This Row],[Task Name]]="","",IF(Tasks[[#This Row],[_IsSummary]],NETWORKDAYS.INTL(Tasks[[#This Row],[Start]],Tasks[[#This Row],[Finish]],WorkWeek,Holidays),N(Tasks[[#This Row],[_Days]])))</f>
        <v/>
      </c>
      <c r="HF145" s="43" t="n">
        <f aca="false">IF(Tasks[[#This Row],[Expected]]="",0,((Tasks[[#This Row],[Pessimistic]]-Tasks[[#This Row],[Optimistic]])/6)^2)</f>
        <v>0</v>
      </c>
      <c r="HG145" s="43" t="n">
        <f aca="false">IF(Tasks[[#This Row],[Expected]]="",0,Tasks[[#This Row],[Expected]]-N(Tasks[[#This Row],[_Days]]))</f>
        <v>0</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4"/>
      <c r="U146" s="23"/>
      <c r="V146" s="84"/>
      <c r="W146" s="23"/>
      <c r="X146" s="84"/>
      <c r="Y146" s="23"/>
      <c r="Z146" s="84"/>
      <c r="AA146" s="23"/>
      <c r="AB146" s="23"/>
      <c r="AC146" s="7"/>
      <c r="AD146" s="7"/>
      <c r="AE146" s="63" t="str">
        <f aca="false">IF(Tasks[[#This Row],[Task Name]]="","",IF(Tasks[[#This Row],[_IsSummary]],MIN(INDEX(Tasks[_ShownFcstStart],Tasks[[#This Row],[_Row]]+1):INDEX(Tasks[_ShownFcstStart],Tasks[[#This Row],[_Row]]+Tasks[[#This Row],[_Descendants]])),Tasks[[#This Row],[_ShownFcstStart]]))</f>
        <v/>
      </c>
      <c r="AF146" s="63"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6" s="7"/>
      <c r="AK146" s="22"/>
      <c r="AL146" s="23"/>
      <c r="AM146" s="7"/>
      <c r="AN146" s="47"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3" t="str">
        <f aca="false">IF(Tasks[[#This Row],[Task Name]]="","",IF(N(Tasks[[#This Row],[Baseline Start]])&gt;0,Tasks[[#This Row],[Baseline Start]],Tasks[[#This Row],[_CalcStart]]))</f>
        <v/>
      </c>
      <c r="AR146" s="63" t="str">
        <f aca="false">IF(Tasks[[#This Row],[Task Name]]="","",IF(N(Tasks[[#This Row],[Baseline Finish]])&gt;0,Tasks[[#This Row],[Baseline Finish]],Tasks[[#This Row],[_CalcFinish]]))</f>
        <v/>
      </c>
      <c r="AS146" s="47" t="str">
        <f aca="false">IF(Tasks[[#This Row],[Task Name]]="","",IF(Tasks[[#This Row],[Start]]&gt;=Tasks[[#This Row],[Planned Start]],NETWORKDAYS.INTL(Tasks[[#This Row],[Planned Start]],Tasks[[#This Row],[Start]],WorkWeek,Holidays)-1,1-NETWORKDAYS.INTL(Tasks[[#This Row],[Start]],Tasks[[#This Row],[Planned Start]],WorkWeek,Holidays)))</f>
        <v/>
      </c>
      <c r="AT146" s="63" t="str">
        <f aca="false">IF(Tasks[[#This Row],[Task Name]]="","",IF(Tasks[[#This Row],[_IsSummary]],MIN(INDEX(Tasks[_LeafLateStart],Tasks[[#This Row],[_Row]]+1):INDEX(Tasks[_LeafLateStart],Tasks[[#This Row],[_Row]]+Tasks[[#This Row],[_Descendants]])),Tasks[[#This Row],[_LeafLateStart]]))</f>
        <v/>
      </c>
      <c r="AU146" s="63" t="str">
        <f aca="false">IF(Tasks[[#This Row],[Task Name]]="","",IF(Tasks[[#This Row],[_IsSummary]],MAX(INDEX(Tasks[_LeafLateFinish],Tasks[[#This Row],[_Row]]+1):INDEX(Tasks[_LeafLateFinish],Tasks[[#This Row],[_Row]]+Tasks[[#This Row],[_Descendants]])),Tasks[[#This Row],[_LeafLateFinish]]))</f>
        <v/>
      </c>
      <c r="AV146" s="47"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5"/>
      <c r="BA1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6"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7"/>
      <c r="BJ146" s="22"/>
      <c r="BK146" s="47" t="str">
        <f aca="false">IF(OR(Tasks[[#This Row],[Task Name]]="",Tasks[[#This Row],[Baseline Duration]]=""),"",Tasks[[#This Row],[_SpanDays]]-N(Tasks[[#This Row],[Baseline Duration]]))</f>
        <v/>
      </c>
      <c r="BL146" s="86" t="str">
        <f aca="false">IF(OR(Tasks[[#This Row],[Task Name]]="",Tasks[[#This Row],[Baseline Work]]=""),"",Tasks[[#This Row],[Work]]-N(Tasks[[#This Row],[Baseline Work]]))</f>
        <v/>
      </c>
      <c r="BM146" s="63" t="str">
        <f aca="false">IF(Tasks[[#This Row],[Task Name]]="","",IF(OR(TakeBaseline="Yes",N(Tasks[[#This Row],[Baseline Start]])=0),Tasks[[#This Row],[Start]],Tasks[[#This Row],[Baseline Start]]))</f>
        <v/>
      </c>
      <c r="BN146" s="63" t="str">
        <f aca="false">IF(Tasks[[#This Row],[Task Name]]="","",IF(OR(TakeBaseline="Yes",N(Tasks[[#This Row],[Baseline Finish]])=0),Tasks[[#This Row],[Finish]],Tasks[[#This Row],[Baseline Finish]]))</f>
        <v/>
      </c>
      <c r="BO146" s="21" t="str">
        <f aca="false">IF(Tasks[[#This Row],[Task Name]]="","",IF(OR(TakeBaseline="Yes",N(Tasks[[#This Row],[Baseline Duration]])=0),Tasks[[#This Row],[_SpanDays]],Tasks[[#This Row],[Baseline Duration]]))</f>
        <v/>
      </c>
      <c r="BP146" s="86" t="str">
        <f aca="false">IF(Tasks[[#This Row],[Task Name]]="","",IF(OR(TakeBaseline="Yes",N(Tasks[[#This Row],[Baseline Work]])=0),Tasks[[#This Row],[Work]],Tasks[[#This Row],[Baseline Work]]))</f>
        <v/>
      </c>
      <c r="BQ146" s="7"/>
      <c r="BR146" s="7"/>
      <c r="BS146" s="22"/>
      <c r="BT146" s="88"/>
      <c r="BU146" s="23"/>
      <c r="BV146" s="23"/>
      <c r="BW146" s="23"/>
      <c r="BX146" s="89" t="str">
        <f aca="false">IF(AND(Tasks[[#This Row],[_IsLeaf]]=1,ISNUMBER(Tasks[[#This Row],[Optimistic]]),ISNUMBER(Tasks[[#This Row],[Pessimistic]])),ROUND((Tasks[[#This Row],[Optimistic]]+4*N(Tasks[[#This Row],[_Days]])+Tasks[[#This Row],[Pessimistic]])/6,1),"")</f>
        <v/>
      </c>
      <c r="BY146" s="87"/>
      <c r="BZ146" s="87"/>
      <c r="CA146" s="22"/>
      <c r="CB146" s="43" t="str">
        <f aca="false">IF(Tasks[[#This Row],[Task Name]]="","",MAX(1,N(Tasks[[#This Row],[Level]])))</f>
        <v/>
      </c>
      <c r="CC146" s="43" t="n">
        <f aca="false">ROW()-ROW(Tasks[[#Headers],[ID]])</f>
        <v>141</v>
      </c>
      <c r="CD146" s="43" t="n">
        <f aca="false">IF(OR(Tasks[[#This Row],[Task Name]]="",Tasks[[#This Row],[_Level]]&lt;=1),0,IFERROR(LOOKUP(2,1/(Tasks[[#Headers],[_Level]]:Tasks[[#This Row],[_Level]]=Tasks[[#This Row],[_Level]]-1),ROW(Tasks[[#Headers],[_Level]]:Tasks[[#This Row],[_Level]])),0))</f>
        <v>0</v>
      </c>
      <c r="CE146" s="43" t="n">
        <f aca="false">IFERROR(N(INDEX(Tasks[_Level],Tasks[[#This Row],[_Row]]+1)),0)</f>
        <v>0</v>
      </c>
      <c r="CF146" s="90" t="b">
        <f aca="false">AND(Tasks[[#This Row],[Task Name]]&lt;&gt;"",Tasks[[#This Row],[_NextLevel]]&gt;Tasks[[#This Row],[_Level]])</f>
        <v>0</v>
      </c>
      <c r="CG146" s="43" t="n">
        <f aca="false">IF(Tasks[[#This Row],[_IsSummary]],COUNTIF(Tasks[WBS],Tasks[[#This Row],[WBS]]&amp;".*"),0)</f>
        <v>0</v>
      </c>
      <c r="CH146" s="43" t="n">
        <f aca="false">IF(AND(Tasks[[#This Row],[Task Name]]&lt;&gt;"",NOT(Tasks[[#This Row],[_IsSummary]])),1,0)</f>
        <v>0</v>
      </c>
      <c r="CI146" s="43" t="n">
        <f aca="false">IF(N(Tasks[[#This Row],[_Pred1UID]])=0,0,IFERROR(MATCH(Tasks[[#This Row],[_Pred1UID]],Tasks[UID],0),-1))</f>
        <v>0</v>
      </c>
      <c r="CJ146" s="43" t="n">
        <f aca="false">IF(N(Tasks[[#This Row],[_Pred2UID]])=0,0,IFERROR(MATCH(Tasks[[#This Row],[_Pred2UID]],Tasks[UID],0),-1))</f>
        <v>0</v>
      </c>
      <c r="CK146" s="43" t="n">
        <f aca="false">IF(N(Tasks[[#This Row],[_Pred3UID]])=0,0,IFERROR(MATCH(Tasks[[#This Row],[_Pred3UID]],Tasks[UID],0),-1))</f>
        <v>0</v>
      </c>
      <c r="CL146" s="43" t="n">
        <f aca="false">IF(N(Tasks[[#This Row],[_Pred4UID]])=0,0,IFERROR(MATCH(Tasks[[#This Row],[_Pred4UID]],Tasks[UID],0),-1))</f>
        <v>0</v>
      </c>
      <c r="CM1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6" s="91" t="n">
        <f aca="false">IF(OR(Tasks[[#This Row],[_ConstraintCode]]=2,Tasks[[#This Row],[_ConstraintCode]]=3,Tasks[[#This Row],[_ConstraintCode]]=4,Tasks[[#This Row],[_ConstraintCode]]=6),Tasks[[#This Row],[_ConstraintStart]],0)</f>
        <v>0</v>
      </c>
      <c r="CP146" s="91" t="n">
        <f aca="false">IF(OR(Tasks[[#This Row],[_ConstraintCode]]=2,Tasks[[#This Row],[_ConstraintCode]]=3,Tasks[[#This Row],[_ConstraintCode]]=5,Tasks[[#This Row],[_ConstraintCode]]=7),Tasks[[#This Row],[_ConstraintStart]],2958465)</f>
        <v>2958465</v>
      </c>
      <c r="CQ1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91" t="str">
        <f aca="false">IF(NOT(Tasks[[#This Row],[_IsLeaf]]=1),"",IF(N(Tasks[[#This Row],[_Days]])&lt;=0,Tasks[[#This Row],[_LeafCalcStart]],WORKDAY.INTL(Tasks[[#This Row],[_LeafCalcStart]],Tasks[[#This Row],[_Days]]-1,WorkWeek,Holidays)))</f>
        <v/>
      </c>
      <c r="CS1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3" t="str">
        <f aca="false">IF(Tasks[[#This Row],[_Predecessors]]="","",TRIM(MID(SUBSTITUTE(SUBSTITUTE(SUBSTITUTE(UPPER(Tasks[[#This Row],[_Predecessors]]),";",",")," ",""),",",REPT(" ",99)),1,99)))</f>
        <v/>
      </c>
      <c r="CV146" s="43" t="str">
        <f aca="false">IF(Tasks[[#This Row],[_Pred1Text]]="","",IFERROR(VALUE(LEFT(Tasks[[#This Row],[_Pred1Text]],MIN(FIND("F",Tasks[[#This Row],[_Pred1Text]]&amp;"F"),FIND("S",Tasks[[#This Row],[_Pred1Text]]&amp;"S"),FIND("+",Tasks[[#This Row],[_Pred1Text]]&amp;"+"),FIND("-",Tasks[[#This Row],[_Pred1Text]]&amp;"-"))-1)),""))</f>
        <v/>
      </c>
      <c r="CW1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3" t="str">
        <f aca="false">IF(Tasks[[#This Row],[_Pred1Text]]="","",TRIM(MID(SUBSTITUTE(SUBSTITUTE(SUBSTITUTE(UPPER(Tasks[[#This Row],[_Predecessors]]),";",",")," ",""),",",REPT(" ",99)),100,99)))</f>
        <v/>
      </c>
      <c r="CZ146" s="43" t="str">
        <f aca="false">IF(Tasks[[#This Row],[_Pred2Text]]="","",IFERROR(VALUE(LEFT(Tasks[[#This Row],[_Pred2Text]],MIN(FIND("F",Tasks[[#This Row],[_Pred2Text]]&amp;"F"),FIND("S",Tasks[[#This Row],[_Pred2Text]]&amp;"S"),FIND("+",Tasks[[#This Row],[_Pred2Text]]&amp;"+"),FIND("-",Tasks[[#This Row],[_Pred2Text]]&amp;"-"))-1)),""))</f>
        <v/>
      </c>
      <c r="DA1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3" t="str">
        <f aca="false">IF(Tasks[[#This Row],[_Pred2Text]]="","",TRIM(MID(SUBSTITUTE(SUBSTITUTE(SUBSTITUTE(UPPER(Tasks[[#This Row],[_Predecessors]]),";",",")," ",""),",",REPT(" ",99)),199,99)))</f>
        <v/>
      </c>
      <c r="DD146" s="43" t="str">
        <f aca="false">IF(Tasks[[#This Row],[_Pred3Text]]="","",IFERROR(VALUE(LEFT(Tasks[[#This Row],[_Pred3Text]],MIN(FIND("F",Tasks[[#This Row],[_Pred3Text]]&amp;"F"),FIND("S",Tasks[[#This Row],[_Pred3Text]]&amp;"S"),FIND("+",Tasks[[#This Row],[_Pred3Text]]&amp;"+"),FIND("-",Tasks[[#This Row],[_Pred3Text]]&amp;"-"))-1)),""))</f>
        <v/>
      </c>
      <c r="DE1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3" t="str">
        <f aca="false">IF(Tasks[[#This Row],[_Pred3Text]]="","",TRIM(MID(SUBSTITUTE(SUBSTITUTE(SUBSTITUTE(UPPER(Tasks[[#This Row],[_Predecessors]]),";",",")," ",""),",",REPT(" ",99)),298,99)))</f>
        <v/>
      </c>
      <c r="DH146" s="43" t="str">
        <f aca="false">IF(Tasks[[#This Row],[_Pred4Text]]="","",IFERROR(VALUE(LEFT(Tasks[[#This Row],[_Pred4Text]],MIN(FIND("F",Tasks[[#This Row],[_Pred4Text]]&amp;"F"),FIND("S",Tasks[[#This Row],[_Pred4Text]]&amp;"S"),FIND("+",Tasks[[#This Row],[_Pred4Text]]&amp;"+"),FIND("-",Tasks[[#This Row],[_Pred4Text]]&amp;"-"))-1)),""))</f>
        <v/>
      </c>
      <c r="DI1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3" t="str">
        <f aca="false">IF(OR(Tasks[[#This Row],[Task Name]]="",Tasks[[#This Row],[_Resources]]=""),"",TRIM(MID(SUBSTITUTE(Tasks[[#This Row],[_Resources]],",",REPT(" ",99)),1,99)))</f>
        <v/>
      </c>
      <c r="DL146" s="43" t="str">
        <f aca="false">IF(Tasks[[#This Row],[_Res1Text]]="","",TRIM(MID(SUBSTITUTE(Tasks[[#This Row],[_Resources]],",",REPT(" ",99)),100,99)))</f>
        <v/>
      </c>
      <c r="DM146" s="43" t="str">
        <f aca="false">IF(Tasks[[#This Row],[_Res2Text]]="","",TRIM(MID(SUBSTITUTE(Tasks[[#This Row],[_Resources]],",",REPT(" ",99)),199,99)))</f>
        <v/>
      </c>
      <c r="DN146" s="43" t="str">
        <f aca="false">IF(Tasks[[#This Row],[_Res3Text]]="","",TRIM(MID(SUBSTITUTE(Tasks[[#This Row],[_Resources]],",",REPT(" ",99)),298,99)))</f>
        <v/>
      </c>
      <c r="DO146" s="43" t="n">
        <f aca="false">IF(Tasks[[#This Row],[_Res1Text]]="",0,IFERROR(MATCH(TRIM(LEFT(Tasks[[#This Row],[_Res1Text]],FIND("[",Tasks[[#This Row],[_Res1Text]]&amp;"[")-1)),res_Name,0),IFERROR(MATCH(TRIM(LEFT(Tasks[[#This Row],[_Res1Text]],FIND("[",Tasks[[#This Row],[_Res1Text]]&amp;"[")-1)),res_Initials,0),0)))</f>
        <v>0</v>
      </c>
      <c r="DP146" s="43" t="n">
        <f aca="false">IF(Tasks[[#This Row],[_Res2Text]]="",0,IFERROR(MATCH(TRIM(LEFT(Tasks[[#This Row],[_Res2Text]],FIND("[",Tasks[[#This Row],[_Res2Text]]&amp;"[")-1)),res_Name,0),IFERROR(MATCH(TRIM(LEFT(Tasks[[#This Row],[_Res2Text]],FIND("[",Tasks[[#This Row],[_Res2Text]]&amp;"[")-1)),res_Initials,0),0)))</f>
        <v>0</v>
      </c>
      <c r="DQ146" s="43" t="n">
        <f aca="false">IF(Tasks[[#This Row],[_Res3Text]]="",0,IFERROR(MATCH(TRIM(LEFT(Tasks[[#This Row],[_Res3Text]],FIND("[",Tasks[[#This Row],[_Res3Text]]&amp;"[")-1)),res_Name,0),IFERROR(MATCH(TRIM(LEFT(Tasks[[#This Row],[_Res3Text]],FIND("[",Tasks[[#This Row],[_Res3Text]]&amp;"[")-1)),res_Initials,0),0)))</f>
        <v>0</v>
      </c>
      <c r="DR146" s="43" t="n">
        <f aca="false">IF(Tasks[[#This Row],[_Res4Text]]="",0,IFERROR(MATCH(TRIM(LEFT(Tasks[[#This Row],[_Res4Text]],FIND("[",Tasks[[#This Row],[_Res4Text]]&amp;"[")-1)),res_Name,0),IFERROR(MATCH(TRIM(LEFT(Tasks[[#This Row],[_Res4Text]],FIND("[",Tasks[[#This Row],[_Res4Text]]&amp;"[")-1)),res_Initials,0),0)))</f>
        <v>0</v>
      </c>
      <c r="DS146" s="43" t="str">
        <f aca="false">IF(Tasks[[#This Row],[_Res1Text]]="","",IF(Tasks[[#This Row],[_Res1Row]]&gt;0,INDEX(res_Name,Tasks[[#This Row],[_Res1Row]]),TRIM(LEFT(Tasks[[#This Row],[_Res1Text]],FIND("[",Tasks[[#This Row],[_Res1Text]]&amp;"[")-1))))</f>
        <v/>
      </c>
      <c r="DT1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3" t="n">
        <f aca="false">IF(NOT(Tasks[[#This Row],[_IsLeaf]]=1),0,(Tasks[[#This Row],[_Resource1]]&lt;&gt;"")+(Tasks[[#This Row],[_Res2]]&lt;&gt;"")+(Tasks[[#This Row],[_Res3]]&lt;&gt;"")+(Tasks[[#This Row],[_Res4]]&lt;&gt;""))</f>
        <v>0</v>
      </c>
      <c r="DV146" s="43" t="str">
        <f aca="false">IF(Tasks[[#This Row],[_Res2Text]]="","",IF(Tasks[[#This Row],[_Res2Row]]&gt;0,INDEX(res_Name,Tasks[[#This Row],[_Res2Row]]),TRIM(LEFT(Tasks[[#This Row],[_Res2Text]],FIND("[",Tasks[[#This Row],[_Res2Text]]&amp;"[")-1))))</f>
        <v/>
      </c>
      <c r="DW1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3" t="n">
        <f aca="false">IF(OR(NOT(Tasks[[#This Row],[_IsLeaf]]=1),Tasks[[#This Row],[_Res2Row]]=0),0,N(Tasks[[#This Row],[_Days]])*HoursPerDay*IF(Tasks[[#This Row],[_Res2Units]]="",DefaultUnits,Tasks[[#This Row],[_Res2Units]]))</f>
        <v>0</v>
      </c>
      <c r="DY146" s="43" t="n">
        <f aca="false">IF(AND(AND(Tasks[[#This Row],[_IsLeaf]]=1,Tasks[[#This Row],[_LeafTotalWork]]&gt;0),Tasks[[#This Row],[_Res2Work]]&gt;0),Tasks[[#This Row],[_Res2Work]]/(Tasks[[#This Row],[_FinishWorkday]]-Tasks[[#This Row],[_StartWorkday]]+1),0)</f>
        <v>0</v>
      </c>
      <c r="DZ146" s="43" t="n">
        <f aca="false">Tasks[[#This Row],[_Res2WorkPerWD]]*MAX(0,Tasks[[#This Row],[_StartWorkday]]-1)</f>
        <v>0</v>
      </c>
      <c r="EA146" s="43" t="n">
        <f aca="false">Tasks[[#This Row],[_Res2Work]]*Tasks[[#This Row],[_LeafProgress]]</f>
        <v>0</v>
      </c>
      <c r="EB146" s="43" t="str">
        <f aca="false">IF(Tasks[[#This Row],[_Res3Text]]="","",IF(Tasks[[#This Row],[_Res3Row]]&gt;0,INDEX(res_Name,Tasks[[#This Row],[_Res3Row]]),TRIM(LEFT(Tasks[[#This Row],[_Res3Text]],FIND("[",Tasks[[#This Row],[_Res3Text]]&amp;"[")-1))))</f>
        <v/>
      </c>
      <c r="EC1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3" t="n">
        <f aca="false">IF(OR(NOT(Tasks[[#This Row],[_IsLeaf]]=1),Tasks[[#This Row],[_Res3Row]]=0),0,N(Tasks[[#This Row],[_Days]])*HoursPerDay*IF(Tasks[[#This Row],[_Res3Units]]="",DefaultUnits,Tasks[[#This Row],[_Res3Units]]))</f>
        <v>0</v>
      </c>
      <c r="EE146" s="43" t="n">
        <f aca="false">IF(AND(AND(Tasks[[#This Row],[_IsLeaf]]=1,Tasks[[#This Row],[_LeafTotalWork]]&gt;0),Tasks[[#This Row],[_Res3Work]]&gt;0),Tasks[[#This Row],[_Res3Work]]/(Tasks[[#This Row],[_FinishWorkday]]-Tasks[[#This Row],[_StartWorkday]]+1),0)</f>
        <v>0</v>
      </c>
      <c r="EF146" s="43" t="n">
        <f aca="false">Tasks[[#This Row],[_Res3WorkPerWD]]*MAX(0,Tasks[[#This Row],[_StartWorkday]]-1)</f>
        <v>0</v>
      </c>
      <c r="EG146" s="43" t="n">
        <f aca="false">Tasks[[#This Row],[_Res3Work]]*Tasks[[#This Row],[_LeafProgress]]</f>
        <v>0</v>
      </c>
      <c r="EH146" s="43" t="str">
        <f aca="false">IF(Tasks[[#This Row],[_Res4Text]]="","",IF(Tasks[[#This Row],[_Res4Row]]&gt;0,INDEX(res_Name,Tasks[[#This Row],[_Res4Row]]),TRIM(LEFT(Tasks[[#This Row],[_Res4Text]],FIND("[",Tasks[[#This Row],[_Res4Text]]&amp;"[")-1))))</f>
        <v/>
      </c>
      <c r="EI1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3" t="n">
        <f aca="false">IF(OR(NOT(Tasks[[#This Row],[_IsLeaf]]=1),Tasks[[#This Row],[_Res4Row]]=0),0,N(Tasks[[#This Row],[_Days]])*HoursPerDay*IF(Tasks[[#This Row],[_Res4Units]]="",DefaultUnits,Tasks[[#This Row],[_Res4Units]]))</f>
        <v>0</v>
      </c>
      <c r="EK146" s="43" t="n">
        <f aca="false">IF(AND(AND(Tasks[[#This Row],[_IsLeaf]]=1,Tasks[[#This Row],[_LeafTotalWork]]&gt;0),Tasks[[#This Row],[_Res4Work]]&gt;0),Tasks[[#This Row],[_Res4Work]]/(Tasks[[#This Row],[_FinishWorkday]]-Tasks[[#This Row],[_StartWorkday]]+1),0)</f>
        <v>0</v>
      </c>
      <c r="EL146" s="43" t="n">
        <f aca="false">Tasks[[#This Row],[_Res4WorkPerWD]]*MAX(0,Tasks[[#This Row],[_StartWorkday]]-1)</f>
        <v>0</v>
      </c>
      <c r="EM146" s="43" t="n">
        <f aca="false">Tasks[[#This Row],[_Res4Work]]*Tasks[[#This Row],[_LeafProgress]]</f>
        <v>0</v>
      </c>
      <c r="EN146" s="43" t="n">
        <f aca="false">IF(ISNUMBER(Tasks[[#This Row],[% Complete]]),Tasks[[#This Row],[% Complete]],IF(Tasks[[#This Row],[Stage]]="",0,IFERROR(INDEX(stg_Pct,MATCH(Tasks[[#This Row],[Stage]],stg_Name,0)),0)))</f>
        <v>0</v>
      </c>
      <c r="EO146" s="43" t="n">
        <f aca="false">IF(NOT(Tasks[[#This Row],[_IsLeaf]]=1),0,IF(N(Tasks[[#This Row],[Actual Finish]])&gt;0,1,MIN(1,Tasks[[#This Row],[_Pct]])))</f>
        <v>0</v>
      </c>
      <c r="EP146" s="43" t="n">
        <f aca="false">IF(OR(NOT(Tasks[[#This Row],[_IsLeaf]]=1),Tasks[[#This Row],[_Res1Row]]=0),0,N(Tasks[[#This Row],[_Days]])*HoursPerDay*IF(Tasks[[#This Row],[_Units1]]="",DefaultUnits,Tasks[[#This Row],[_Units1]]))</f>
        <v>0</v>
      </c>
      <c r="EQ146" s="43" t="n">
        <f aca="false">Tasks[[#This Row],[_LeafWork]]+Tasks[[#This Row],[_Res2Work]]+Tasks[[#This Row],[_Res3Work]]+Tasks[[#This Row],[_Res4Work]]</f>
        <v>0</v>
      </c>
      <c r="ER1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3" t="n">
        <f aca="false">IF(NOT(Tasks[[#This Row],[_IsLeaf]]=1),0,MAX(_xlfn.MAXIFS(Tasks[_Row],Tasks[_Pred1UID],Tasks[[#This Row],[UID]]),_xlfn.MAXIFS(Tasks[_Row],Tasks[_Pred2UID],Tasks[[#This Row],[UID]]),_xlfn.MAXIFS(Tasks[_Row],Tasks[_Pred3UID],Tasks[[#This Row],[UID]]),_xlfn.MAXIFS(Tasks[_Row],Tasks[_Pred4UID],Tasks[[#This Row],[UID]])))</f>
        <v>0</v>
      </c>
      <c r="FA1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91" t="str">
        <f aca="false">IF(NOT(Tasks[[#This Row],[_IsLeaf]]=1),"",IF(N(Tasks[[#This Row],[_Days]])&lt;=0,Tasks[[#This Row],[_LeafLateFinish]],WORKDAY.INTL(Tasks[[#This Row],[_LeafLateFinish]],-(Tasks[[#This Row],[_Days]]-1),WorkWeek,Holidays)))</f>
        <v/>
      </c>
      <c r="FD1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6" s="90" t="b">
        <f aca="false">AND(Tasks[[#This Row],[_IsLeaf]]=1,Tasks[[#This Row],[_LeafProgress]]&lt;1,N(Tasks[[#This Row],[_LeafTotalSlack]])&lt;=CriticalSlackDays)</f>
        <v>0</v>
      </c>
      <c r="FF146" s="43" t="n">
        <f aca="false">IF(AND(Tasks[[#This Row],[_IsLeaf]]=1,Tasks[[#This Row],[_ConstraintCode]]=1,Tasks[[#This Row],[Mode]]&lt;&gt;"Manual",N(Tasks[[#This Row],[Actual Start]])=0),MAX(0,N(Tasks[[#This Row],[Free Slack]])),0)</f>
        <v>0</v>
      </c>
      <c r="FG146" s="91" t="str">
        <f aca="false">IF(NOT(Tasks[[#This Row],[_IsLeaf]]=1),"",IF(Tasks[[#This Row],[_AlapShift]]=0,Tasks[[#This Row],[_LeafCalcStart]],WORKDAY.INTL(Tasks[[#This Row],[_LeafCalcStart]],Tasks[[#This Row],[_AlapShift]],WorkWeek,Holidays)))</f>
        <v/>
      </c>
      <c r="FH146" s="91" t="str">
        <f aca="false">IF(NOT(Tasks[[#This Row],[_IsLeaf]]=1),"",IF(Tasks[[#This Row],[_AlapShift]]=0,Tasks[[#This Row],[_LeafCalcFinish]],WORKDAY.INTL(Tasks[[#This Row],[_LeafCalcFinish]],Tasks[[#This Row],[_AlapShift]],WorkWeek,Holidays)))</f>
        <v/>
      </c>
      <c r="FI146" s="91" t="str">
        <f aca="false">IF(NOT(Tasks[[#This Row],[_IsLeaf]]=1),"",IF(Tasks[[#This Row],[_AlapShift]]=0,Tasks[[#This Row],[_LeafFcstStart]],WORKDAY.INTL(Tasks[[#This Row],[_LeafFcstStart]],Tasks[[#This Row],[_AlapShift]],WorkWeek,Holidays)))</f>
        <v/>
      </c>
      <c r="FJ146" s="91" t="str">
        <f aca="false">IF(NOT(Tasks[[#This Row],[_IsLeaf]]=1),"",IF(Tasks[[#This Row],[_AlapShift]]=0,Tasks[[#This Row],[_LeafFcstFinish]],WORKDAY.INTL(Tasks[[#This Row],[_LeafFcstFinish]],Tasks[[#This Row],[_AlapShift]],WorkWeek,Holidays)))</f>
        <v/>
      </c>
      <c r="FK146" s="91" t="str">
        <f aca="false">IF(Tasks[[#This Row],[Task Name]]="","",IF(Tasks[[#This Row],[_IsSummary]],MIN(INDEX(Tasks[_ShownCalcStart],Tasks[[#This Row],[_Row]]+1):INDEX(Tasks[_ShownCalcStart],Tasks[[#This Row],[_Row]]+Tasks[[#This Row],[_Descendants]])),Tasks[[#This Row],[_ShownCalcStart]]))</f>
        <v/>
      </c>
      <c r="FL146" s="91" t="str">
        <f aca="false">IF(Tasks[[#This Row],[Task Name]]="","",IF(Tasks[[#This Row],[_IsSummary]],MAX(INDEX(Tasks[_ShownCalcFinish],Tasks[[#This Row],[_Row]]+1):INDEX(Tasks[_ShownCalcFinish],Tasks[[#This Row],[_Row]]+Tasks[[#This Row],[_Descendants]])),Tasks[[#This Row],[_ShownCalcFinish]]))</f>
        <v/>
      </c>
      <c r="FM1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6" s="43" t="n">
        <f aca="false">IF(AND(Tasks[[#This Row],[_IsLeaf]]=1,Tasks[[#This Row],[_LeafTotalWork]]&gt;0),NETWORKDAYS.INTL(ProjectStart,Tasks[[#This Row],[_ShownFcstStart]],WorkWeek,Holidays),0)</f>
        <v>0</v>
      </c>
      <c r="FZ146" s="43" t="n">
        <f aca="false">IF(AND(Tasks[[#This Row],[_IsLeaf]]=1,Tasks[[#This Row],[_LeafTotalWork]]&gt;0),MAX(Tasks[[#This Row],[_StartWorkday]],NETWORKDAYS.INTL(ProjectStart,Tasks[[#This Row],[_ShownFcstFinish]],WorkWeek,Holidays)),0)</f>
        <v>0</v>
      </c>
      <c r="GA146" s="43" t="n">
        <f aca="false">IF(AND(Tasks[[#This Row],[_IsLeaf]]=1,Tasks[[#This Row],[_LeafTotalWork]]&gt;0),Tasks[[#This Row],[_LeafWork]]/(Tasks[[#This Row],[_FinishWorkday]]-Tasks[[#This Row],[_StartWorkday]]+1),0)</f>
        <v>0</v>
      </c>
      <c r="GB146" s="43" t="n">
        <f aca="false">Tasks[[#This Row],[_WorkPerWorkday]]*(Tasks[[#This Row],[_StartWorkday]]-1)</f>
        <v>-0</v>
      </c>
      <c r="GC146" s="43" t="n">
        <f aca="false">IF(Tasks[[#This Row],[_IsLeaf]]=1,MAX(N(Tasks[[#This Row],[_Days]]),0.1),0)</f>
        <v>0</v>
      </c>
      <c r="GD146" s="43" t="n">
        <f aca="false">Tasks[[#This Row],[_WeightDur]]*Tasks[[#This Row],[_LeafProgress]]</f>
        <v>0</v>
      </c>
      <c r="GE146" s="43" t="n">
        <f aca="false">Tasks[[#This Row],[_WeightDur]]*Tasks[[#This Row],[_PlannedPct]]</f>
        <v>0</v>
      </c>
      <c r="GF1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3" t="str">
        <f aca="false">IF(AND(Tasks[[#This Row],[_IsLeaf]]=1,N(Tasks[[#This Row],[_Days]])=0,Tasks[[#This Row],[_LeafProgress]]&lt;1),Tasks[[#This Row],[_ShownFcstFinish]]+Tasks[[#This Row],[_Row]]/100000,"")</f>
        <v/>
      </c>
      <c r="GH1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6" s="43" t="str">
        <f aca="false">IF(Tasks[[#This Row],[Task Name]]="","",LEFT(Tasks[[#This Row],[WBS]],FIND(".",Tasks[[#This Row],[WBS]]&amp;".")-1))</f>
        <v/>
      </c>
      <c r="GJ146" s="43" t="str">
        <f aca="false">IF(AND(Tasks[[#This Row],[Task Name]]&lt;&gt;"",Tasks[[#This Row],[_Level]]=1),Tasks[[#This Row],[_Row]],"")</f>
        <v/>
      </c>
      <c r="GK146" s="43" t="str">
        <f aca="false">IF(AND(Tasks[[#This Row],[_IsLeaf]]=1,N(Tasks[[#This Row],[_Days]])=0),Tasks[[#This Row],[Planned Finish]]+Tasks[[#This Row],[_Row]]/100000,"")</f>
        <v/>
      </c>
      <c r="GL146" s="43" t="str">
        <f aca="false">IF(AND(Tasks[[#This Row],[_IsLeaf]]=1,Tasks[[#This Row],[_LeafProgress]]&lt;1,OR(N(Tasks[[#This Row],[Finish Var]])&gt;0,Tasks[[#This Row],[Status]]="Late Start")),MAX(0,Tasks[[#This Row],[Finish Var]])+1-Tasks[[#This Row],[_Row]]/1000000,"")</f>
        <v/>
      </c>
      <c r="GM146" s="43" t="str">
        <f aca="false">IF(AND(Tasks[[#This Row],[_IsLeaf]]=1,N(Tasks[[#This Row],[Actual Start]])=0,Tasks[[#This Row],[_ShownFcstStart]]&gt;=StatusDate,Tasks[[#This Row],[_ShownFcstStart]]&lt;=LookaheadEnd),Tasks[[#This Row],[_ShownFcstStart]]+Tasks[[#This Row],[_Row]]/100000,"")</f>
        <v/>
      </c>
      <c r="GN146" s="43" t="str">
        <f aca="false">IF(AND(Tasks[[#This Row],[_IsLeaf]]=1,Tasks[[#This Row],[_LeafProgress]]&lt;1,Tasks[[#This Row],[_ShownFcstFinish]]&gt;=StatusDate,Tasks[[#This Row],[_ShownFcstFinish]]&lt;=LookaheadEnd),Tasks[[#This Row],[_ShownFcstFinish]]+Tasks[[#This Row],[_Row]]/100000,"")</f>
        <v/>
      </c>
      <c r="GO146" s="43" t="str">
        <f aca="false">IF(Tasks[[#This Row],[_LeafCritical]],Tasks[[#This Row],[_ShownFcstStart]]+Tasks[[#This Row],[_Row]]/100000,"")</f>
        <v/>
      </c>
      <c r="GP146" s="43" t="n">
        <f aca="false">Tasks[[#This Row],[_LeafWork]]*Tasks[[#This Row],[_LeafProgress]]</f>
        <v>0</v>
      </c>
      <c r="GQ146" s="91" t="str">
        <f aca="false">IF(AND(Tasks[[#This Row],[_IsLeaf]]=1,Tasks[[#This Row],[_LeafProgress]]&gt;=1),IF(N(Tasks[[#This Row],[Actual Finish]])&gt;0,Tasks[[#This Row],[Actual Finish]],Tasks[[#This Row],[_ShownFcstFinish]]),"")</f>
        <v/>
      </c>
      <c r="GR146" s="43" t="n">
        <f aca="false">IF(Tasks[[#This Row],[_IsLeaf]]=1,N(Tasks[[#This Row],[Story Points]]),0)</f>
        <v>0</v>
      </c>
      <c r="GS146" s="43" t="str">
        <f aca="false">""</f>
        <v/>
      </c>
      <c r="GT146" s="90" t="b">
        <f aca="false">IF(Tasks[[#This Row],[Task Name]]="",FALSE(),AND(Tasks[[#This Row],[_IsLeaf]]=1,N(Tasks[[#This Row],[_Days]])=0))</f>
        <v>0</v>
      </c>
      <c r="GU146" s="91" t="n">
        <f aca="false">IF(Tasks[[#This Row],[Task Name]]="",0,IF(AND(Tasks[[#This Row],[_IsLeaf]]=1,NOT(Tasks[[#This Row],[_IsMilestone]]),N(Tasks[[#This Row],[Progress]])&gt;0),Tasks[[#This Row],[Start]],0))</f>
        <v>0</v>
      </c>
      <c r="GV146" s="91" t="n">
        <f aca="false">IF(Tasks[[#This Row],[_DoneFrom]]=0,0,IF(Tasks[[#This Row],[Progress]]&gt;=1,Tasks[[#This Row],[Finish]],MAX(Tasks[[#This Row],[_DoneFrom]],Tasks[[#This Row],[Start]]+ROUND((Tasks[[#This Row],[Finish]]-Tasks[[#This Row],[Start]]+1)*Tasks[[#This Row],[Progress]],0)-1)))</f>
        <v>0</v>
      </c>
      <c r="GW146" s="91" t="n">
        <f aca="false">IF(Tasks[[#This Row],[Task Name]]="",0,IF(OR(NOT(Tasks[[#This Row],[_IsLeaf]]=1),Tasks[[#This Row],[_IsMilestone]],N(Tasks[[#This Row],[Progress]])&gt;=1),0,IF(Tasks[[#This Row],[_DoneTo]]&gt;0,Tasks[[#This Row],[_DoneTo]]+1,Tasks[[#This Row],[Start]])))</f>
        <v>0</v>
      </c>
      <c r="GX146" s="91" t="n">
        <f aca="false">IF(Tasks[[#This Row],[_RemFrom]]=0,0,Tasks[[#This Row],[Finish]])</f>
        <v>0</v>
      </c>
      <c r="GY146" s="90" t="b">
        <f aca="false">IF(Tasks[[#This Row],[Task Name]]="",FALSE(),OR(NOT(BaselineSet),N(Tasks[[#This Row],[Baseline Start]])&gt;0))</f>
        <v>0</v>
      </c>
      <c r="GZ14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92" t="str">
        <f aca="false">IF(Tasks[[#This Row],[_IsLeaf]]=1,Tasks[[#This Row],[_Row]],"")</f>
        <v/>
      </c>
      <c r="HD146" s="92" t="str">
        <f aca="false">IFERROR(INDEX(Tasks[UID],SMALL(Tasks[_PickKey],Tasks[[#This Row],[_Row]]))&amp;" "&amp;INDEX(Tasks[Task Name],SMALL(Tasks[_PickKey],Tasks[[#This Row],[_Row]])),"")</f>
        <v/>
      </c>
      <c r="HE146" s="43" t="str">
        <f aca="false">IF(Tasks[[#This Row],[Task Name]]="","",IF(Tasks[[#This Row],[_IsSummary]],NETWORKDAYS.INTL(Tasks[[#This Row],[Start]],Tasks[[#This Row],[Finish]],WorkWeek,Holidays),N(Tasks[[#This Row],[_Days]])))</f>
        <v/>
      </c>
      <c r="HF146" s="43" t="n">
        <f aca="false">IF(Tasks[[#This Row],[Expected]]="",0,((Tasks[[#This Row],[Pessimistic]]-Tasks[[#This Row],[Optimistic]])/6)^2)</f>
        <v>0</v>
      </c>
      <c r="HG146" s="43" t="n">
        <f aca="false">IF(Tasks[[#This Row],[Expected]]="",0,Tasks[[#This Row],[Expected]]-N(Tasks[[#This Row],[_Days]]))</f>
        <v>0</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4"/>
      <c r="U147" s="23"/>
      <c r="V147" s="84"/>
      <c r="W147" s="23"/>
      <c r="X147" s="84"/>
      <c r="Y147" s="23"/>
      <c r="Z147" s="84"/>
      <c r="AA147" s="23"/>
      <c r="AB147" s="23"/>
      <c r="AC147" s="7"/>
      <c r="AD147" s="7"/>
      <c r="AE147" s="63" t="str">
        <f aca="false">IF(Tasks[[#This Row],[Task Name]]="","",IF(Tasks[[#This Row],[_IsSummary]],MIN(INDEX(Tasks[_ShownFcstStart],Tasks[[#This Row],[_Row]]+1):INDEX(Tasks[_ShownFcstStart],Tasks[[#This Row],[_Row]]+Tasks[[#This Row],[_Descendants]])),Tasks[[#This Row],[_ShownFcstStart]]))</f>
        <v/>
      </c>
      <c r="AF147" s="63"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7" s="7"/>
      <c r="AK147" s="22"/>
      <c r="AL147" s="23"/>
      <c r="AM147" s="7"/>
      <c r="AN147" s="47"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3" t="str">
        <f aca="false">IF(Tasks[[#This Row],[Task Name]]="","",IF(N(Tasks[[#This Row],[Baseline Start]])&gt;0,Tasks[[#This Row],[Baseline Start]],Tasks[[#This Row],[_CalcStart]]))</f>
        <v/>
      </c>
      <c r="AR147" s="63" t="str">
        <f aca="false">IF(Tasks[[#This Row],[Task Name]]="","",IF(N(Tasks[[#This Row],[Baseline Finish]])&gt;0,Tasks[[#This Row],[Baseline Finish]],Tasks[[#This Row],[_CalcFinish]]))</f>
        <v/>
      </c>
      <c r="AS147" s="47" t="str">
        <f aca="false">IF(Tasks[[#This Row],[Task Name]]="","",IF(Tasks[[#This Row],[Start]]&gt;=Tasks[[#This Row],[Planned Start]],NETWORKDAYS.INTL(Tasks[[#This Row],[Planned Start]],Tasks[[#This Row],[Start]],WorkWeek,Holidays)-1,1-NETWORKDAYS.INTL(Tasks[[#This Row],[Start]],Tasks[[#This Row],[Planned Start]],WorkWeek,Holidays)))</f>
        <v/>
      </c>
      <c r="AT147" s="63" t="str">
        <f aca="false">IF(Tasks[[#This Row],[Task Name]]="","",IF(Tasks[[#This Row],[_IsSummary]],MIN(INDEX(Tasks[_LeafLateStart],Tasks[[#This Row],[_Row]]+1):INDEX(Tasks[_LeafLateStart],Tasks[[#This Row],[_Row]]+Tasks[[#This Row],[_Descendants]])),Tasks[[#This Row],[_LeafLateStart]]))</f>
        <v/>
      </c>
      <c r="AU147" s="63" t="str">
        <f aca="false">IF(Tasks[[#This Row],[Task Name]]="","",IF(Tasks[[#This Row],[_IsSummary]],MAX(INDEX(Tasks[_LeafLateFinish],Tasks[[#This Row],[_Row]]+1):INDEX(Tasks[_LeafLateFinish],Tasks[[#This Row],[_Row]]+Tasks[[#This Row],[_Descendants]])),Tasks[[#This Row],[_LeafLateFinish]]))</f>
        <v/>
      </c>
      <c r="AV147" s="47"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5"/>
      <c r="BA1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6"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7"/>
      <c r="BJ147" s="22"/>
      <c r="BK147" s="47" t="str">
        <f aca="false">IF(OR(Tasks[[#This Row],[Task Name]]="",Tasks[[#This Row],[Baseline Duration]]=""),"",Tasks[[#This Row],[_SpanDays]]-N(Tasks[[#This Row],[Baseline Duration]]))</f>
        <v/>
      </c>
      <c r="BL147" s="86" t="str">
        <f aca="false">IF(OR(Tasks[[#This Row],[Task Name]]="",Tasks[[#This Row],[Baseline Work]]=""),"",Tasks[[#This Row],[Work]]-N(Tasks[[#This Row],[Baseline Work]]))</f>
        <v/>
      </c>
      <c r="BM147" s="63" t="str">
        <f aca="false">IF(Tasks[[#This Row],[Task Name]]="","",IF(OR(TakeBaseline="Yes",N(Tasks[[#This Row],[Baseline Start]])=0),Tasks[[#This Row],[Start]],Tasks[[#This Row],[Baseline Start]]))</f>
        <v/>
      </c>
      <c r="BN147" s="63" t="str">
        <f aca="false">IF(Tasks[[#This Row],[Task Name]]="","",IF(OR(TakeBaseline="Yes",N(Tasks[[#This Row],[Baseline Finish]])=0),Tasks[[#This Row],[Finish]],Tasks[[#This Row],[Baseline Finish]]))</f>
        <v/>
      </c>
      <c r="BO147" s="21" t="str">
        <f aca="false">IF(Tasks[[#This Row],[Task Name]]="","",IF(OR(TakeBaseline="Yes",N(Tasks[[#This Row],[Baseline Duration]])=0),Tasks[[#This Row],[_SpanDays]],Tasks[[#This Row],[Baseline Duration]]))</f>
        <v/>
      </c>
      <c r="BP147" s="86" t="str">
        <f aca="false">IF(Tasks[[#This Row],[Task Name]]="","",IF(OR(TakeBaseline="Yes",N(Tasks[[#This Row],[Baseline Work]])=0),Tasks[[#This Row],[Work]],Tasks[[#This Row],[Baseline Work]]))</f>
        <v/>
      </c>
      <c r="BQ147" s="7"/>
      <c r="BR147" s="7"/>
      <c r="BS147" s="22"/>
      <c r="BT147" s="88"/>
      <c r="BU147" s="23"/>
      <c r="BV147" s="23"/>
      <c r="BW147" s="23"/>
      <c r="BX147" s="89" t="str">
        <f aca="false">IF(AND(Tasks[[#This Row],[_IsLeaf]]=1,ISNUMBER(Tasks[[#This Row],[Optimistic]]),ISNUMBER(Tasks[[#This Row],[Pessimistic]])),ROUND((Tasks[[#This Row],[Optimistic]]+4*N(Tasks[[#This Row],[_Days]])+Tasks[[#This Row],[Pessimistic]])/6,1),"")</f>
        <v/>
      </c>
      <c r="BY147" s="87"/>
      <c r="BZ147" s="87"/>
      <c r="CA147" s="22"/>
      <c r="CB147" s="43" t="str">
        <f aca="false">IF(Tasks[[#This Row],[Task Name]]="","",MAX(1,N(Tasks[[#This Row],[Level]])))</f>
        <v/>
      </c>
      <c r="CC147" s="43" t="n">
        <f aca="false">ROW()-ROW(Tasks[[#Headers],[ID]])</f>
        <v>142</v>
      </c>
      <c r="CD147" s="43" t="n">
        <f aca="false">IF(OR(Tasks[[#This Row],[Task Name]]="",Tasks[[#This Row],[_Level]]&lt;=1),0,IFERROR(LOOKUP(2,1/(Tasks[[#Headers],[_Level]]:Tasks[[#This Row],[_Level]]=Tasks[[#This Row],[_Level]]-1),ROW(Tasks[[#Headers],[_Level]]:Tasks[[#This Row],[_Level]])),0))</f>
        <v>0</v>
      </c>
      <c r="CE147" s="43" t="n">
        <f aca="false">IFERROR(N(INDEX(Tasks[_Level],Tasks[[#This Row],[_Row]]+1)),0)</f>
        <v>0</v>
      </c>
      <c r="CF147" s="90" t="b">
        <f aca="false">AND(Tasks[[#This Row],[Task Name]]&lt;&gt;"",Tasks[[#This Row],[_NextLevel]]&gt;Tasks[[#This Row],[_Level]])</f>
        <v>0</v>
      </c>
      <c r="CG147" s="43" t="n">
        <f aca="false">IF(Tasks[[#This Row],[_IsSummary]],COUNTIF(Tasks[WBS],Tasks[[#This Row],[WBS]]&amp;".*"),0)</f>
        <v>0</v>
      </c>
      <c r="CH147" s="43" t="n">
        <f aca="false">IF(AND(Tasks[[#This Row],[Task Name]]&lt;&gt;"",NOT(Tasks[[#This Row],[_IsSummary]])),1,0)</f>
        <v>0</v>
      </c>
      <c r="CI147" s="43" t="n">
        <f aca="false">IF(N(Tasks[[#This Row],[_Pred1UID]])=0,0,IFERROR(MATCH(Tasks[[#This Row],[_Pred1UID]],Tasks[UID],0),-1))</f>
        <v>0</v>
      </c>
      <c r="CJ147" s="43" t="n">
        <f aca="false">IF(N(Tasks[[#This Row],[_Pred2UID]])=0,0,IFERROR(MATCH(Tasks[[#This Row],[_Pred2UID]],Tasks[UID],0),-1))</f>
        <v>0</v>
      </c>
      <c r="CK147" s="43" t="n">
        <f aca="false">IF(N(Tasks[[#This Row],[_Pred3UID]])=0,0,IFERROR(MATCH(Tasks[[#This Row],[_Pred3UID]],Tasks[UID],0),-1))</f>
        <v>0</v>
      </c>
      <c r="CL147" s="43" t="n">
        <f aca="false">IF(N(Tasks[[#This Row],[_Pred4UID]])=0,0,IFERROR(MATCH(Tasks[[#This Row],[_Pred4UID]],Tasks[UID],0),-1))</f>
        <v>0</v>
      </c>
      <c r="CM1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7" s="91" t="n">
        <f aca="false">IF(OR(Tasks[[#This Row],[_ConstraintCode]]=2,Tasks[[#This Row],[_ConstraintCode]]=3,Tasks[[#This Row],[_ConstraintCode]]=4,Tasks[[#This Row],[_ConstraintCode]]=6),Tasks[[#This Row],[_ConstraintStart]],0)</f>
        <v>0</v>
      </c>
      <c r="CP147" s="91" t="n">
        <f aca="false">IF(OR(Tasks[[#This Row],[_ConstraintCode]]=2,Tasks[[#This Row],[_ConstraintCode]]=3,Tasks[[#This Row],[_ConstraintCode]]=5,Tasks[[#This Row],[_ConstraintCode]]=7),Tasks[[#This Row],[_ConstraintStart]],2958465)</f>
        <v>2958465</v>
      </c>
      <c r="CQ1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91" t="str">
        <f aca="false">IF(NOT(Tasks[[#This Row],[_IsLeaf]]=1),"",IF(N(Tasks[[#This Row],[_Days]])&lt;=0,Tasks[[#This Row],[_LeafCalcStart]],WORKDAY.INTL(Tasks[[#This Row],[_LeafCalcStart]],Tasks[[#This Row],[_Days]]-1,WorkWeek,Holidays)))</f>
        <v/>
      </c>
      <c r="CS1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3" t="str">
        <f aca="false">IF(Tasks[[#This Row],[_Predecessors]]="","",TRIM(MID(SUBSTITUTE(SUBSTITUTE(SUBSTITUTE(UPPER(Tasks[[#This Row],[_Predecessors]]),";",",")," ",""),",",REPT(" ",99)),1,99)))</f>
        <v/>
      </c>
      <c r="CV147" s="43" t="str">
        <f aca="false">IF(Tasks[[#This Row],[_Pred1Text]]="","",IFERROR(VALUE(LEFT(Tasks[[#This Row],[_Pred1Text]],MIN(FIND("F",Tasks[[#This Row],[_Pred1Text]]&amp;"F"),FIND("S",Tasks[[#This Row],[_Pred1Text]]&amp;"S"),FIND("+",Tasks[[#This Row],[_Pred1Text]]&amp;"+"),FIND("-",Tasks[[#This Row],[_Pred1Text]]&amp;"-"))-1)),""))</f>
        <v/>
      </c>
      <c r="CW1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3" t="str">
        <f aca="false">IF(Tasks[[#This Row],[_Pred1Text]]="","",TRIM(MID(SUBSTITUTE(SUBSTITUTE(SUBSTITUTE(UPPER(Tasks[[#This Row],[_Predecessors]]),";",",")," ",""),",",REPT(" ",99)),100,99)))</f>
        <v/>
      </c>
      <c r="CZ147" s="43" t="str">
        <f aca="false">IF(Tasks[[#This Row],[_Pred2Text]]="","",IFERROR(VALUE(LEFT(Tasks[[#This Row],[_Pred2Text]],MIN(FIND("F",Tasks[[#This Row],[_Pred2Text]]&amp;"F"),FIND("S",Tasks[[#This Row],[_Pred2Text]]&amp;"S"),FIND("+",Tasks[[#This Row],[_Pred2Text]]&amp;"+"),FIND("-",Tasks[[#This Row],[_Pred2Text]]&amp;"-"))-1)),""))</f>
        <v/>
      </c>
      <c r="DA1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3" t="str">
        <f aca="false">IF(Tasks[[#This Row],[_Pred2Text]]="","",TRIM(MID(SUBSTITUTE(SUBSTITUTE(SUBSTITUTE(UPPER(Tasks[[#This Row],[_Predecessors]]),";",",")," ",""),",",REPT(" ",99)),199,99)))</f>
        <v/>
      </c>
      <c r="DD147" s="43" t="str">
        <f aca="false">IF(Tasks[[#This Row],[_Pred3Text]]="","",IFERROR(VALUE(LEFT(Tasks[[#This Row],[_Pred3Text]],MIN(FIND("F",Tasks[[#This Row],[_Pred3Text]]&amp;"F"),FIND("S",Tasks[[#This Row],[_Pred3Text]]&amp;"S"),FIND("+",Tasks[[#This Row],[_Pred3Text]]&amp;"+"),FIND("-",Tasks[[#This Row],[_Pred3Text]]&amp;"-"))-1)),""))</f>
        <v/>
      </c>
      <c r="DE1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3" t="str">
        <f aca="false">IF(Tasks[[#This Row],[_Pred3Text]]="","",TRIM(MID(SUBSTITUTE(SUBSTITUTE(SUBSTITUTE(UPPER(Tasks[[#This Row],[_Predecessors]]),";",",")," ",""),",",REPT(" ",99)),298,99)))</f>
        <v/>
      </c>
      <c r="DH147" s="43" t="str">
        <f aca="false">IF(Tasks[[#This Row],[_Pred4Text]]="","",IFERROR(VALUE(LEFT(Tasks[[#This Row],[_Pred4Text]],MIN(FIND("F",Tasks[[#This Row],[_Pred4Text]]&amp;"F"),FIND("S",Tasks[[#This Row],[_Pred4Text]]&amp;"S"),FIND("+",Tasks[[#This Row],[_Pred4Text]]&amp;"+"),FIND("-",Tasks[[#This Row],[_Pred4Text]]&amp;"-"))-1)),""))</f>
        <v/>
      </c>
      <c r="DI1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3" t="str">
        <f aca="false">IF(OR(Tasks[[#This Row],[Task Name]]="",Tasks[[#This Row],[_Resources]]=""),"",TRIM(MID(SUBSTITUTE(Tasks[[#This Row],[_Resources]],",",REPT(" ",99)),1,99)))</f>
        <v/>
      </c>
      <c r="DL147" s="43" t="str">
        <f aca="false">IF(Tasks[[#This Row],[_Res1Text]]="","",TRIM(MID(SUBSTITUTE(Tasks[[#This Row],[_Resources]],",",REPT(" ",99)),100,99)))</f>
        <v/>
      </c>
      <c r="DM147" s="43" t="str">
        <f aca="false">IF(Tasks[[#This Row],[_Res2Text]]="","",TRIM(MID(SUBSTITUTE(Tasks[[#This Row],[_Resources]],",",REPT(" ",99)),199,99)))</f>
        <v/>
      </c>
      <c r="DN147" s="43" t="str">
        <f aca="false">IF(Tasks[[#This Row],[_Res3Text]]="","",TRIM(MID(SUBSTITUTE(Tasks[[#This Row],[_Resources]],",",REPT(" ",99)),298,99)))</f>
        <v/>
      </c>
      <c r="DO147" s="43" t="n">
        <f aca="false">IF(Tasks[[#This Row],[_Res1Text]]="",0,IFERROR(MATCH(TRIM(LEFT(Tasks[[#This Row],[_Res1Text]],FIND("[",Tasks[[#This Row],[_Res1Text]]&amp;"[")-1)),res_Name,0),IFERROR(MATCH(TRIM(LEFT(Tasks[[#This Row],[_Res1Text]],FIND("[",Tasks[[#This Row],[_Res1Text]]&amp;"[")-1)),res_Initials,0),0)))</f>
        <v>0</v>
      </c>
      <c r="DP147" s="43" t="n">
        <f aca="false">IF(Tasks[[#This Row],[_Res2Text]]="",0,IFERROR(MATCH(TRIM(LEFT(Tasks[[#This Row],[_Res2Text]],FIND("[",Tasks[[#This Row],[_Res2Text]]&amp;"[")-1)),res_Name,0),IFERROR(MATCH(TRIM(LEFT(Tasks[[#This Row],[_Res2Text]],FIND("[",Tasks[[#This Row],[_Res2Text]]&amp;"[")-1)),res_Initials,0),0)))</f>
        <v>0</v>
      </c>
      <c r="DQ147" s="43" t="n">
        <f aca="false">IF(Tasks[[#This Row],[_Res3Text]]="",0,IFERROR(MATCH(TRIM(LEFT(Tasks[[#This Row],[_Res3Text]],FIND("[",Tasks[[#This Row],[_Res3Text]]&amp;"[")-1)),res_Name,0),IFERROR(MATCH(TRIM(LEFT(Tasks[[#This Row],[_Res3Text]],FIND("[",Tasks[[#This Row],[_Res3Text]]&amp;"[")-1)),res_Initials,0),0)))</f>
        <v>0</v>
      </c>
      <c r="DR147" s="43" t="n">
        <f aca="false">IF(Tasks[[#This Row],[_Res4Text]]="",0,IFERROR(MATCH(TRIM(LEFT(Tasks[[#This Row],[_Res4Text]],FIND("[",Tasks[[#This Row],[_Res4Text]]&amp;"[")-1)),res_Name,0),IFERROR(MATCH(TRIM(LEFT(Tasks[[#This Row],[_Res4Text]],FIND("[",Tasks[[#This Row],[_Res4Text]]&amp;"[")-1)),res_Initials,0),0)))</f>
        <v>0</v>
      </c>
      <c r="DS147" s="43" t="str">
        <f aca="false">IF(Tasks[[#This Row],[_Res1Text]]="","",IF(Tasks[[#This Row],[_Res1Row]]&gt;0,INDEX(res_Name,Tasks[[#This Row],[_Res1Row]]),TRIM(LEFT(Tasks[[#This Row],[_Res1Text]],FIND("[",Tasks[[#This Row],[_Res1Text]]&amp;"[")-1))))</f>
        <v/>
      </c>
      <c r="DT1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3" t="n">
        <f aca="false">IF(NOT(Tasks[[#This Row],[_IsLeaf]]=1),0,(Tasks[[#This Row],[_Resource1]]&lt;&gt;"")+(Tasks[[#This Row],[_Res2]]&lt;&gt;"")+(Tasks[[#This Row],[_Res3]]&lt;&gt;"")+(Tasks[[#This Row],[_Res4]]&lt;&gt;""))</f>
        <v>0</v>
      </c>
      <c r="DV147" s="43" t="str">
        <f aca="false">IF(Tasks[[#This Row],[_Res2Text]]="","",IF(Tasks[[#This Row],[_Res2Row]]&gt;0,INDEX(res_Name,Tasks[[#This Row],[_Res2Row]]),TRIM(LEFT(Tasks[[#This Row],[_Res2Text]],FIND("[",Tasks[[#This Row],[_Res2Text]]&amp;"[")-1))))</f>
        <v/>
      </c>
      <c r="DW1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3" t="n">
        <f aca="false">IF(OR(NOT(Tasks[[#This Row],[_IsLeaf]]=1),Tasks[[#This Row],[_Res2Row]]=0),0,N(Tasks[[#This Row],[_Days]])*HoursPerDay*IF(Tasks[[#This Row],[_Res2Units]]="",DefaultUnits,Tasks[[#This Row],[_Res2Units]]))</f>
        <v>0</v>
      </c>
      <c r="DY147" s="43" t="n">
        <f aca="false">IF(AND(AND(Tasks[[#This Row],[_IsLeaf]]=1,Tasks[[#This Row],[_LeafTotalWork]]&gt;0),Tasks[[#This Row],[_Res2Work]]&gt;0),Tasks[[#This Row],[_Res2Work]]/(Tasks[[#This Row],[_FinishWorkday]]-Tasks[[#This Row],[_StartWorkday]]+1),0)</f>
        <v>0</v>
      </c>
      <c r="DZ147" s="43" t="n">
        <f aca="false">Tasks[[#This Row],[_Res2WorkPerWD]]*MAX(0,Tasks[[#This Row],[_StartWorkday]]-1)</f>
        <v>0</v>
      </c>
      <c r="EA147" s="43" t="n">
        <f aca="false">Tasks[[#This Row],[_Res2Work]]*Tasks[[#This Row],[_LeafProgress]]</f>
        <v>0</v>
      </c>
      <c r="EB147" s="43" t="str">
        <f aca="false">IF(Tasks[[#This Row],[_Res3Text]]="","",IF(Tasks[[#This Row],[_Res3Row]]&gt;0,INDEX(res_Name,Tasks[[#This Row],[_Res3Row]]),TRIM(LEFT(Tasks[[#This Row],[_Res3Text]],FIND("[",Tasks[[#This Row],[_Res3Text]]&amp;"[")-1))))</f>
        <v/>
      </c>
      <c r="EC1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3" t="n">
        <f aca="false">IF(OR(NOT(Tasks[[#This Row],[_IsLeaf]]=1),Tasks[[#This Row],[_Res3Row]]=0),0,N(Tasks[[#This Row],[_Days]])*HoursPerDay*IF(Tasks[[#This Row],[_Res3Units]]="",DefaultUnits,Tasks[[#This Row],[_Res3Units]]))</f>
        <v>0</v>
      </c>
      <c r="EE147" s="43" t="n">
        <f aca="false">IF(AND(AND(Tasks[[#This Row],[_IsLeaf]]=1,Tasks[[#This Row],[_LeafTotalWork]]&gt;0),Tasks[[#This Row],[_Res3Work]]&gt;0),Tasks[[#This Row],[_Res3Work]]/(Tasks[[#This Row],[_FinishWorkday]]-Tasks[[#This Row],[_StartWorkday]]+1),0)</f>
        <v>0</v>
      </c>
      <c r="EF147" s="43" t="n">
        <f aca="false">Tasks[[#This Row],[_Res3WorkPerWD]]*MAX(0,Tasks[[#This Row],[_StartWorkday]]-1)</f>
        <v>0</v>
      </c>
      <c r="EG147" s="43" t="n">
        <f aca="false">Tasks[[#This Row],[_Res3Work]]*Tasks[[#This Row],[_LeafProgress]]</f>
        <v>0</v>
      </c>
      <c r="EH147" s="43" t="str">
        <f aca="false">IF(Tasks[[#This Row],[_Res4Text]]="","",IF(Tasks[[#This Row],[_Res4Row]]&gt;0,INDEX(res_Name,Tasks[[#This Row],[_Res4Row]]),TRIM(LEFT(Tasks[[#This Row],[_Res4Text]],FIND("[",Tasks[[#This Row],[_Res4Text]]&amp;"[")-1))))</f>
        <v/>
      </c>
      <c r="EI1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3" t="n">
        <f aca="false">IF(OR(NOT(Tasks[[#This Row],[_IsLeaf]]=1),Tasks[[#This Row],[_Res4Row]]=0),0,N(Tasks[[#This Row],[_Days]])*HoursPerDay*IF(Tasks[[#This Row],[_Res4Units]]="",DefaultUnits,Tasks[[#This Row],[_Res4Units]]))</f>
        <v>0</v>
      </c>
      <c r="EK147" s="43" t="n">
        <f aca="false">IF(AND(AND(Tasks[[#This Row],[_IsLeaf]]=1,Tasks[[#This Row],[_LeafTotalWork]]&gt;0),Tasks[[#This Row],[_Res4Work]]&gt;0),Tasks[[#This Row],[_Res4Work]]/(Tasks[[#This Row],[_FinishWorkday]]-Tasks[[#This Row],[_StartWorkday]]+1),0)</f>
        <v>0</v>
      </c>
      <c r="EL147" s="43" t="n">
        <f aca="false">Tasks[[#This Row],[_Res4WorkPerWD]]*MAX(0,Tasks[[#This Row],[_StartWorkday]]-1)</f>
        <v>0</v>
      </c>
      <c r="EM147" s="43" t="n">
        <f aca="false">Tasks[[#This Row],[_Res4Work]]*Tasks[[#This Row],[_LeafProgress]]</f>
        <v>0</v>
      </c>
      <c r="EN147" s="43" t="n">
        <f aca="false">IF(ISNUMBER(Tasks[[#This Row],[% Complete]]),Tasks[[#This Row],[% Complete]],IF(Tasks[[#This Row],[Stage]]="",0,IFERROR(INDEX(stg_Pct,MATCH(Tasks[[#This Row],[Stage]],stg_Name,0)),0)))</f>
        <v>0</v>
      </c>
      <c r="EO147" s="43" t="n">
        <f aca="false">IF(NOT(Tasks[[#This Row],[_IsLeaf]]=1),0,IF(N(Tasks[[#This Row],[Actual Finish]])&gt;0,1,MIN(1,Tasks[[#This Row],[_Pct]])))</f>
        <v>0</v>
      </c>
      <c r="EP147" s="43" t="n">
        <f aca="false">IF(OR(NOT(Tasks[[#This Row],[_IsLeaf]]=1),Tasks[[#This Row],[_Res1Row]]=0),0,N(Tasks[[#This Row],[_Days]])*HoursPerDay*IF(Tasks[[#This Row],[_Units1]]="",DefaultUnits,Tasks[[#This Row],[_Units1]]))</f>
        <v>0</v>
      </c>
      <c r="EQ147" s="43" t="n">
        <f aca="false">Tasks[[#This Row],[_LeafWork]]+Tasks[[#This Row],[_Res2Work]]+Tasks[[#This Row],[_Res3Work]]+Tasks[[#This Row],[_Res4Work]]</f>
        <v>0</v>
      </c>
      <c r="ER1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3" t="n">
        <f aca="false">IF(NOT(Tasks[[#This Row],[_IsLeaf]]=1),0,MAX(_xlfn.MAXIFS(Tasks[_Row],Tasks[_Pred1UID],Tasks[[#This Row],[UID]]),_xlfn.MAXIFS(Tasks[_Row],Tasks[_Pred2UID],Tasks[[#This Row],[UID]]),_xlfn.MAXIFS(Tasks[_Row],Tasks[_Pred3UID],Tasks[[#This Row],[UID]]),_xlfn.MAXIFS(Tasks[_Row],Tasks[_Pred4UID],Tasks[[#This Row],[UID]])))</f>
        <v>0</v>
      </c>
      <c r="FA1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91" t="str">
        <f aca="false">IF(NOT(Tasks[[#This Row],[_IsLeaf]]=1),"",IF(N(Tasks[[#This Row],[_Days]])&lt;=0,Tasks[[#This Row],[_LeafLateFinish]],WORKDAY.INTL(Tasks[[#This Row],[_LeafLateFinish]],-(Tasks[[#This Row],[_Days]]-1),WorkWeek,Holidays)))</f>
        <v/>
      </c>
      <c r="FD1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7" s="90" t="b">
        <f aca="false">AND(Tasks[[#This Row],[_IsLeaf]]=1,Tasks[[#This Row],[_LeafProgress]]&lt;1,N(Tasks[[#This Row],[_LeafTotalSlack]])&lt;=CriticalSlackDays)</f>
        <v>0</v>
      </c>
      <c r="FF147" s="43" t="n">
        <f aca="false">IF(AND(Tasks[[#This Row],[_IsLeaf]]=1,Tasks[[#This Row],[_ConstraintCode]]=1,Tasks[[#This Row],[Mode]]&lt;&gt;"Manual",N(Tasks[[#This Row],[Actual Start]])=0),MAX(0,N(Tasks[[#This Row],[Free Slack]])),0)</f>
        <v>0</v>
      </c>
      <c r="FG147" s="91" t="str">
        <f aca="false">IF(NOT(Tasks[[#This Row],[_IsLeaf]]=1),"",IF(Tasks[[#This Row],[_AlapShift]]=0,Tasks[[#This Row],[_LeafCalcStart]],WORKDAY.INTL(Tasks[[#This Row],[_LeafCalcStart]],Tasks[[#This Row],[_AlapShift]],WorkWeek,Holidays)))</f>
        <v/>
      </c>
      <c r="FH147" s="91" t="str">
        <f aca="false">IF(NOT(Tasks[[#This Row],[_IsLeaf]]=1),"",IF(Tasks[[#This Row],[_AlapShift]]=0,Tasks[[#This Row],[_LeafCalcFinish]],WORKDAY.INTL(Tasks[[#This Row],[_LeafCalcFinish]],Tasks[[#This Row],[_AlapShift]],WorkWeek,Holidays)))</f>
        <v/>
      </c>
      <c r="FI147" s="91" t="str">
        <f aca="false">IF(NOT(Tasks[[#This Row],[_IsLeaf]]=1),"",IF(Tasks[[#This Row],[_AlapShift]]=0,Tasks[[#This Row],[_LeafFcstStart]],WORKDAY.INTL(Tasks[[#This Row],[_LeafFcstStart]],Tasks[[#This Row],[_AlapShift]],WorkWeek,Holidays)))</f>
        <v/>
      </c>
      <c r="FJ147" s="91" t="str">
        <f aca="false">IF(NOT(Tasks[[#This Row],[_IsLeaf]]=1),"",IF(Tasks[[#This Row],[_AlapShift]]=0,Tasks[[#This Row],[_LeafFcstFinish]],WORKDAY.INTL(Tasks[[#This Row],[_LeafFcstFinish]],Tasks[[#This Row],[_AlapShift]],WorkWeek,Holidays)))</f>
        <v/>
      </c>
      <c r="FK147" s="91" t="str">
        <f aca="false">IF(Tasks[[#This Row],[Task Name]]="","",IF(Tasks[[#This Row],[_IsSummary]],MIN(INDEX(Tasks[_ShownCalcStart],Tasks[[#This Row],[_Row]]+1):INDEX(Tasks[_ShownCalcStart],Tasks[[#This Row],[_Row]]+Tasks[[#This Row],[_Descendants]])),Tasks[[#This Row],[_ShownCalcStart]]))</f>
        <v/>
      </c>
      <c r="FL147" s="91" t="str">
        <f aca="false">IF(Tasks[[#This Row],[Task Name]]="","",IF(Tasks[[#This Row],[_IsSummary]],MAX(INDEX(Tasks[_ShownCalcFinish],Tasks[[#This Row],[_Row]]+1):INDEX(Tasks[_ShownCalcFinish],Tasks[[#This Row],[_Row]]+Tasks[[#This Row],[_Descendants]])),Tasks[[#This Row],[_ShownCalcFinish]]))</f>
        <v/>
      </c>
      <c r="FM1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7" s="43" t="n">
        <f aca="false">IF(AND(Tasks[[#This Row],[_IsLeaf]]=1,Tasks[[#This Row],[_LeafTotalWork]]&gt;0),NETWORKDAYS.INTL(ProjectStart,Tasks[[#This Row],[_ShownFcstStart]],WorkWeek,Holidays),0)</f>
        <v>0</v>
      </c>
      <c r="FZ147" s="43" t="n">
        <f aca="false">IF(AND(Tasks[[#This Row],[_IsLeaf]]=1,Tasks[[#This Row],[_LeafTotalWork]]&gt;0),MAX(Tasks[[#This Row],[_StartWorkday]],NETWORKDAYS.INTL(ProjectStart,Tasks[[#This Row],[_ShownFcstFinish]],WorkWeek,Holidays)),0)</f>
        <v>0</v>
      </c>
      <c r="GA147" s="43" t="n">
        <f aca="false">IF(AND(Tasks[[#This Row],[_IsLeaf]]=1,Tasks[[#This Row],[_LeafTotalWork]]&gt;0),Tasks[[#This Row],[_LeafWork]]/(Tasks[[#This Row],[_FinishWorkday]]-Tasks[[#This Row],[_StartWorkday]]+1),0)</f>
        <v>0</v>
      </c>
      <c r="GB147" s="43" t="n">
        <f aca="false">Tasks[[#This Row],[_WorkPerWorkday]]*(Tasks[[#This Row],[_StartWorkday]]-1)</f>
        <v>-0</v>
      </c>
      <c r="GC147" s="43" t="n">
        <f aca="false">IF(Tasks[[#This Row],[_IsLeaf]]=1,MAX(N(Tasks[[#This Row],[_Days]]),0.1),0)</f>
        <v>0</v>
      </c>
      <c r="GD147" s="43" t="n">
        <f aca="false">Tasks[[#This Row],[_WeightDur]]*Tasks[[#This Row],[_LeafProgress]]</f>
        <v>0</v>
      </c>
      <c r="GE147" s="43" t="n">
        <f aca="false">Tasks[[#This Row],[_WeightDur]]*Tasks[[#This Row],[_PlannedPct]]</f>
        <v>0</v>
      </c>
      <c r="GF1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3" t="str">
        <f aca="false">IF(AND(Tasks[[#This Row],[_IsLeaf]]=1,N(Tasks[[#This Row],[_Days]])=0,Tasks[[#This Row],[_LeafProgress]]&lt;1),Tasks[[#This Row],[_ShownFcstFinish]]+Tasks[[#This Row],[_Row]]/100000,"")</f>
        <v/>
      </c>
      <c r="GH1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7" s="43" t="str">
        <f aca="false">IF(Tasks[[#This Row],[Task Name]]="","",LEFT(Tasks[[#This Row],[WBS]],FIND(".",Tasks[[#This Row],[WBS]]&amp;".")-1))</f>
        <v/>
      </c>
      <c r="GJ147" s="43" t="str">
        <f aca="false">IF(AND(Tasks[[#This Row],[Task Name]]&lt;&gt;"",Tasks[[#This Row],[_Level]]=1),Tasks[[#This Row],[_Row]],"")</f>
        <v/>
      </c>
      <c r="GK147" s="43" t="str">
        <f aca="false">IF(AND(Tasks[[#This Row],[_IsLeaf]]=1,N(Tasks[[#This Row],[_Days]])=0),Tasks[[#This Row],[Planned Finish]]+Tasks[[#This Row],[_Row]]/100000,"")</f>
        <v/>
      </c>
      <c r="GL147" s="43" t="str">
        <f aca="false">IF(AND(Tasks[[#This Row],[_IsLeaf]]=1,Tasks[[#This Row],[_LeafProgress]]&lt;1,OR(N(Tasks[[#This Row],[Finish Var]])&gt;0,Tasks[[#This Row],[Status]]="Late Start")),MAX(0,Tasks[[#This Row],[Finish Var]])+1-Tasks[[#This Row],[_Row]]/1000000,"")</f>
        <v/>
      </c>
      <c r="GM147" s="43" t="str">
        <f aca="false">IF(AND(Tasks[[#This Row],[_IsLeaf]]=1,N(Tasks[[#This Row],[Actual Start]])=0,Tasks[[#This Row],[_ShownFcstStart]]&gt;=StatusDate,Tasks[[#This Row],[_ShownFcstStart]]&lt;=LookaheadEnd),Tasks[[#This Row],[_ShownFcstStart]]+Tasks[[#This Row],[_Row]]/100000,"")</f>
        <v/>
      </c>
      <c r="GN147" s="43" t="str">
        <f aca="false">IF(AND(Tasks[[#This Row],[_IsLeaf]]=1,Tasks[[#This Row],[_LeafProgress]]&lt;1,Tasks[[#This Row],[_ShownFcstFinish]]&gt;=StatusDate,Tasks[[#This Row],[_ShownFcstFinish]]&lt;=LookaheadEnd),Tasks[[#This Row],[_ShownFcstFinish]]+Tasks[[#This Row],[_Row]]/100000,"")</f>
        <v/>
      </c>
      <c r="GO147" s="43" t="str">
        <f aca="false">IF(Tasks[[#This Row],[_LeafCritical]],Tasks[[#This Row],[_ShownFcstStart]]+Tasks[[#This Row],[_Row]]/100000,"")</f>
        <v/>
      </c>
      <c r="GP147" s="43" t="n">
        <f aca="false">Tasks[[#This Row],[_LeafWork]]*Tasks[[#This Row],[_LeafProgress]]</f>
        <v>0</v>
      </c>
      <c r="GQ147" s="91" t="str">
        <f aca="false">IF(AND(Tasks[[#This Row],[_IsLeaf]]=1,Tasks[[#This Row],[_LeafProgress]]&gt;=1),IF(N(Tasks[[#This Row],[Actual Finish]])&gt;0,Tasks[[#This Row],[Actual Finish]],Tasks[[#This Row],[_ShownFcstFinish]]),"")</f>
        <v/>
      </c>
      <c r="GR147" s="43" t="n">
        <f aca="false">IF(Tasks[[#This Row],[_IsLeaf]]=1,N(Tasks[[#This Row],[Story Points]]),0)</f>
        <v>0</v>
      </c>
      <c r="GS147" s="43" t="str">
        <f aca="false">""</f>
        <v/>
      </c>
      <c r="GT147" s="90" t="b">
        <f aca="false">IF(Tasks[[#This Row],[Task Name]]="",FALSE(),AND(Tasks[[#This Row],[_IsLeaf]]=1,N(Tasks[[#This Row],[_Days]])=0))</f>
        <v>0</v>
      </c>
      <c r="GU147" s="91" t="n">
        <f aca="false">IF(Tasks[[#This Row],[Task Name]]="",0,IF(AND(Tasks[[#This Row],[_IsLeaf]]=1,NOT(Tasks[[#This Row],[_IsMilestone]]),N(Tasks[[#This Row],[Progress]])&gt;0),Tasks[[#This Row],[Start]],0))</f>
        <v>0</v>
      </c>
      <c r="GV147" s="91" t="n">
        <f aca="false">IF(Tasks[[#This Row],[_DoneFrom]]=0,0,IF(Tasks[[#This Row],[Progress]]&gt;=1,Tasks[[#This Row],[Finish]],MAX(Tasks[[#This Row],[_DoneFrom]],Tasks[[#This Row],[Start]]+ROUND((Tasks[[#This Row],[Finish]]-Tasks[[#This Row],[Start]]+1)*Tasks[[#This Row],[Progress]],0)-1)))</f>
        <v>0</v>
      </c>
      <c r="GW147" s="91" t="n">
        <f aca="false">IF(Tasks[[#This Row],[Task Name]]="",0,IF(OR(NOT(Tasks[[#This Row],[_IsLeaf]]=1),Tasks[[#This Row],[_IsMilestone]],N(Tasks[[#This Row],[Progress]])&gt;=1),0,IF(Tasks[[#This Row],[_DoneTo]]&gt;0,Tasks[[#This Row],[_DoneTo]]+1,Tasks[[#This Row],[Start]])))</f>
        <v>0</v>
      </c>
      <c r="GX147" s="91" t="n">
        <f aca="false">IF(Tasks[[#This Row],[_RemFrom]]=0,0,Tasks[[#This Row],[Finish]])</f>
        <v>0</v>
      </c>
      <c r="GY147" s="90" t="b">
        <f aca="false">IF(Tasks[[#This Row],[Task Name]]="",FALSE(),OR(NOT(BaselineSet),N(Tasks[[#This Row],[Baseline Start]])&gt;0))</f>
        <v>0</v>
      </c>
      <c r="GZ14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92" t="str">
        <f aca="false">IF(Tasks[[#This Row],[_IsLeaf]]=1,Tasks[[#This Row],[_Row]],"")</f>
        <v/>
      </c>
      <c r="HD147" s="92" t="str">
        <f aca="false">IFERROR(INDEX(Tasks[UID],SMALL(Tasks[_PickKey],Tasks[[#This Row],[_Row]]))&amp;" "&amp;INDEX(Tasks[Task Name],SMALL(Tasks[_PickKey],Tasks[[#This Row],[_Row]])),"")</f>
        <v/>
      </c>
      <c r="HE147" s="43" t="str">
        <f aca="false">IF(Tasks[[#This Row],[Task Name]]="","",IF(Tasks[[#This Row],[_IsSummary]],NETWORKDAYS.INTL(Tasks[[#This Row],[Start]],Tasks[[#This Row],[Finish]],WorkWeek,Holidays),N(Tasks[[#This Row],[_Days]])))</f>
        <v/>
      </c>
      <c r="HF147" s="43" t="n">
        <f aca="false">IF(Tasks[[#This Row],[Expected]]="",0,((Tasks[[#This Row],[Pessimistic]]-Tasks[[#This Row],[Optimistic]])/6)^2)</f>
        <v>0</v>
      </c>
      <c r="HG147" s="43" t="n">
        <f aca="false">IF(Tasks[[#This Row],[Expected]]="",0,Tasks[[#This Row],[Expected]]-N(Tasks[[#This Row],[_Days]]))</f>
        <v>0</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4"/>
      <c r="U148" s="23"/>
      <c r="V148" s="84"/>
      <c r="W148" s="23"/>
      <c r="X148" s="84"/>
      <c r="Y148" s="23"/>
      <c r="Z148" s="84"/>
      <c r="AA148" s="23"/>
      <c r="AB148" s="23"/>
      <c r="AC148" s="7"/>
      <c r="AD148" s="7"/>
      <c r="AE148" s="63" t="str">
        <f aca="false">IF(Tasks[[#This Row],[Task Name]]="","",IF(Tasks[[#This Row],[_IsSummary]],MIN(INDEX(Tasks[_ShownFcstStart],Tasks[[#This Row],[_Row]]+1):INDEX(Tasks[_ShownFcstStart],Tasks[[#This Row],[_Row]]+Tasks[[#This Row],[_Descendants]])),Tasks[[#This Row],[_ShownFcstStart]]))</f>
        <v/>
      </c>
      <c r="AF148" s="63"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8" s="7"/>
      <c r="AK148" s="22"/>
      <c r="AL148" s="23"/>
      <c r="AM148" s="7"/>
      <c r="AN148" s="47"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3" t="str">
        <f aca="false">IF(Tasks[[#This Row],[Task Name]]="","",IF(N(Tasks[[#This Row],[Baseline Start]])&gt;0,Tasks[[#This Row],[Baseline Start]],Tasks[[#This Row],[_CalcStart]]))</f>
        <v/>
      </c>
      <c r="AR148" s="63" t="str">
        <f aca="false">IF(Tasks[[#This Row],[Task Name]]="","",IF(N(Tasks[[#This Row],[Baseline Finish]])&gt;0,Tasks[[#This Row],[Baseline Finish]],Tasks[[#This Row],[_CalcFinish]]))</f>
        <v/>
      </c>
      <c r="AS148" s="47" t="str">
        <f aca="false">IF(Tasks[[#This Row],[Task Name]]="","",IF(Tasks[[#This Row],[Start]]&gt;=Tasks[[#This Row],[Planned Start]],NETWORKDAYS.INTL(Tasks[[#This Row],[Planned Start]],Tasks[[#This Row],[Start]],WorkWeek,Holidays)-1,1-NETWORKDAYS.INTL(Tasks[[#This Row],[Start]],Tasks[[#This Row],[Planned Start]],WorkWeek,Holidays)))</f>
        <v/>
      </c>
      <c r="AT148" s="63" t="str">
        <f aca="false">IF(Tasks[[#This Row],[Task Name]]="","",IF(Tasks[[#This Row],[_IsSummary]],MIN(INDEX(Tasks[_LeafLateStart],Tasks[[#This Row],[_Row]]+1):INDEX(Tasks[_LeafLateStart],Tasks[[#This Row],[_Row]]+Tasks[[#This Row],[_Descendants]])),Tasks[[#This Row],[_LeafLateStart]]))</f>
        <v/>
      </c>
      <c r="AU148" s="63" t="str">
        <f aca="false">IF(Tasks[[#This Row],[Task Name]]="","",IF(Tasks[[#This Row],[_IsSummary]],MAX(INDEX(Tasks[_LeafLateFinish],Tasks[[#This Row],[_Row]]+1):INDEX(Tasks[_LeafLateFinish],Tasks[[#This Row],[_Row]]+Tasks[[#This Row],[_Descendants]])),Tasks[[#This Row],[_LeafLateFinish]]))</f>
        <v/>
      </c>
      <c r="AV148" s="47"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5"/>
      <c r="BA1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6"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7"/>
      <c r="BJ148" s="22"/>
      <c r="BK148" s="47" t="str">
        <f aca="false">IF(OR(Tasks[[#This Row],[Task Name]]="",Tasks[[#This Row],[Baseline Duration]]=""),"",Tasks[[#This Row],[_SpanDays]]-N(Tasks[[#This Row],[Baseline Duration]]))</f>
        <v/>
      </c>
      <c r="BL148" s="86" t="str">
        <f aca="false">IF(OR(Tasks[[#This Row],[Task Name]]="",Tasks[[#This Row],[Baseline Work]]=""),"",Tasks[[#This Row],[Work]]-N(Tasks[[#This Row],[Baseline Work]]))</f>
        <v/>
      </c>
      <c r="BM148" s="63" t="str">
        <f aca="false">IF(Tasks[[#This Row],[Task Name]]="","",IF(OR(TakeBaseline="Yes",N(Tasks[[#This Row],[Baseline Start]])=0),Tasks[[#This Row],[Start]],Tasks[[#This Row],[Baseline Start]]))</f>
        <v/>
      </c>
      <c r="BN148" s="63" t="str">
        <f aca="false">IF(Tasks[[#This Row],[Task Name]]="","",IF(OR(TakeBaseline="Yes",N(Tasks[[#This Row],[Baseline Finish]])=0),Tasks[[#This Row],[Finish]],Tasks[[#This Row],[Baseline Finish]]))</f>
        <v/>
      </c>
      <c r="BO148" s="21" t="str">
        <f aca="false">IF(Tasks[[#This Row],[Task Name]]="","",IF(OR(TakeBaseline="Yes",N(Tasks[[#This Row],[Baseline Duration]])=0),Tasks[[#This Row],[_SpanDays]],Tasks[[#This Row],[Baseline Duration]]))</f>
        <v/>
      </c>
      <c r="BP148" s="86" t="str">
        <f aca="false">IF(Tasks[[#This Row],[Task Name]]="","",IF(OR(TakeBaseline="Yes",N(Tasks[[#This Row],[Baseline Work]])=0),Tasks[[#This Row],[Work]],Tasks[[#This Row],[Baseline Work]]))</f>
        <v/>
      </c>
      <c r="BQ148" s="7"/>
      <c r="BR148" s="7"/>
      <c r="BS148" s="22"/>
      <c r="BT148" s="88"/>
      <c r="BU148" s="23"/>
      <c r="BV148" s="23"/>
      <c r="BW148" s="23"/>
      <c r="BX148" s="89" t="str">
        <f aca="false">IF(AND(Tasks[[#This Row],[_IsLeaf]]=1,ISNUMBER(Tasks[[#This Row],[Optimistic]]),ISNUMBER(Tasks[[#This Row],[Pessimistic]])),ROUND((Tasks[[#This Row],[Optimistic]]+4*N(Tasks[[#This Row],[_Days]])+Tasks[[#This Row],[Pessimistic]])/6,1),"")</f>
        <v/>
      </c>
      <c r="BY148" s="87"/>
      <c r="BZ148" s="87"/>
      <c r="CA148" s="22"/>
      <c r="CB148" s="43" t="str">
        <f aca="false">IF(Tasks[[#This Row],[Task Name]]="","",MAX(1,N(Tasks[[#This Row],[Level]])))</f>
        <v/>
      </c>
      <c r="CC148" s="43" t="n">
        <f aca="false">ROW()-ROW(Tasks[[#Headers],[ID]])</f>
        <v>143</v>
      </c>
      <c r="CD148" s="43" t="n">
        <f aca="false">IF(OR(Tasks[[#This Row],[Task Name]]="",Tasks[[#This Row],[_Level]]&lt;=1),0,IFERROR(LOOKUP(2,1/(Tasks[[#Headers],[_Level]]:Tasks[[#This Row],[_Level]]=Tasks[[#This Row],[_Level]]-1),ROW(Tasks[[#Headers],[_Level]]:Tasks[[#This Row],[_Level]])),0))</f>
        <v>0</v>
      </c>
      <c r="CE148" s="43" t="n">
        <f aca="false">IFERROR(N(INDEX(Tasks[_Level],Tasks[[#This Row],[_Row]]+1)),0)</f>
        <v>0</v>
      </c>
      <c r="CF148" s="90" t="b">
        <f aca="false">AND(Tasks[[#This Row],[Task Name]]&lt;&gt;"",Tasks[[#This Row],[_NextLevel]]&gt;Tasks[[#This Row],[_Level]])</f>
        <v>0</v>
      </c>
      <c r="CG148" s="43" t="n">
        <f aca="false">IF(Tasks[[#This Row],[_IsSummary]],COUNTIF(Tasks[WBS],Tasks[[#This Row],[WBS]]&amp;".*"),0)</f>
        <v>0</v>
      </c>
      <c r="CH148" s="43" t="n">
        <f aca="false">IF(AND(Tasks[[#This Row],[Task Name]]&lt;&gt;"",NOT(Tasks[[#This Row],[_IsSummary]])),1,0)</f>
        <v>0</v>
      </c>
      <c r="CI148" s="43" t="n">
        <f aca="false">IF(N(Tasks[[#This Row],[_Pred1UID]])=0,0,IFERROR(MATCH(Tasks[[#This Row],[_Pred1UID]],Tasks[UID],0),-1))</f>
        <v>0</v>
      </c>
      <c r="CJ148" s="43" t="n">
        <f aca="false">IF(N(Tasks[[#This Row],[_Pred2UID]])=0,0,IFERROR(MATCH(Tasks[[#This Row],[_Pred2UID]],Tasks[UID],0),-1))</f>
        <v>0</v>
      </c>
      <c r="CK148" s="43" t="n">
        <f aca="false">IF(N(Tasks[[#This Row],[_Pred3UID]])=0,0,IFERROR(MATCH(Tasks[[#This Row],[_Pred3UID]],Tasks[UID],0),-1))</f>
        <v>0</v>
      </c>
      <c r="CL148" s="43" t="n">
        <f aca="false">IF(N(Tasks[[#This Row],[_Pred4UID]])=0,0,IFERROR(MATCH(Tasks[[#This Row],[_Pred4UID]],Tasks[UID],0),-1))</f>
        <v>0</v>
      </c>
      <c r="CM1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8" s="91" t="n">
        <f aca="false">IF(OR(Tasks[[#This Row],[_ConstraintCode]]=2,Tasks[[#This Row],[_ConstraintCode]]=3,Tasks[[#This Row],[_ConstraintCode]]=4,Tasks[[#This Row],[_ConstraintCode]]=6),Tasks[[#This Row],[_ConstraintStart]],0)</f>
        <v>0</v>
      </c>
      <c r="CP148" s="91" t="n">
        <f aca="false">IF(OR(Tasks[[#This Row],[_ConstraintCode]]=2,Tasks[[#This Row],[_ConstraintCode]]=3,Tasks[[#This Row],[_ConstraintCode]]=5,Tasks[[#This Row],[_ConstraintCode]]=7),Tasks[[#This Row],[_ConstraintStart]],2958465)</f>
        <v>2958465</v>
      </c>
      <c r="CQ1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91" t="str">
        <f aca="false">IF(NOT(Tasks[[#This Row],[_IsLeaf]]=1),"",IF(N(Tasks[[#This Row],[_Days]])&lt;=0,Tasks[[#This Row],[_LeafCalcStart]],WORKDAY.INTL(Tasks[[#This Row],[_LeafCalcStart]],Tasks[[#This Row],[_Days]]-1,WorkWeek,Holidays)))</f>
        <v/>
      </c>
      <c r="CS1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3" t="str">
        <f aca="false">IF(Tasks[[#This Row],[_Predecessors]]="","",TRIM(MID(SUBSTITUTE(SUBSTITUTE(SUBSTITUTE(UPPER(Tasks[[#This Row],[_Predecessors]]),";",",")," ",""),",",REPT(" ",99)),1,99)))</f>
        <v/>
      </c>
      <c r="CV148" s="43" t="str">
        <f aca="false">IF(Tasks[[#This Row],[_Pred1Text]]="","",IFERROR(VALUE(LEFT(Tasks[[#This Row],[_Pred1Text]],MIN(FIND("F",Tasks[[#This Row],[_Pred1Text]]&amp;"F"),FIND("S",Tasks[[#This Row],[_Pred1Text]]&amp;"S"),FIND("+",Tasks[[#This Row],[_Pred1Text]]&amp;"+"),FIND("-",Tasks[[#This Row],[_Pred1Text]]&amp;"-"))-1)),""))</f>
        <v/>
      </c>
      <c r="CW1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3" t="str">
        <f aca="false">IF(Tasks[[#This Row],[_Pred1Text]]="","",TRIM(MID(SUBSTITUTE(SUBSTITUTE(SUBSTITUTE(UPPER(Tasks[[#This Row],[_Predecessors]]),";",",")," ",""),",",REPT(" ",99)),100,99)))</f>
        <v/>
      </c>
      <c r="CZ148" s="43" t="str">
        <f aca="false">IF(Tasks[[#This Row],[_Pred2Text]]="","",IFERROR(VALUE(LEFT(Tasks[[#This Row],[_Pred2Text]],MIN(FIND("F",Tasks[[#This Row],[_Pred2Text]]&amp;"F"),FIND("S",Tasks[[#This Row],[_Pred2Text]]&amp;"S"),FIND("+",Tasks[[#This Row],[_Pred2Text]]&amp;"+"),FIND("-",Tasks[[#This Row],[_Pred2Text]]&amp;"-"))-1)),""))</f>
        <v/>
      </c>
      <c r="DA1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3" t="str">
        <f aca="false">IF(Tasks[[#This Row],[_Pred2Text]]="","",TRIM(MID(SUBSTITUTE(SUBSTITUTE(SUBSTITUTE(UPPER(Tasks[[#This Row],[_Predecessors]]),";",",")," ",""),",",REPT(" ",99)),199,99)))</f>
        <v/>
      </c>
      <c r="DD148" s="43" t="str">
        <f aca="false">IF(Tasks[[#This Row],[_Pred3Text]]="","",IFERROR(VALUE(LEFT(Tasks[[#This Row],[_Pred3Text]],MIN(FIND("F",Tasks[[#This Row],[_Pred3Text]]&amp;"F"),FIND("S",Tasks[[#This Row],[_Pred3Text]]&amp;"S"),FIND("+",Tasks[[#This Row],[_Pred3Text]]&amp;"+"),FIND("-",Tasks[[#This Row],[_Pred3Text]]&amp;"-"))-1)),""))</f>
        <v/>
      </c>
      <c r="DE1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3" t="str">
        <f aca="false">IF(Tasks[[#This Row],[_Pred3Text]]="","",TRIM(MID(SUBSTITUTE(SUBSTITUTE(SUBSTITUTE(UPPER(Tasks[[#This Row],[_Predecessors]]),";",",")," ",""),",",REPT(" ",99)),298,99)))</f>
        <v/>
      </c>
      <c r="DH148" s="43" t="str">
        <f aca="false">IF(Tasks[[#This Row],[_Pred4Text]]="","",IFERROR(VALUE(LEFT(Tasks[[#This Row],[_Pred4Text]],MIN(FIND("F",Tasks[[#This Row],[_Pred4Text]]&amp;"F"),FIND("S",Tasks[[#This Row],[_Pred4Text]]&amp;"S"),FIND("+",Tasks[[#This Row],[_Pred4Text]]&amp;"+"),FIND("-",Tasks[[#This Row],[_Pred4Text]]&amp;"-"))-1)),""))</f>
        <v/>
      </c>
      <c r="DI1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3" t="str">
        <f aca="false">IF(OR(Tasks[[#This Row],[Task Name]]="",Tasks[[#This Row],[_Resources]]=""),"",TRIM(MID(SUBSTITUTE(Tasks[[#This Row],[_Resources]],",",REPT(" ",99)),1,99)))</f>
        <v/>
      </c>
      <c r="DL148" s="43" t="str">
        <f aca="false">IF(Tasks[[#This Row],[_Res1Text]]="","",TRIM(MID(SUBSTITUTE(Tasks[[#This Row],[_Resources]],",",REPT(" ",99)),100,99)))</f>
        <v/>
      </c>
      <c r="DM148" s="43" t="str">
        <f aca="false">IF(Tasks[[#This Row],[_Res2Text]]="","",TRIM(MID(SUBSTITUTE(Tasks[[#This Row],[_Resources]],",",REPT(" ",99)),199,99)))</f>
        <v/>
      </c>
      <c r="DN148" s="43" t="str">
        <f aca="false">IF(Tasks[[#This Row],[_Res3Text]]="","",TRIM(MID(SUBSTITUTE(Tasks[[#This Row],[_Resources]],",",REPT(" ",99)),298,99)))</f>
        <v/>
      </c>
      <c r="DO148" s="43" t="n">
        <f aca="false">IF(Tasks[[#This Row],[_Res1Text]]="",0,IFERROR(MATCH(TRIM(LEFT(Tasks[[#This Row],[_Res1Text]],FIND("[",Tasks[[#This Row],[_Res1Text]]&amp;"[")-1)),res_Name,0),IFERROR(MATCH(TRIM(LEFT(Tasks[[#This Row],[_Res1Text]],FIND("[",Tasks[[#This Row],[_Res1Text]]&amp;"[")-1)),res_Initials,0),0)))</f>
        <v>0</v>
      </c>
      <c r="DP148" s="43" t="n">
        <f aca="false">IF(Tasks[[#This Row],[_Res2Text]]="",0,IFERROR(MATCH(TRIM(LEFT(Tasks[[#This Row],[_Res2Text]],FIND("[",Tasks[[#This Row],[_Res2Text]]&amp;"[")-1)),res_Name,0),IFERROR(MATCH(TRIM(LEFT(Tasks[[#This Row],[_Res2Text]],FIND("[",Tasks[[#This Row],[_Res2Text]]&amp;"[")-1)),res_Initials,0),0)))</f>
        <v>0</v>
      </c>
      <c r="DQ148" s="43" t="n">
        <f aca="false">IF(Tasks[[#This Row],[_Res3Text]]="",0,IFERROR(MATCH(TRIM(LEFT(Tasks[[#This Row],[_Res3Text]],FIND("[",Tasks[[#This Row],[_Res3Text]]&amp;"[")-1)),res_Name,0),IFERROR(MATCH(TRIM(LEFT(Tasks[[#This Row],[_Res3Text]],FIND("[",Tasks[[#This Row],[_Res3Text]]&amp;"[")-1)),res_Initials,0),0)))</f>
        <v>0</v>
      </c>
      <c r="DR148" s="43" t="n">
        <f aca="false">IF(Tasks[[#This Row],[_Res4Text]]="",0,IFERROR(MATCH(TRIM(LEFT(Tasks[[#This Row],[_Res4Text]],FIND("[",Tasks[[#This Row],[_Res4Text]]&amp;"[")-1)),res_Name,0),IFERROR(MATCH(TRIM(LEFT(Tasks[[#This Row],[_Res4Text]],FIND("[",Tasks[[#This Row],[_Res4Text]]&amp;"[")-1)),res_Initials,0),0)))</f>
        <v>0</v>
      </c>
      <c r="DS148" s="43" t="str">
        <f aca="false">IF(Tasks[[#This Row],[_Res1Text]]="","",IF(Tasks[[#This Row],[_Res1Row]]&gt;0,INDEX(res_Name,Tasks[[#This Row],[_Res1Row]]),TRIM(LEFT(Tasks[[#This Row],[_Res1Text]],FIND("[",Tasks[[#This Row],[_Res1Text]]&amp;"[")-1))))</f>
        <v/>
      </c>
      <c r="DT1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3" t="n">
        <f aca="false">IF(NOT(Tasks[[#This Row],[_IsLeaf]]=1),0,(Tasks[[#This Row],[_Resource1]]&lt;&gt;"")+(Tasks[[#This Row],[_Res2]]&lt;&gt;"")+(Tasks[[#This Row],[_Res3]]&lt;&gt;"")+(Tasks[[#This Row],[_Res4]]&lt;&gt;""))</f>
        <v>0</v>
      </c>
      <c r="DV148" s="43" t="str">
        <f aca="false">IF(Tasks[[#This Row],[_Res2Text]]="","",IF(Tasks[[#This Row],[_Res2Row]]&gt;0,INDEX(res_Name,Tasks[[#This Row],[_Res2Row]]),TRIM(LEFT(Tasks[[#This Row],[_Res2Text]],FIND("[",Tasks[[#This Row],[_Res2Text]]&amp;"[")-1))))</f>
        <v/>
      </c>
      <c r="DW1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3" t="n">
        <f aca="false">IF(OR(NOT(Tasks[[#This Row],[_IsLeaf]]=1),Tasks[[#This Row],[_Res2Row]]=0),0,N(Tasks[[#This Row],[_Days]])*HoursPerDay*IF(Tasks[[#This Row],[_Res2Units]]="",DefaultUnits,Tasks[[#This Row],[_Res2Units]]))</f>
        <v>0</v>
      </c>
      <c r="DY148" s="43" t="n">
        <f aca="false">IF(AND(AND(Tasks[[#This Row],[_IsLeaf]]=1,Tasks[[#This Row],[_LeafTotalWork]]&gt;0),Tasks[[#This Row],[_Res2Work]]&gt;0),Tasks[[#This Row],[_Res2Work]]/(Tasks[[#This Row],[_FinishWorkday]]-Tasks[[#This Row],[_StartWorkday]]+1),0)</f>
        <v>0</v>
      </c>
      <c r="DZ148" s="43" t="n">
        <f aca="false">Tasks[[#This Row],[_Res2WorkPerWD]]*MAX(0,Tasks[[#This Row],[_StartWorkday]]-1)</f>
        <v>0</v>
      </c>
      <c r="EA148" s="43" t="n">
        <f aca="false">Tasks[[#This Row],[_Res2Work]]*Tasks[[#This Row],[_LeafProgress]]</f>
        <v>0</v>
      </c>
      <c r="EB148" s="43" t="str">
        <f aca="false">IF(Tasks[[#This Row],[_Res3Text]]="","",IF(Tasks[[#This Row],[_Res3Row]]&gt;0,INDEX(res_Name,Tasks[[#This Row],[_Res3Row]]),TRIM(LEFT(Tasks[[#This Row],[_Res3Text]],FIND("[",Tasks[[#This Row],[_Res3Text]]&amp;"[")-1))))</f>
        <v/>
      </c>
      <c r="EC1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3" t="n">
        <f aca="false">IF(OR(NOT(Tasks[[#This Row],[_IsLeaf]]=1),Tasks[[#This Row],[_Res3Row]]=0),0,N(Tasks[[#This Row],[_Days]])*HoursPerDay*IF(Tasks[[#This Row],[_Res3Units]]="",DefaultUnits,Tasks[[#This Row],[_Res3Units]]))</f>
        <v>0</v>
      </c>
      <c r="EE148" s="43" t="n">
        <f aca="false">IF(AND(AND(Tasks[[#This Row],[_IsLeaf]]=1,Tasks[[#This Row],[_LeafTotalWork]]&gt;0),Tasks[[#This Row],[_Res3Work]]&gt;0),Tasks[[#This Row],[_Res3Work]]/(Tasks[[#This Row],[_FinishWorkday]]-Tasks[[#This Row],[_StartWorkday]]+1),0)</f>
        <v>0</v>
      </c>
      <c r="EF148" s="43" t="n">
        <f aca="false">Tasks[[#This Row],[_Res3WorkPerWD]]*MAX(0,Tasks[[#This Row],[_StartWorkday]]-1)</f>
        <v>0</v>
      </c>
      <c r="EG148" s="43" t="n">
        <f aca="false">Tasks[[#This Row],[_Res3Work]]*Tasks[[#This Row],[_LeafProgress]]</f>
        <v>0</v>
      </c>
      <c r="EH148" s="43" t="str">
        <f aca="false">IF(Tasks[[#This Row],[_Res4Text]]="","",IF(Tasks[[#This Row],[_Res4Row]]&gt;0,INDEX(res_Name,Tasks[[#This Row],[_Res4Row]]),TRIM(LEFT(Tasks[[#This Row],[_Res4Text]],FIND("[",Tasks[[#This Row],[_Res4Text]]&amp;"[")-1))))</f>
        <v/>
      </c>
      <c r="EI1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3" t="n">
        <f aca="false">IF(OR(NOT(Tasks[[#This Row],[_IsLeaf]]=1),Tasks[[#This Row],[_Res4Row]]=0),0,N(Tasks[[#This Row],[_Days]])*HoursPerDay*IF(Tasks[[#This Row],[_Res4Units]]="",DefaultUnits,Tasks[[#This Row],[_Res4Units]]))</f>
        <v>0</v>
      </c>
      <c r="EK148" s="43" t="n">
        <f aca="false">IF(AND(AND(Tasks[[#This Row],[_IsLeaf]]=1,Tasks[[#This Row],[_LeafTotalWork]]&gt;0),Tasks[[#This Row],[_Res4Work]]&gt;0),Tasks[[#This Row],[_Res4Work]]/(Tasks[[#This Row],[_FinishWorkday]]-Tasks[[#This Row],[_StartWorkday]]+1),0)</f>
        <v>0</v>
      </c>
      <c r="EL148" s="43" t="n">
        <f aca="false">Tasks[[#This Row],[_Res4WorkPerWD]]*MAX(0,Tasks[[#This Row],[_StartWorkday]]-1)</f>
        <v>0</v>
      </c>
      <c r="EM148" s="43" t="n">
        <f aca="false">Tasks[[#This Row],[_Res4Work]]*Tasks[[#This Row],[_LeafProgress]]</f>
        <v>0</v>
      </c>
      <c r="EN148" s="43" t="n">
        <f aca="false">IF(ISNUMBER(Tasks[[#This Row],[% Complete]]),Tasks[[#This Row],[% Complete]],IF(Tasks[[#This Row],[Stage]]="",0,IFERROR(INDEX(stg_Pct,MATCH(Tasks[[#This Row],[Stage]],stg_Name,0)),0)))</f>
        <v>0</v>
      </c>
      <c r="EO148" s="43" t="n">
        <f aca="false">IF(NOT(Tasks[[#This Row],[_IsLeaf]]=1),0,IF(N(Tasks[[#This Row],[Actual Finish]])&gt;0,1,MIN(1,Tasks[[#This Row],[_Pct]])))</f>
        <v>0</v>
      </c>
      <c r="EP148" s="43" t="n">
        <f aca="false">IF(OR(NOT(Tasks[[#This Row],[_IsLeaf]]=1),Tasks[[#This Row],[_Res1Row]]=0),0,N(Tasks[[#This Row],[_Days]])*HoursPerDay*IF(Tasks[[#This Row],[_Units1]]="",DefaultUnits,Tasks[[#This Row],[_Units1]]))</f>
        <v>0</v>
      </c>
      <c r="EQ148" s="43" t="n">
        <f aca="false">Tasks[[#This Row],[_LeafWork]]+Tasks[[#This Row],[_Res2Work]]+Tasks[[#This Row],[_Res3Work]]+Tasks[[#This Row],[_Res4Work]]</f>
        <v>0</v>
      </c>
      <c r="ER1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3" t="n">
        <f aca="false">IF(NOT(Tasks[[#This Row],[_IsLeaf]]=1),0,MAX(_xlfn.MAXIFS(Tasks[_Row],Tasks[_Pred1UID],Tasks[[#This Row],[UID]]),_xlfn.MAXIFS(Tasks[_Row],Tasks[_Pred2UID],Tasks[[#This Row],[UID]]),_xlfn.MAXIFS(Tasks[_Row],Tasks[_Pred3UID],Tasks[[#This Row],[UID]]),_xlfn.MAXIFS(Tasks[_Row],Tasks[_Pred4UID],Tasks[[#This Row],[UID]])))</f>
        <v>0</v>
      </c>
      <c r="FA1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91" t="str">
        <f aca="false">IF(NOT(Tasks[[#This Row],[_IsLeaf]]=1),"",IF(N(Tasks[[#This Row],[_Days]])&lt;=0,Tasks[[#This Row],[_LeafLateFinish]],WORKDAY.INTL(Tasks[[#This Row],[_LeafLateFinish]],-(Tasks[[#This Row],[_Days]]-1),WorkWeek,Holidays)))</f>
        <v/>
      </c>
      <c r="FD1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8" s="90" t="b">
        <f aca="false">AND(Tasks[[#This Row],[_IsLeaf]]=1,Tasks[[#This Row],[_LeafProgress]]&lt;1,N(Tasks[[#This Row],[_LeafTotalSlack]])&lt;=CriticalSlackDays)</f>
        <v>0</v>
      </c>
      <c r="FF148" s="43" t="n">
        <f aca="false">IF(AND(Tasks[[#This Row],[_IsLeaf]]=1,Tasks[[#This Row],[_ConstraintCode]]=1,Tasks[[#This Row],[Mode]]&lt;&gt;"Manual",N(Tasks[[#This Row],[Actual Start]])=0),MAX(0,N(Tasks[[#This Row],[Free Slack]])),0)</f>
        <v>0</v>
      </c>
      <c r="FG148" s="91" t="str">
        <f aca="false">IF(NOT(Tasks[[#This Row],[_IsLeaf]]=1),"",IF(Tasks[[#This Row],[_AlapShift]]=0,Tasks[[#This Row],[_LeafCalcStart]],WORKDAY.INTL(Tasks[[#This Row],[_LeafCalcStart]],Tasks[[#This Row],[_AlapShift]],WorkWeek,Holidays)))</f>
        <v/>
      </c>
      <c r="FH148" s="91" t="str">
        <f aca="false">IF(NOT(Tasks[[#This Row],[_IsLeaf]]=1),"",IF(Tasks[[#This Row],[_AlapShift]]=0,Tasks[[#This Row],[_LeafCalcFinish]],WORKDAY.INTL(Tasks[[#This Row],[_LeafCalcFinish]],Tasks[[#This Row],[_AlapShift]],WorkWeek,Holidays)))</f>
        <v/>
      </c>
      <c r="FI148" s="91" t="str">
        <f aca="false">IF(NOT(Tasks[[#This Row],[_IsLeaf]]=1),"",IF(Tasks[[#This Row],[_AlapShift]]=0,Tasks[[#This Row],[_LeafFcstStart]],WORKDAY.INTL(Tasks[[#This Row],[_LeafFcstStart]],Tasks[[#This Row],[_AlapShift]],WorkWeek,Holidays)))</f>
        <v/>
      </c>
      <c r="FJ148" s="91" t="str">
        <f aca="false">IF(NOT(Tasks[[#This Row],[_IsLeaf]]=1),"",IF(Tasks[[#This Row],[_AlapShift]]=0,Tasks[[#This Row],[_LeafFcstFinish]],WORKDAY.INTL(Tasks[[#This Row],[_LeafFcstFinish]],Tasks[[#This Row],[_AlapShift]],WorkWeek,Holidays)))</f>
        <v/>
      </c>
      <c r="FK148" s="91" t="str">
        <f aca="false">IF(Tasks[[#This Row],[Task Name]]="","",IF(Tasks[[#This Row],[_IsSummary]],MIN(INDEX(Tasks[_ShownCalcStart],Tasks[[#This Row],[_Row]]+1):INDEX(Tasks[_ShownCalcStart],Tasks[[#This Row],[_Row]]+Tasks[[#This Row],[_Descendants]])),Tasks[[#This Row],[_ShownCalcStart]]))</f>
        <v/>
      </c>
      <c r="FL148" s="91" t="str">
        <f aca="false">IF(Tasks[[#This Row],[Task Name]]="","",IF(Tasks[[#This Row],[_IsSummary]],MAX(INDEX(Tasks[_ShownCalcFinish],Tasks[[#This Row],[_Row]]+1):INDEX(Tasks[_ShownCalcFinish],Tasks[[#This Row],[_Row]]+Tasks[[#This Row],[_Descendants]])),Tasks[[#This Row],[_ShownCalcFinish]]))</f>
        <v/>
      </c>
      <c r="FM1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8" s="43" t="n">
        <f aca="false">IF(AND(Tasks[[#This Row],[_IsLeaf]]=1,Tasks[[#This Row],[_LeafTotalWork]]&gt;0),NETWORKDAYS.INTL(ProjectStart,Tasks[[#This Row],[_ShownFcstStart]],WorkWeek,Holidays),0)</f>
        <v>0</v>
      </c>
      <c r="FZ148" s="43" t="n">
        <f aca="false">IF(AND(Tasks[[#This Row],[_IsLeaf]]=1,Tasks[[#This Row],[_LeafTotalWork]]&gt;0),MAX(Tasks[[#This Row],[_StartWorkday]],NETWORKDAYS.INTL(ProjectStart,Tasks[[#This Row],[_ShownFcstFinish]],WorkWeek,Holidays)),0)</f>
        <v>0</v>
      </c>
      <c r="GA148" s="43" t="n">
        <f aca="false">IF(AND(Tasks[[#This Row],[_IsLeaf]]=1,Tasks[[#This Row],[_LeafTotalWork]]&gt;0),Tasks[[#This Row],[_LeafWork]]/(Tasks[[#This Row],[_FinishWorkday]]-Tasks[[#This Row],[_StartWorkday]]+1),0)</f>
        <v>0</v>
      </c>
      <c r="GB148" s="43" t="n">
        <f aca="false">Tasks[[#This Row],[_WorkPerWorkday]]*(Tasks[[#This Row],[_StartWorkday]]-1)</f>
        <v>-0</v>
      </c>
      <c r="GC148" s="43" t="n">
        <f aca="false">IF(Tasks[[#This Row],[_IsLeaf]]=1,MAX(N(Tasks[[#This Row],[_Days]]),0.1),0)</f>
        <v>0</v>
      </c>
      <c r="GD148" s="43" t="n">
        <f aca="false">Tasks[[#This Row],[_WeightDur]]*Tasks[[#This Row],[_LeafProgress]]</f>
        <v>0</v>
      </c>
      <c r="GE148" s="43" t="n">
        <f aca="false">Tasks[[#This Row],[_WeightDur]]*Tasks[[#This Row],[_PlannedPct]]</f>
        <v>0</v>
      </c>
      <c r="GF1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3" t="str">
        <f aca="false">IF(AND(Tasks[[#This Row],[_IsLeaf]]=1,N(Tasks[[#This Row],[_Days]])=0,Tasks[[#This Row],[_LeafProgress]]&lt;1),Tasks[[#This Row],[_ShownFcstFinish]]+Tasks[[#This Row],[_Row]]/100000,"")</f>
        <v/>
      </c>
      <c r="GH1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8" s="43" t="str">
        <f aca="false">IF(Tasks[[#This Row],[Task Name]]="","",LEFT(Tasks[[#This Row],[WBS]],FIND(".",Tasks[[#This Row],[WBS]]&amp;".")-1))</f>
        <v/>
      </c>
      <c r="GJ148" s="43" t="str">
        <f aca="false">IF(AND(Tasks[[#This Row],[Task Name]]&lt;&gt;"",Tasks[[#This Row],[_Level]]=1),Tasks[[#This Row],[_Row]],"")</f>
        <v/>
      </c>
      <c r="GK148" s="43" t="str">
        <f aca="false">IF(AND(Tasks[[#This Row],[_IsLeaf]]=1,N(Tasks[[#This Row],[_Days]])=0),Tasks[[#This Row],[Planned Finish]]+Tasks[[#This Row],[_Row]]/100000,"")</f>
        <v/>
      </c>
      <c r="GL148" s="43" t="str">
        <f aca="false">IF(AND(Tasks[[#This Row],[_IsLeaf]]=1,Tasks[[#This Row],[_LeafProgress]]&lt;1,OR(N(Tasks[[#This Row],[Finish Var]])&gt;0,Tasks[[#This Row],[Status]]="Late Start")),MAX(0,Tasks[[#This Row],[Finish Var]])+1-Tasks[[#This Row],[_Row]]/1000000,"")</f>
        <v/>
      </c>
      <c r="GM148" s="43" t="str">
        <f aca="false">IF(AND(Tasks[[#This Row],[_IsLeaf]]=1,N(Tasks[[#This Row],[Actual Start]])=0,Tasks[[#This Row],[_ShownFcstStart]]&gt;=StatusDate,Tasks[[#This Row],[_ShownFcstStart]]&lt;=LookaheadEnd),Tasks[[#This Row],[_ShownFcstStart]]+Tasks[[#This Row],[_Row]]/100000,"")</f>
        <v/>
      </c>
      <c r="GN148" s="43" t="str">
        <f aca="false">IF(AND(Tasks[[#This Row],[_IsLeaf]]=1,Tasks[[#This Row],[_LeafProgress]]&lt;1,Tasks[[#This Row],[_ShownFcstFinish]]&gt;=StatusDate,Tasks[[#This Row],[_ShownFcstFinish]]&lt;=LookaheadEnd),Tasks[[#This Row],[_ShownFcstFinish]]+Tasks[[#This Row],[_Row]]/100000,"")</f>
        <v/>
      </c>
      <c r="GO148" s="43" t="str">
        <f aca="false">IF(Tasks[[#This Row],[_LeafCritical]],Tasks[[#This Row],[_ShownFcstStart]]+Tasks[[#This Row],[_Row]]/100000,"")</f>
        <v/>
      </c>
      <c r="GP148" s="43" t="n">
        <f aca="false">Tasks[[#This Row],[_LeafWork]]*Tasks[[#This Row],[_LeafProgress]]</f>
        <v>0</v>
      </c>
      <c r="GQ148" s="91" t="str">
        <f aca="false">IF(AND(Tasks[[#This Row],[_IsLeaf]]=1,Tasks[[#This Row],[_LeafProgress]]&gt;=1),IF(N(Tasks[[#This Row],[Actual Finish]])&gt;0,Tasks[[#This Row],[Actual Finish]],Tasks[[#This Row],[_ShownFcstFinish]]),"")</f>
        <v/>
      </c>
      <c r="GR148" s="43" t="n">
        <f aca="false">IF(Tasks[[#This Row],[_IsLeaf]]=1,N(Tasks[[#This Row],[Story Points]]),0)</f>
        <v>0</v>
      </c>
      <c r="GS148" s="43" t="str">
        <f aca="false">""</f>
        <v/>
      </c>
      <c r="GT148" s="90" t="b">
        <f aca="false">IF(Tasks[[#This Row],[Task Name]]="",FALSE(),AND(Tasks[[#This Row],[_IsLeaf]]=1,N(Tasks[[#This Row],[_Days]])=0))</f>
        <v>0</v>
      </c>
      <c r="GU148" s="91" t="n">
        <f aca="false">IF(Tasks[[#This Row],[Task Name]]="",0,IF(AND(Tasks[[#This Row],[_IsLeaf]]=1,NOT(Tasks[[#This Row],[_IsMilestone]]),N(Tasks[[#This Row],[Progress]])&gt;0),Tasks[[#This Row],[Start]],0))</f>
        <v>0</v>
      </c>
      <c r="GV148" s="91" t="n">
        <f aca="false">IF(Tasks[[#This Row],[_DoneFrom]]=0,0,IF(Tasks[[#This Row],[Progress]]&gt;=1,Tasks[[#This Row],[Finish]],MAX(Tasks[[#This Row],[_DoneFrom]],Tasks[[#This Row],[Start]]+ROUND((Tasks[[#This Row],[Finish]]-Tasks[[#This Row],[Start]]+1)*Tasks[[#This Row],[Progress]],0)-1)))</f>
        <v>0</v>
      </c>
      <c r="GW148" s="91" t="n">
        <f aca="false">IF(Tasks[[#This Row],[Task Name]]="",0,IF(OR(NOT(Tasks[[#This Row],[_IsLeaf]]=1),Tasks[[#This Row],[_IsMilestone]],N(Tasks[[#This Row],[Progress]])&gt;=1),0,IF(Tasks[[#This Row],[_DoneTo]]&gt;0,Tasks[[#This Row],[_DoneTo]]+1,Tasks[[#This Row],[Start]])))</f>
        <v>0</v>
      </c>
      <c r="GX148" s="91" t="n">
        <f aca="false">IF(Tasks[[#This Row],[_RemFrom]]=0,0,Tasks[[#This Row],[Finish]])</f>
        <v>0</v>
      </c>
      <c r="GY148" s="90" t="b">
        <f aca="false">IF(Tasks[[#This Row],[Task Name]]="",FALSE(),OR(NOT(BaselineSet),N(Tasks[[#This Row],[Baseline Start]])&gt;0))</f>
        <v>0</v>
      </c>
      <c r="GZ14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92" t="str">
        <f aca="false">IF(Tasks[[#This Row],[_IsLeaf]]=1,Tasks[[#This Row],[_Row]],"")</f>
        <v/>
      </c>
      <c r="HD148" s="92" t="str">
        <f aca="false">IFERROR(INDEX(Tasks[UID],SMALL(Tasks[_PickKey],Tasks[[#This Row],[_Row]]))&amp;" "&amp;INDEX(Tasks[Task Name],SMALL(Tasks[_PickKey],Tasks[[#This Row],[_Row]])),"")</f>
        <v/>
      </c>
      <c r="HE148" s="43" t="str">
        <f aca="false">IF(Tasks[[#This Row],[Task Name]]="","",IF(Tasks[[#This Row],[_IsSummary]],NETWORKDAYS.INTL(Tasks[[#This Row],[Start]],Tasks[[#This Row],[Finish]],WorkWeek,Holidays),N(Tasks[[#This Row],[_Days]])))</f>
        <v/>
      </c>
      <c r="HF148" s="43" t="n">
        <f aca="false">IF(Tasks[[#This Row],[Expected]]="",0,((Tasks[[#This Row],[Pessimistic]]-Tasks[[#This Row],[Optimistic]])/6)^2)</f>
        <v>0</v>
      </c>
      <c r="HG148" s="43" t="n">
        <f aca="false">IF(Tasks[[#This Row],[Expected]]="",0,Tasks[[#This Row],[Expected]]-N(Tasks[[#This Row],[_Days]]))</f>
        <v>0</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4"/>
      <c r="U149" s="23"/>
      <c r="V149" s="84"/>
      <c r="W149" s="23"/>
      <c r="X149" s="84"/>
      <c r="Y149" s="23"/>
      <c r="Z149" s="84"/>
      <c r="AA149" s="23"/>
      <c r="AB149" s="23"/>
      <c r="AC149" s="7"/>
      <c r="AD149" s="7"/>
      <c r="AE149" s="63" t="str">
        <f aca="false">IF(Tasks[[#This Row],[Task Name]]="","",IF(Tasks[[#This Row],[_IsSummary]],MIN(INDEX(Tasks[_ShownFcstStart],Tasks[[#This Row],[_Row]]+1):INDEX(Tasks[_ShownFcstStart],Tasks[[#This Row],[_Row]]+Tasks[[#This Row],[_Descendants]])),Tasks[[#This Row],[_ShownFcstStart]]))</f>
        <v/>
      </c>
      <c r="AF149" s="63"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9" s="7"/>
      <c r="AK149" s="22"/>
      <c r="AL149" s="23"/>
      <c r="AM149" s="7"/>
      <c r="AN149" s="47"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3" t="str">
        <f aca="false">IF(Tasks[[#This Row],[Task Name]]="","",IF(N(Tasks[[#This Row],[Baseline Start]])&gt;0,Tasks[[#This Row],[Baseline Start]],Tasks[[#This Row],[_CalcStart]]))</f>
        <v/>
      </c>
      <c r="AR149" s="63" t="str">
        <f aca="false">IF(Tasks[[#This Row],[Task Name]]="","",IF(N(Tasks[[#This Row],[Baseline Finish]])&gt;0,Tasks[[#This Row],[Baseline Finish]],Tasks[[#This Row],[_CalcFinish]]))</f>
        <v/>
      </c>
      <c r="AS149" s="47" t="str">
        <f aca="false">IF(Tasks[[#This Row],[Task Name]]="","",IF(Tasks[[#This Row],[Start]]&gt;=Tasks[[#This Row],[Planned Start]],NETWORKDAYS.INTL(Tasks[[#This Row],[Planned Start]],Tasks[[#This Row],[Start]],WorkWeek,Holidays)-1,1-NETWORKDAYS.INTL(Tasks[[#This Row],[Start]],Tasks[[#This Row],[Planned Start]],WorkWeek,Holidays)))</f>
        <v/>
      </c>
      <c r="AT149" s="63" t="str">
        <f aca="false">IF(Tasks[[#This Row],[Task Name]]="","",IF(Tasks[[#This Row],[_IsSummary]],MIN(INDEX(Tasks[_LeafLateStart],Tasks[[#This Row],[_Row]]+1):INDEX(Tasks[_LeafLateStart],Tasks[[#This Row],[_Row]]+Tasks[[#This Row],[_Descendants]])),Tasks[[#This Row],[_LeafLateStart]]))</f>
        <v/>
      </c>
      <c r="AU149" s="63" t="str">
        <f aca="false">IF(Tasks[[#This Row],[Task Name]]="","",IF(Tasks[[#This Row],[_IsSummary]],MAX(INDEX(Tasks[_LeafLateFinish],Tasks[[#This Row],[_Row]]+1):INDEX(Tasks[_LeafLateFinish],Tasks[[#This Row],[_Row]]+Tasks[[#This Row],[_Descendants]])),Tasks[[#This Row],[_LeafLateFinish]]))</f>
        <v/>
      </c>
      <c r="AV149" s="47"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5"/>
      <c r="BA1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6"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7"/>
      <c r="BJ149" s="22"/>
      <c r="BK149" s="47" t="str">
        <f aca="false">IF(OR(Tasks[[#This Row],[Task Name]]="",Tasks[[#This Row],[Baseline Duration]]=""),"",Tasks[[#This Row],[_SpanDays]]-N(Tasks[[#This Row],[Baseline Duration]]))</f>
        <v/>
      </c>
      <c r="BL149" s="86" t="str">
        <f aca="false">IF(OR(Tasks[[#This Row],[Task Name]]="",Tasks[[#This Row],[Baseline Work]]=""),"",Tasks[[#This Row],[Work]]-N(Tasks[[#This Row],[Baseline Work]]))</f>
        <v/>
      </c>
      <c r="BM149" s="63" t="str">
        <f aca="false">IF(Tasks[[#This Row],[Task Name]]="","",IF(OR(TakeBaseline="Yes",N(Tasks[[#This Row],[Baseline Start]])=0),Tasks[[#This Row],[Start]],Tasks[[#This Row],[Baseline Start]]))</f>
        <v/>
      </c>
      <c r="BN149" s="63" t="str">
        <f aca="false">IF(Tasks[[#This Row],[Task Name]]="","",IF(OR(TakeBaseline="Yes",N(Tasks[[#This Row],[Baseline Finish]])=0),Tasks[[#This Row],[Finish]],Tasks[[#This Row],[Baseline Finish]]))</f>
        <v/>
      </c>
      <c r="BO149" s="21" t="str">
        <f aca="false">IF(Tasks[[#This Row],[Task Name]]="","",IF(OR(TakeBaseline="Yes",N(Tasks[[#This Row],[Baseline Duration]])=0),Tasks[[#This Row],[_SpanDays]],Tasks[[#This Row],[Baseline Duration]]))</f>
        <v/>
      </c>
      <c r="BP149" s="86" t="str">
        <f aca="false">IF(Tasks[[#This Row],[Task Name]]="","",IF(OR(TakeBaseline="Yes",N(Tasks[[#This Row],[Baseline Work]])=0),Tasks[[#This Row],[Work]],Tasks[[#This Row],[Baseline Work]]))</f>
        <v/>
      </c>
      <c r="BQ149" s="7"/>
      <c r="BR149" s="7"/>
      <c r="BS149" s="22"/>
      <c r="BT149" s="88"/>
      <c r="BU149" s="23"/>
      <c r="BV149" s="23"/>
      <c r="BW149" s="23"/>
      <c r="BX149" s="89" t="str">
        <f aca="false">IF(AND(Tasks[[#This Row],[_IsLeaf]]=1,ISNUMBER(Tasks[[#This Row],[Optimistic]]),ISNUMBER(Tasks[[#This Row],[Pessimistic]])),ROUND((Tasks[[#This Row],[Optimistic]]+4*N(Tasks[[#This Row],[_Days]])+Tasks[[#This Row],[Pessimistic]])/6,1),"")</f>
        <v/>
      </c>
      <c r="BY149" s="87"/>
      <c r="BZ149" s="87"/>
      <c r="CA149" s="22"/>
      <c r="CB149" s="43" t="str">
        <f aca="false">IF(Tasks[[#This Row],[Task Name]]="","",MAX(1,N(Tasks[[#This Row],[Level]])))</f>
        <v/>
      </c>
      <c r="CC149" s="43" t="n">
        <f aca="false">ROW()-ROW(Tasks[[#Headers],[ID]])</f>
        <v>144</v>
      </c>
      <c r="CD149" s="43" t="n">
        <f aca="false">IF(OR(Tasks[[#This Row],[Task Name]]="",Tasks[[#This Row],[_Level]]&lt;=1),0,IFERROR(LOOKUP(2,1/(Tasks[[#Headers],[_Level]]:Tasks[[#This Row],[_Level]]=Tasks[[#This Row],[_Level]]-1),ROW(Tasks[[#Headers],[_Level]]:Tasks[[#This Row],[_Level]])),0))</f>
        <v>0</v>
      </c>
      <c r="CE149" s="43" t="n">
        <f aca="false">IFERROR(N(INDEX(Tasks[_Level],Tasks[[#This Row],[_Row]]+1)),0)</f>
        <v>0</v>
      </c>
      <c r="CF149" s="90" t="b">
        <f aca="false">AND(Tasks[[#This Row],[Task Name]]&lt;&gt;"",Tasks[[#This Row],[_NextLevel]]&gt;Tasks[[#This Row],[_Level]])</f>
        <v>0</v>
      </c>
      <c r="CG149" s="43" t="n">
        <f aca="false">IF(Tasks[[#This Row],[_IsSummary]],COUNTIF(Tasks[WBS],Tasks[[#This Row],[WBS]]&amp;".*"),0)</f>
        <v>0</v>
      </c>
      <c r="CH149" s="43" t="n">
        <f aca="false">IF(AND(Tasks[[#This Row],[Task Name]]&lt;&gt;"",NOT(Tasks[[#This Row],[_IsSummary]])),1,0)</f>
        <v>0</v>
      </c>
      <c r="CI149" s="43" t="n">
        <f aca="false">IF(N(Tasks[[#This Row],[_Pred1UID]])=0,0,IFERROR(MATCH(Tasks[[#This Row],[_Pred1UID]],Tasks[UID],0),-1))</f>
        <v>0</v>
      </c>
      <c r="CJ149" s="43" t="n">
        <f aca="false">IF(N(Tasks[[#This Row],[_Pred2UID]])=0,0,IFERROR(MATCH(Tasks[[#This Row],[_Pred2UID]],Tasks[UID],0),-1))</f>
        <v>0</v>
      </c>
      <c r="CK149" s="43" t="n">
        <f aca="false">IF(N(Tasks[[#This Row],[_Pred3UID]])=0,0,IFERROR(MATCH(Tasks[[#This Row],[_Pred3UID]],Tasks[UID],0),-1))</f>
        <v>0</v>
      </c>
      <c r="CL149" s="43" t="n">
        <f aca="false">IF(N(Tasks[[#This Row],[_Pred4UID]])=0,0,IFERROR(MATCH(Tasks[[#This Row],[_Pred4UID]],Tasks[UID],0),-1))</f>
        <v>0</v>
      </c>
      <c r="CM1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9" s="91" t="n">
        <f aca="false">IF(OR(Tasks[[#This Row],[_ConstraintCode]]=2,Tasks[[#This Row],[_ConstraintCode]]=3,Tasks[[#This Row],[_ConstraintCode]]=4,Tasks[[#This Row],[_ConstraintCode]]=6),Tasks[[#This Row],[_ConstraintStart]],0)</f>
        <v>0</v>
      </c>
      <c r="CP149" s="91" t="n">
        <f aca="false">IF(OR(Tasks[[#This Row],[_ConstraintCode]]=2,Tasks[[#This Row],[_ConstraintCode]]=3,Tasks[[#This Row],[_ConstraintCode]]=5,Tasks[[#This Row],[_ConstraintCode]]=7),Tasks[[#This Row],[_ConstraintStart]],2958465)</f>
        <v>2958465</v>
      </c>
      <c r="CQ1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91" t="str">
        <f aca="false">IF(NOT(Tasks[[#This Row],[_IsLeaf]]=1),"",IF(N(Tasks[[#This Row],[_Days]])&lt;=0,Tasks[[#This Row],[_LeafCalcStart]],WORKDAY.INTL(Tasks[[#This Row],[_LeafCalcStart]],Tasks[[#This Row],[_Days]]-1,WorkWeek,Holidays)))</f>
        <v/>
      </c>
      <c r="CS1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3" t="str">
        <f aca="false">IF(Tasks[[#This Row],[_Predecessors]]="","",TRIM(MID(SUBSTITUTE(SUBSTITUTE(SUBSTITUTE(UPPER(Tasks[[#This Row],[_Predecessors]]),";",",")," ",""),",",REPT(" ",99)),1,99)))</f>
        <v/>
      </c>
      <c r="CV149" s="43" t="str">
        <f aca="false">IF(Tasks[[#This Row],[_Pred1Text]]="","",IFERROR(VALUE(LEFT(Tasks[[#This Row],[_Pred1Text]],MIN(FIND("F",Tasks[[#This Row],[_Pred1Text]]&amp;"F"),FIND("S",Tasks[[#This Row],[_Pred1Text]]&amp;"S"),FIND("+",Tasks[[#This Row],[_Pred1Text]]&amp;"+"),FIND("-",Tasks[[#This Row],[_Pred1Text]]&amp;"-"))-1)),""))</f>
        <v/>
      </c>
      <c r="CW1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3" t="str">
        <f aca="false">IF(Tasks[[#This Row],[_Pred1Text]]="","",TRIM(MID(SUBSTITUTE(SUBSTITUTE(SUBSTITUTE(UPPER(Tasks[[#This Row],[_Predecessors]]),";",",")," ",""),",",REPT(" ",99)),100,99)))</f>
        <v/>
      </c>
      <c r="CZ149" s="43" t="str">
        <f aca="false">IF(Tasks[[#This Row],[_Pred2Text]]="","",IFERROR(VALUE(LEFT(Tasks[[#This Row],[_Pred2Text]],MIN(FIND("F",Tasks[[#This Row],[_Pred2Text]]&amp;"F"),FIND("S",Tasks[[#This Row],[_Pred2Text]]&amp;"S"),FIND("+",Tasks[[#This Row],[_Pred2Text]]&amp;"+"),FIND("-",Tasks[[#This Row],[_Pred2Text]]&amp;"-"))-1)),""))</f>
        <v/>
      </c>
      <c r="DA1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3" t="str">
        <f aca="false">IF(Tasks[[#This Row],[_Pred2Text]]="","",TRIM(MID(SUBSTITUTE(SUBSTITUTE(SUBSTITUTE(UPPER(Tasks[[#This Row],[_Predecessors]]),";",",")," ",""),",",REPT(" ",99)),199,99)))</f>
        <v/>
      </c>
      <c r="DD149" s="43" t="str">
        <f aca="false">IF(Tasks[[#This Row],[_Pred3Text]]="","",IFERROR(VALUE(LEFT(Tasks[[#This Row],[_Pred3Text]],MIN(FIND("F",Tasks[[#This Row],[_Pred3Text]]&amp;"F"),FIND("S",Tasks[[#This Row],[_Pred3Text]]&amp;"S"),FIND("+",Tasks[[#This Row],[_Pred3Text]]&amp;"+"),FIND("-",Tasks[[#This Row],[_Pred3Text]]&amp;"-"))-1)),""))</f>
        <v/>
      </c>
      <c r="DE1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3" t="str">
        <f aca="false">IF(Tasks[[#This Row],[_Pred3Text]]="","",TRIM(MID(SUBSTITUTE(SUBSTITUTE(SUBSTITUTE(UPPER(Tasks[[#This Row],[_Predecessors]]),";",",")," ",""),",",REPT(" ",99)),298,99)))</f>
        <v/>
      </c>
      <c r="DH149" s="43" t="str">
        <f aca="false">IF(Tasks[[#This Row],[_Pred4Text]]="","",IFERROR(VALUE(LEFT(Tasks[[#This Row],[_Pred4Text]],MIN(FIND("F",Tasks[[#This Row],[_Pred4Text]]&amp;"F"),FIND("S",Tasks[[#This Row],[_Pred4Text]]&amp;"S"),FIND("+",Tasks[[#This Row],[_Pred4Text]]&amp;"+"),FIND("-",Tasks[[#This Row],[_Pred4Text]]&amp;"-"))-1)),""))</f>
        <v/>
      </c>
      <c r="DI1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3" t="str">
        <f aca="false">IF(OR(Tasks[[#This Row],[Task Name]]="",Tasks[[#This Row],[_Resources]]=""),"",TRIM(MID(SUBSTITUTE(Tasks[[#This Row],[_Resources]],",",REPT(" ",99)),1,99)))</f>
        <v/>
      </c>
      <c r="DL149" s="43" t="str">
        <f aca="false">IF(Tasks[[#This Row],[_Res1Text]]="","",TRIM(MID(SUBSTITUTE(Tasks[[#This Row],[_Resources]],",",REPT(" ",99)),100,99)))</f>
        <v/>
      </c>
      <c r="DM149" s="43" t="str">
        <f aca="false">IF(Tasks[[#This Row],[_Res2Text]]="","",TRIM(MID(SUBSTITUTE(Tasks[[#This Row],[_Resources]],",",REPT(" ",99)),199,99)))</f>
        <v/>
      </c>
      <c r="DN149" s="43" t="str">
        <f aca="false">IF(Tasks[[#This Row],[_Res3Text]]="","",TRIM(MID(SUBSTITUTE(Tasks[[#This Row],[_Resources]],",",REPT(" ",99)),298,99)))</f>
        <v/>
      </c>
      <c r="DO149" s="43" t="n">
        <f aca="false">IF(Tasks[[#This Row],[_Res1Text]]="",0,IFERROR(MATCH(TRIM(LEFT(Tasks[[#This Row],[_Res1Text]],FIND("[",Tasks[[#This Row],[_Res1Text]]&amp;"[")-1)),res_Name,0),IFERROR(MATCH(TRIM(LEFT(Tasks[[#This Row],[_Res1Text]],FIND("[",Tasks[[#This Row],[_Res1Text]]&amp;"[")-1)),res_Initials,0),0)))</f>
        <v>0</v>
      </c>
      <c r="DP149" s="43" t="n">
        <f aca="false">IF(Tasks[[#This Row],[_Res2Text]]="",0,IFERROR(MATCH(TRIM(LEFT(Tasks[[#This Row],[_Res2Text]],FIND("[",Tasks[[#This Row],[_Res2Text]]&amp;"[")-1)),res_Name,0),IFERROR(MATCH(TRIM(LEFT(Tasks[[#This Row],[_Res2Text]],FIND("[",Tasks[[#This Row],[_Res2Text]]&amp;"[")-1)),res_Initials,0),0)))</f>
        <v>0</v>
      </c>
      <c r="DQ149" s="43" t="n">
        <f aca="false">IF(Tasks[[#This Row],[_Res3Text]]="",0,IFERROR(MATCH(TRIM(LEFT(Tasks[[#This Row],[_Res3Text]],FIND("[",Tasks[[#This Row],[_Res3Text]]&amp;"[")-1)),res_Name,0),IFERROR(MATCH(TRIM(LEFT(Tasks[[#This Row],[_Res3Text]],FIND("[",Tasks[[#This Row],[_Res3Text]]&amp;"[")-1)),res_Initials,0),0)))</f>
        <v>0</v>
      </c>
      <c r="DR149" s="43" t="n">
        <f aca="false">IF(Tasks[[#This Row],[_Res4Text]]="",0,IFERROR(MATCH(TRIM(LEFT(Tasks[[#This Row],[_Res4Text]],FIND("[",Tasks[[#This Row],[_Res4Text]]&amp;"[")-1)),res_Name,0),IFERROR(MATCH(TRIM(LEFT(Tasks[[#This Row],[_Res4Text]],FIND("[",Tasks[[#This Row],[_Res4Text]]&amp;"[")-1)),res_Initials,0),0)))</f>
        <v>0</v>
      </c>
      <c r="DS149" s="43" t="str">
        <f aca="false">IF(Tasks[[#This Row],[_Res1Text]]="","",IF(Tasks[[#This Row],[_Res1Row]]&gt;0,INDEX(res_Name,Tasks[[#This Row],[_Res1Row]]),TRIM(LEFT(Tasks[[#This Row],[_Res1Text]],FIND("[",Tasks[[#This Row],[_Res1Text]]&amp;"[")-1))))</f>
        <v/>
      </c>
      <c r="DT1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3" t="n">
        <f aca="false">IF(NOT(Tasks[[#This Row],[_IsLeaf]]=1),0,(Tasks[[#This Row],[_Resource1]]&lt;&gt;"")+(Tasks[[#This Row],[_Res2]]&lt;&gt;"")+(Tasks[[#This Row],[_Res3]]&lt;&gt;"")+(Tasks[[#This Row],[_Res4]]&lt;&gt;""))</f>
        <v>0</v>
      </c>
      <c r="DV149" s="43" t="str">
        <f aca="false">IF(Tasks[[#This Row],[_Res2Text]]="","",IF(Tasks[[#This Row],[_Res2Row]]&gt;0,INDEX(res_Name,Tasks[[#This Row],[_Res2Row]]),TRIM(LEFT(Tasks[[#This Row],[_Res2Text]],FIND("[",Tasks[[#This Row],[_Res2Text]]&amp;"[")-1))))</f>
        <v/>
      </c>
      <c r="DW1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3" t="n">
        <f aca="false">IF(OR(NOT(Tasks[[#This Row],[_IsLeaf]]=1),Tasks[[#This Row],[_Res2Row]]=0),0,N(Tasks[[#This Row],[_Days]])*HoursPerDay*IF(Tasks[[#This Row],[_Res2Units]]="",DefaultUnits,Tasks[[#This Row],[_Res2Units]]))</f>
        <v>0</v>
      </c>
      <c r="DY149" s="43" t="n">
        <f aca="false">IF(AND(AND(Tasks[[#This Row],[_IsLeaf]]=1,Tasks[[#This Row],[_LeafTotalWork]]&gt;0),Tasks[[#This Row],[_Res2Work]]&gt;0),Tasks[[#This Row],[_Res2Work]]/(Tasks[[#This Row],[_FinishWorkday]]-Tasks[[#This Row],[_StartWorkday]]+1),0)</f>
        <v>0</v>
      </c>
      <c r="DZ149" s="43" t="n">
        <f aca="false">Tasks[[#This Row],[_Res2WorkPerWD]]*MAX(0,Tasks[[#This Row],[_StartWorkday]]-1)</f>
        <v>0</v>
      </c>
      <c r="EA149" s="43" t="n">
        <f aca="false">Tasks[[#This Row],[_Res2Work]]*Tasks[[#This Row],[_LeafProgress]]</f>
        <v>0</v>
      </c>
      <c r="EB149" s="43" t="str">
        <f aca="false">IF(Tasks[[#This Row],[_Res3Text]]="","",IF(Tasks[[#This Row],[_Res3Row]]&gt;0,INDEX(res_Name,Tasks[[#This Row],[_Res3Row]]),TRIM(LEFT(Tasks[[#This Row],[_Res3Text]],FIND("[",Tasks[[#This Row],[_Res3Text]]&amp;"[")-1))))</f>
        <v/>
      </c>
      <c r="EC1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3" t="n">
        <f aca="false">IF(OR(NOT(Tasks[[#This Row],[_IsLeaf]]=1),Tasks[[#This Row],[_Res3Row]]=0),0,N(Tasks[[#This Row],[_Days]])*HoursPerDay*IF(Tasks[[#This Row],[_Res3Units]]="",DefaultUnits,Tasks[[#This Row],[_Res3Units]]))</f>
        <v>0</v>
      </c>
      <c r="EE149" s="43" t="n">
        <f aca="false">IF(AND(AND(Tasks[[#This Row],[_IsLeaf]]=1,Tasks[[#This Row],[_LeafTotalWork]]&gt;0),Tasks[[#This Row],[_Res3Work]]&gt;0),Tasks[[#This Row],[_Res3Work]]/(Tasks[[#This Row],[_FinishWorkday]]-Tasks[[#This Row],[_StartWorkday]]+1),0)</f>
        <v>0</v>
      </c>
      <c r="EF149" s="43" t="n">
        <f aca="false">Tasks[[#This Row],[_Res3WorkPerWD]]*MAX(0,Tasks[[#This Row],[_StartWorkday]]-1)</f>
        <v>0</v>
      </c>
      <c r="EG149" s="43" t="n">
        <f aca="false">Tasks[[#This Row],[_Res3Work]]*Tasks[[#This Row],[_LeafProgress]]</f>
        <v>0</v>
      </c>
      <c r="EH149" s="43" t="str">
        <f aca="false">IF(Tasks[[#This Row],[_Res4Text]]="","",IF(Tasks[[#This Row],[_Res4Row]]&gt;0,INDEX(res_Name,Tasks[[#This Row],[_Res4Row]]),TRIM(LEFT(Tasks[[#This Row],[_Res4Text]],FIND("[",Tasks[[#This Row],[_Res4Text]]&amp;"[")-1))))</f>
        <v/>
      </c>
      <c r="EI1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3" t="n">
        <f aca="false">IF(OR(NOT(Tasks[[#This Row],[_IsLeaf]]=1),Tasks[[#This Row],[_Res4Row]]=0),0,N(Tasks[[#This Row],[_Days]])*HoursPerDay*IF(Tasks[[#This Row],[_Res4Units]]="",DefaultUnits,Tasks[[#This Row],[_Res4Units]]))</f>
        <v>0</v>
      </c>
      <c r="EK149" s="43" t="n">
        <f aca="false">IF(AND(AND(Tasks[[#This Row],[_IsLeaf]]=1,Tasks[[#This Row],[_LeafTotalWork]]&gt;0),Tasks[[#This Row],[_Res4Work]]&gt;0),Tasks[[#This Row],[_Res4Work]]/(Tasks[[#This Row],[_FinishWorkday]]-Tasks[[#This Row],[_StartWorkday]]+1),0)</f>
        <v>0</v>
      </c>
      <c r="EL149" s="43" t="n">
        <f aca="false">Tasks[[#This Row],[_Res4WorkPerWD]]*MAX(0,Tasks[[#This Row],[_StartWorkday]]-1)</f>
        <v>0</v>
      </c>
      <c r="EM149" s="43" t="n">
        <f aca="false">Tasks[[#This Row],[_Res4Work]]*Tasks[[#This Row],[_LeafProgress]]</f>
        <v>0</v>
      </c>
      <c r="EN149" s="43" t="n">
        <f aca="false">IF(ISNUMBER(Tasks[[#This Row],[% Complete]]),Tasks[[#This Row],[% Complete]],IF(Tasks[[#This Row],[Stage]]="",0,IFERROR(INDEX(stg_Pct,MATCH(Tasks[[#This Row],[Stage]],stg_Name,0)),0)))</f>
        <v>0</v>
      </c>
      <c r="EO149" s="43" t="n">
        <f aca="false">IF(NOT(Tasks[[#This Row],[_IsLeaf]]=1),0,IF(N(Tasks[[#This Row],[Actual Finish]])&gt;0,1,MIN(1,Tasks[[#This Row],[_Pct]])))</f>
        <v>0</v>
      </c>
      <c r="EP149" s="43" t="n">
        <f aca="false">IF(OR(NOT(Tasks[[#This Row],[_IsLeaf]]=1),Tasks[[#This Row],[_Res1Row]]=0),0,N(Tasks[[#This Row],[_Days]])*HoursPerDay*IF(Tasks[[#This Row],[_Units1]]="",DefaultUnits,Tasks[[#This Row],[_Units1]]))</f>
        <v>0</v>
      </c>
      <c r="EQ149" s="43" t="n">
        <f aca="false">Tasks[[#This Row],[_LeafWork]]+Tasks[[#This Row],[_Res2Work]]+Tasks[[#This Row],[_Res3Work]]+Tasks[[#This Row],[_Res4Work]]</f>
        <v>0</v>
      </c>
      <c r="ER1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3" t="n">
        <f aca="false">IF(NOT(Tasks[[#This Row],[_IsLeaf]]=1),0,MAX(_xlfn.MAXIFS(Tasks[_Row],Tasks[_Pred1UID],Tasks[[#This Row],[UID]]),_xlfn.MAXIFS(Tasks[_Row],Tasks[_Pred2UID],Tasks[[#This Row],[UID]]),_xlfn.MAXIFS(Tasks[_Row],Tasks[_Pred3UID],Tasks[[#This Row],[UID]]),_xlfn.MAXIFS(Tasks[_Row],Tasks[_Pred4UID],Tasks[[#This Row],[UID]])))</f>
        <v>0</v>
      </c>
      <c r="FA1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91" t="str">
        <f aca="false">IF(NOT(Tasks[[#This Row],[_IsLeaf]]=1),"",IF(N(Tasks[[#This Row],[_Days]])&lt;=0,Tasks[[#This Row],[_LeafLateFinish]],WORKDAY.INTL(Tasks[[#This Row],[_LeafLateFinish]],-(Tasks[[#This Row],[_Days]]-1),WorkWeek,Holidays)))</f>
        <v/>
      </c>
      <c r="FD1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9" s="90" t="b">
        <f aca="false">AND(Tasks[[#This Row],[_IsLeaf]]=1,Tasks[[#This Row],[_LeafProgress]]&lt;1,N(Tasks[[#This Row],[_LeafTotalSlack]])&lt;=CriticalSlackDays)</f>
        <v>0</v>
      </c>
      <c r="FF149" s="43" t="n">
        <f aca="false">IF(AND(Tasks[[#This Row],[_IsLeaf]]=1,Tasks[[#This Row],[_ConstraintCode]]=1,Tasks[[#This Row],[Mode]]&lt;&gt;"Manual",N(Tasks[[#This Row],[Actual Start]])=0),MAX(0,N(Tasks[[#This Row],[Free Slack]])),0)</f>
        <v>0</v>
      </c>
      <c r="FG149" s="91" t="str">
        <f aca="false">IF(NOT(Tasks[[#This Row],[_IsLeaf]]=1),"",IF(Tasks[[#This Row],[_AlapShift]]=0,Tasks[[#This Row],[_LeafCalcStart]],WORKDAY.INTL(Tasks[[#This Row],[_LeafCalcStart]],Tasks[[#This Row],[_AlapShift]],WorkWeek,Holidays)))</f>
        <v/>
      </c>
      <c r="FH149" s="91" t="str">
        <f aca="false">IF(NOT(Tasks[[#This Row],[_IsLeaf]]=1),"",IF(Tasks[[#This Row],[_AlapShift]]=0,Tasks[[#This Row],[_LeafCalcFinish]],WORKDAY.INTL(Tasks[[#This Row],[_LeafCalcFinish]],Tasks[[#This Row],[_AlapShift]],WorkWeek,Holidays)))</f>
        <v/>
      </c>
      <c r="FI149" s="91" t="str">
        <f aca="false">IF(NOT(Tasks[[#This Row],[_IsLeaf]]=1),"",IF(Tasks[[#This Row],[_AlapShift]]=0,Tasks[[#This Row],[_LeafFcstStart]],WORKDAY.INTL(Tasks[[#This Row],[_LeafFcstStart]],Tasks[[#This Row],[_AlapShift]],WorkWeek,Holidays)))</f>
        <v/>
      </c>
      <c r="FJ149" s="91" t="str">
        <f aca="false">IF(NOT(Tasks[[#This Row],[_IsLeaf]]=1),"",IF(Tasks[[#This Row],[_AlapShift]]=0,Tasks[[#This Row],[_LeafFcstFinish]],WORKDAY.INTL(Tasks[[#This Row],[_LeafFcstFinish]],Tasks[[#This Row],[_AlapShift]],WorkWeek,Holidays)))</f>
        <v/>
      </c>
      <c r="FK149" s="91" t="str">
        <f aca="false">IF(Tasks[[#This Row],[Task Name]]="","",IF(Tasks[[#This Row],[_IsSummary]],MIN(INDEX(Tasks[_ShownCalcStart],Tasks[[#This Row],[_Row]]+1):INDEX(Tasks[_ShownCalcStart],Tasks[[#This Row],[_Row]]+Tasks[[#This Row],[_Descendants]])),Tasks[[#This Row],[_ShownCalcStart]]))</f>
        <v/>
      </c>
      <c r="FL149" s="91" t="str">
        <f aca="false">IF(Tasks[[#This Row],[Task Name]]="","",IF(Tasks[[#This Row],[_IsSummary]],MAX(INDEX(Tasks[_ShownCalcFinish],Tasks[[#This Row],[_Row]]+1):INDEX(Tasks[_ShownCalcFinish],Tasks[[#This Row],[_Row]]+Tasks[[#This Row],[_Descendants]])),Tasks[[#This Row],[_ShownCalcFinish]]))</f>
        <v/>
      </c>
      <c r="FM1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9" s="43" t="n">
        <f aca="false">IF(AND(Tasks[[#This Row],[_IsLeaf]]=1,Tasks[[#This Row],[_LeafTotalWork]]&gt;0),NETWORKDAYS.INTL(ProjectStart,Tasks[[#This Row],[_ShownFcstStart]],WorkWeek,Holidays),0)</f>
        <v>0</v>
      </c>
      <c r="FZ149" s="43" t="n">
        <f aca="false">IF(AND(Tasks[[#This Row],[_IsLeaf]]=1,Tasks[[#This Row],[_LeafTotalWork]]&gt;0),MAX(Tasks[[#This Row],[_StartWorkday]],NETWORKDAYS.INTL(ProjectStart,Tasks[[#This Row],[_ShownFcstFinish]],WorkWeek,Holidays)),0)</f>
        <v>0</v>
      </c>
      <c r="GA149" s="43" t="n">
        <f aca="false">IF(AND(Tasks[[#This Row],[_IsLeaf]]=1,Tasks[[#This Row],[_LeafTotalWork]]&gt;0),Tasks[[#This Row],[_LeafWork]]/(Tasks[[#This Row],[_FinishWorkday]]-Tasks[[#This Row],[_StartWorkday]]+1),0)</f>
        <v>0</v>
      </c>
      <c r="GB149" s="43" t="n">
        <f aca="false">Tasks[[#This Row],[_WorkPerWorkday]]*(Tasks[[#This Row],[_StartWorkday]]-1)</f>
        <v>-0</v>
      </c>
      <c r="GC149" s="43" t="n">
        <f aca="false">IF(Tasks[[#This Row],[_IsLeaf]]=1,MAX(N(Tasks[[#This Row],[_Days]]),0.1),0)</f>
        <v>0</v>
      </c>
      <c r="GD149" s="43" t="n">
        <f aca="false">Tasks[[#This Row],[_WeightDur]]*Tasks[[#This Row],[_LeafProgress]]</f>
        <v>0</v>
      </c>
      <c r="GE149" s="43" t="n">
        <f aca="false">Tasks[[#This Row],[_WeightDur]]*Tasks[[#This Row],[_PlannedPct]]</f>
        <v>0</v>
      </c>
      <c r="GF1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3" t="str">
        <f aca="false">IF(AND(Tasks[[#This Row],[_IsLeaf]]=1,N(Tasks[[#This Row],[_Days]])=0,Tasks[[#This Row],[_LeafProgress]]&lt;1),Tasks[[#This Row],[_ShownFcstFinish]]+Tasks[[#This Row],[_Row]]/100000,"")</f>
        <v/>
      </c>
      <c r="GH1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9" s="43" t="str">
        <f aca="false">IF(Tasks[[#This Row],[Task Name]]="","",LEFT(Tasks[[#This Row],[WBS]],FIND(".",Tasks[[#This Row],[WBS]]&amp;".")-1))</f>
        <v/>
      </c>
      <c r="GJ149" s="43" t="str">
        <f aca="false">IF(AND(Tasks[[#This Row],[Task Name]]&lt;&gt;"",Tasks[[#This Row],[_Level]]=1),Tasks[[#This Row],[_Row]],"")</f>
        <v/>
      </c>
      <c r="GK149" s="43" t="str">
        <f aca="false">IF(AND(Tasks[[#This Row],[_IsLeaf]]=1,N(Tasks[[#This Row],[_Days]])=0),Tasks[[#This Row],[Planned Finish]]+Tasks[[#This Row],[_Row]]/100000,"")</f>
        <v/>
      </c>
      <c r="GL149" s="43" t="str">
        <f aca="false">IF(AND(Tasks[[#This Row],[_IsLeaf]]=1,Tasks[[#This Row],[_LeafProgress]]&lt;1,OR(N(Tasks[[#This Row],[Finish Var]])&gt;0,Tasks[[#This Row],[Status]]="Late Start")),MAX(0,Tasks[[#This Row],[Finish Var]])+1-Tasks[[#This Row],[_Row]]/1000000,"")</f>
        <v/>
      </c>
      <c r="GM149" s="43" t="str">
        <f aca="false">IF(AND(Tasks[[#This Row],[_IsLeaf]]=1,N(Tasks[[#This Row],[Actual Start]])=0,Tasks[[#This Row],[_ShownFcstStart]]&gt;=StatusDate,Tasks[[#This Row],[_ShownFcstStart]]&lt;=LookaheadEnd),Tasks[[#This Row],[_ShownFcstStart]]+Tasks[[#This Row],[_Row]]/100000,"")</f>
        <v/>
      </c>
      <c r="GN149" s="43" t="str">
        <f aca="false">IF(AND(Tasks[[#This Row],[_IsLeaf]]=1,Tasks[[#This Row],[_LeafProgress]]&lt;1,Tasks[[#This Row],[_ShownFcstFinish]]&gt;=StatusDate,Tasks[[#This Row],[_ShownFcstFinish]]&lt;=LookaheadEnd),Tasks[[#This Row],[_ShownFcstFinish]]+Tasks[[#This Row],[_Row]]/100000,"")</f>
        <v/>
      </c>
      <c r="GO149" s="43" t="str">
        <f aca="false">IF(Tasks[[#This Row],[_LeafCritical]],Tasks[[#This Row],[_ShownFcstStart]]+Tasks[[#This Row],[_Row]]/100000,"")</f>
        <v/>
      </c>
      <c r="GP149" s="43" t="n">
        <f aca="false">Tasks[[#This Row],[_LeafWork]]*Tasks[[#This Row],[_LeafProgress]]</f>
        <v>0</v>
      </c>
      <c r="GQ149" s="91" t="str">
        <f aca="false">IF(AND(Tasks[[#This Row],[_IsLeaf]]=1,Tasks[[#This Row],[_LeafProgress]]&gt;=1),IF(N(Tasks[[#This Row],[Actual Finish]])&gt;0,Tasks[[#This Row],[Actual Finish]],Tasks[[#This Row],[_ShownFcstFinish]]),"")</f>
        <v/>
      </c>
      <c r="GR149" s="43" t="n">
        <f aca="false">IF(Tasks[[#This Row],[_IsLeaf]]=1,N(Tasks[[#This Row],[Story Points]]),0)</f>
        <v>0</v>
      </c>
      <c r="GS149" s="43" t="str">
        <f aca="false">""</f>
        <v/>
      </c>
      <c r="GT149" s="90" t="b">
        <f aca="false">IF(Tasks[[#This Row],[Task Name]]="",FALSE(),AND(Tasks[[#This Row],[_IsLeaf]]=1,N(Tasks[[#This Row],[_Days]])=0))</f>
        <v>0</v>
      </c>
      <c r="GU149" s="91" t="n">
        <f aca="false">IF(Tasks[[#This Row],[Task Name]]="",0,IF(AND(Tasks[[#This Row],[_IsLeaf]]=1,NOT(Tasks[[#This Row],[_IsMilestone]]),N(Tasks[[#This Row],[Progress]])&gt;0),Tasks[[#This Row],[Start]],0))</f>
        <v>0</v>
      </c>
      <c r="GV149" s="91" t="n">
        <f aca="false">IF(Tasks[[#This Row],[_DoneFrom]]=0,0,IF(Tasks[[#This Row],[Progress]]&gt;=1,Tasks[[#This Row],[Finish]],MAX(Tasks[[#This Row],[_DoneFrom]],Tasks[[#This Row],[Start]]+ROUND((Tasks[[#This Row],[Finish]]-Tasks[[#This Row],[Start]]+1)*Tasks[[#This Row],[Progress]],0)-1)))</f>
        <v>0</v>
      </c>
      <c r="GW149" s="91" t="n">
        <f aca="false">IF(Tasks[[#This Row],[Task Name]]="",0,IF(OR(NOT(Tasks[[#This Row],[_IsLeaf]]=1),Tasks[[#This Row],[_IsMilestone]],N(Tasks[[#This Row],[Progress]])&gt;=1),0,IF(Tasks[[#This Row],[_DoneTo]]&gt;0,Tasks[[#This Row],[_DoneTo]]+1,Tasks[[#This Row],[Start]])))</f>
        <v>0</v>
      </c>
      <c r="GX149" s="91" t="n">
        <f aca="false">IF(Tasks[[#This Row],[_RemFrom]]=0,0,Tasks[[#This Row],[Finish]])</f>
        <v>0</v>
      </c>
      <c r="GY149" s="90" t="b">
        <f aca="false">IF(Tasks[[#This Row],[Task Name]]="",FALSE(),OR(NOT(BaselineSet),N(Tasks[[#This Row],[Baseline Start]])&gt;0))</f>
        <v>0</v>
      </c>
      <c r="GZ14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92" t="str">
        <f aca="false">IF(Tasks[[#This Row],[_IsLeaf]]=1,Tasks[[#This Row],[_Row]],"")</f>
        <v/>
      </c>
      <c r="HD149" s="92" t="str">
        <f aca="false">IFERROR(INDEX(Tasks[UID],SMALL(Tasks[_PickKey],Tasks[[#This Row],[_Row]]))&amp;" "&amp;INDEX(Tasks[Task Name],SMALL(Tasks[_PickKey],Tasks[[#This Row],[_Row]])),"")</f>
        <v/>
      </c>
      <c r="HE149" s="43" t="str">
        <f aca="false">IF(Tasks[[#This Row],[Task Name]]="","",IF(Tasks[[#This Row],[_IsSummary]],NETWORKDAYS.INTL(Tasks[[#This Row],[Start]],Tasks[[#This Row],[Finish]],WorkWeek,Holidays),N(Tasks[[#This Row],[_Days]])))</f>
        <v/>
      </c>
      <c r="HF149" s="43" t="n">
        <f aca="false">IF(Tasks[[#This Row],[Expected]]="",0,((Tasks[[#This Row],[Pessimistic]]-Tasks[[#This Row],[Optimistic]])/6)^2)</f>
        <v>0</v>
      </c>
      <c r="HG149" s="43" t="n">
        <f aca="false">IF(Tasks[[#This Row],[Expected]]="",0,Tasks[[#This Row],[Expected]]-N(Tasks[[#This Row],[_Days]]))</f>
        <v>0</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4"/>
      <c r="U150" s="23"/>
      <c r="V150" s="84"/>
      <c r="W150" s="23"/>
      <c r="X150" s="84"/>
      <c r="Y150" s="23"/>
      <c r="Z150" s="84"/>
      <c r="AA150" s="23"/>
      <c r="AB150" s="23"/>
      <c r="AC150" s="7"/>
      <c r="AD150" s="7"/>
      <c r="AE150" s="63" t="str">
        <f aca="false">IF(Tasks[[#This Row],[Task Name]]="","",IF(Tasks[[#This Row],[_IsSummary]],MIN(INDEX(Tasks[_ShownFcstStart],Tasks[[#This Row],[_Row]]+1):INDEX(Tasks[_ShownFcstStart],Tasks[[#This Row],[_Row]]+Tasks[[#This Row],[_Descendants]])),Tasks[[#This Row],[_ShownFcstStart]]))</f>
        <v/>
      </c>
      <c r="AF150" s="63"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0" s="7"/>
      <c r="AK150" s="22"/>
      <c r="AL150" s="23"/>
      <c r="AM150" s="7"/>
      <c r="AN150" s="47"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3" t="str">
        <f aca="false">IF(Tasks[[#This Row],[Task Name]]="","",IF(N(Tasks[[#This Row],[Baseline Start]])&gt;0,Tasks[[#This Row],[Baseline Start]],Tasks[[#This Row],[_CalcStart]]))</f>
        <v/>
      </c>
      <c r="AR150" s="63" t="str">
        <f aca="false">IF(Tasks[[#This Row],[Task Name]]="","",IF(N(Tasks[[#This Row],[Baseline Finish]])&gt;0,Tasks[[#This Row],[Baseline Finish]],Tasks[[#This Row],[_CalcFinish]]))</f>
        <v/>
      </c>
      <c r="AS150" s="47" t="str">
        <f aca="false">IF(Tasks[[#This Row],[Task Name]]="","",IF(Tasks[[#This Row],[Start]]&gt;=Tasks[[#This Row],[Planned Start]],NETWORKDAYS.INTL(Tasks[[#This Row],[Planned Start]],Tasks[[#This Row],[Start]],WorkWeek,Holidays)-1,1-NETWORKDAYS.INTL(Tasks[[#This Row],[Start]],Tasks[[#This Row],[Planned Start]],WorkWeek,Holidays)))</f>
        <v/>
      </c>
      <c r="AT150" s="63" t="str">
        <f aca="false">IF(Tasks[[#This Row],[Task Name]]="","",IF(Tasks[[#This Row],[_IsSummary]],MIN(INDEX(Tasks[_LeafLateStart],Tasks[[#This Row],[_Row]]+1):INDEX(Tasks[_LeafLateStart],Tasks[[#This Row],[_Row]]+Tasks[[#This Row],[_Descendants]])),Tasks[[#This Row],[_LeafLateStart]]))</f>
        <v/>
      </c>
      <c r="AU150" s="63" t="str">
        <f aca="false">IF(Tasks[[#This Row],[Task Name]]="","",IF(Tasks[[#This Row],[_IsSummary]],MAX(INDEX(Tasks[_LeafLateFinish],Tasks[[#This Row],[_Row]]+1):INDEX(Tasks[_LeafLateFinish],Tasks[[#This Row],[_Row]]+Tasks[[#This Row],[_Descendants]])),Tasks[[#This Row],[_LeafLateFinish]]))</f>
        <v/>
      </c>
      <c r="AV150" s="47"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5"/>
      <c r="BA1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6"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7"/>
      <c r="BJ150" s="22"/>
      <c r="BK150" s="47" t="str">
        <f aca="false">IF(OR(Tasks[[#This Row],[Task Name]]="",Tasks[[#This Row],[Baseline Duration]]=""),"",Tasks[[#This Row],[_SpanDays]]-N(Tasks[[#This Row],[Baseline Duration]]))</f>
        <v/>
      </c>
      <c r="BL150" s="86" t="str">
        <f aca="false">IF(OR(Tasks[[#This Row],[Task Name]]="",Tasks[[#This Row],[Baseline Work]]=""),"",Tasks[[#This Row],[Work]]-N(Tasks[[#This Row],[Baseline Work]]))</f>
        <v/>
      </c>
      <c r="BM150" s="63" t="str">
        <f aca="false">IF(Tasks[[#This Row],[Task Name]]="","",IF(OR(TakeBaseline="Yes",N(Tasks[[#This Row],[Baseline Start]])=0),Tasks[[#This Row],[Start]],Tasks[[#This Row],[Baseline Start]]))</f>
        <v/>
      </c>
      <c r="BN150" s="63" t="str">
        <f aca="false">IF(Tasks[[#This Row],[Task Name]]="","",IF(OR(TakeBaseline="Yes",N(Tasks[[#This Row],[Baseline Finish]])=0),Tasks[[#This Row],[Finish]],Tasks[[#This Row],[Baseline Finish]]))</f>
        <v/>
      </c>
      <c r="BO150" s="21" t="str">
        <f aca="false">IF(Tasks[[#This Row],[Task Name]]="","",IF(OR(TakeBaseline="Yes",N(Tasks[[#This Row],[Baseline Duration]])=0),Tasks[[#This Row],[_SpanDays]],Tasks[[#This Row],[Baseline Duration]]))</f>
        <v/>
      </c>
      <c r="BP150" s="86" t="str">
        <f aca="false">IF(Tasks[[#This Row],[Task Name]]="","",IF(OR(TakeBaseline="Yes",N(Tasks[[#This Row],[Baseline Work]])=0),Tasks[[#This Row],[Work]],Tasks[[#This Row],[Baseline Work]]))</f>
        <v/>
      </c>
      <c r="BQ150" s="7"/>
      <c r="BR150" s="7"/>
      <c r="BS150" s="22"/>
      <c r="BT150" s="88"/>
      <c r="BU150" s="23"/>
      <c r="BV150" s="23"/>
      <c r="BW150" s="23"/>
      <c r="BX150" s="89" t="str">
        <f aca="false">IF(AND(Tasks[[#This Row],[_IsLeaf]]=1,ISNUMBER(Tasks[[#This Row],[Optimistic]]),ISNUMBER(Tasks[[#This Row],[Pessimistic]])),ROUND((Tasks[[#This Row],[Optimistic]]+4*N(Tasks[[#This Row],[_Days]])+Tasks[[#This Row],[Pessimistic]])/6,1),"")</f>
        <v/>
      </c>
      <c r="BY150" s="87"/>
      <c r="BZ150" s="87"/>
      <c r="CA150" s="22"/>
      <c r="CB150" s="43" t="str">
        <f aca="false">IF(Tasks[[#This Row],[Task Name]]="","",MAX(1,N(Tasks[[#This Row],[Level]])))</f>
        <v/>
      </c>
      <c r="CC150" s="43" t="n">
        <f aca="false">ROW()-ROW(Tasks[[#Headers],[ID]])</f>
        <v>145</v>
      </c>
      <c r="CD150" s="43" t="n">
        <f aca="false">IF(OR(Tasks[[#This Row],[Task Name]]="",Tasks[[#This Row],[_Level]]&lt;=1),0,IFERROR(LOOKUP(2,1/(Tasks[[#Headers],[_Level]]:Tasks[[#This Row],[_Level]]=Tasks[[#This Row],[_Level]]-1),ROW(Tasks[[#Headers],[_Level]]:Tasks[[#This Row],[_Level]])),0))</f>
        <v>0</v>
      </c>
      <c r="CE150" s="43" t="n">
        <f aca="false">IFERROR(N(INDEX(Tasks[_Level],Tasks[[#This Row],[_Row]]+1)),0)</f>
        <v>0</v>
      </c>
      <c r="CF150" s="90" t="b">
        <f aca="false">AND(Tasks[[#This Row],[Task Name]]&lt;&gt;"",Tasks[[#This Row],[_NextLevel]]&gt;Tasks[[#This Row],[_Level]])</f>
        <v>0</v>
      </c>
      <c r="CG150" s="43" t="n">
        <f aca="false">IF(Tasks[[#This Row],[_IsSummary]],COUNTIF(Tasks[WBS],Tasks[[#This Row],[WBS]]&amp;".*"),0)</f>
        <v>0</v>
      </c>
      <c r="CH150" s="43" t="n">
        <f aca="false">IF(AND(Tasks[[#This Row],[Task Name]]&lt;&gt;"",NOT(Tasks[[#This Row],[_IsSummary]])),1,0)</f>
        <v>0</v>
      </c>
      <c r="CI150" s="43" t="n">
        <f aca="false">IF(N(Tasks[[#This Row],[_Pred1UID]])=0,0,IFERROR(MATCH(Tasks[[#This Row],[_Pred1UID]],Tasks[UID],0),-1))</f>
        <v>0</v>
      </c>
      <c r="CJ150" s="43" t="n">
        <f aca="false">IF(N(Tasks[[#This Row],[_Pred2UID]])=0,0,IFERROR(MATCH(Tasks[[#This Row],[_Pred2UID]],Tasks[UID],0),-1))</f>
        <v>0</v>
      </c>
      <c r="CK150" s="43" t="n">
        <f aca="false">IF(N(Tasks[[#This Row],[_Pred3UID]])=0,0,IFERROR(MATCH(Tasks[[#This Row],[_Pred3UID]],Tasks[UID],0),-1))</f>
        <v>0</v>
      </c>
      <c r="CL150" s="43" t="n">
        <f aca="false">IF(N(Tasks[[#This Row],[_Pred4UID]])=0,0,IFERROR(MATCH(Tasks[[#This Row],[_Pred4UID]],Tasks[UID],0),-1))</f>
        <v>0</v>
      </c>
      <c r="CM1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0" s="91" t="n">
        <f aca="false">IF(OR(Tasks[[#This Row],[_ConstraintCode]]=2,Tasks[[#This Row],[_ConstraintCode]]=3,Tasks[[#This Row],[_ConstraintCode]]=4,Tasks[[#This Row],[_ConstraintCode]]=6),Tasks[[#This Row],[_ConstraintStart]],0)</f>
        <v>0</v>
      </c>
      <c r="CP150" s="91" t="n">
        <f aca="false">IF(OR(Tasks[[#This Row],[_ConstraintCode]]=2,Tasks[[#This Row],[_ConstraintCode]]=3,Tasks[[#This Row],[_ConstraintCode]]=5,Tasks[[#This Row],[_ConstraintCode]]=7),Tasks[[#This Row],[_ConstraintStart]],2958465)</f>
        <v>2958465</v>
      </c>
      <c r="CQ1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91" t="str">
        <f aca="false">IF(NOT(Tasks[[#This Row],[_IsLeaf]]=1),"",IF(N(Tasks[[#This Row],[_Days]])&lt;=0,Tasks[[#This Row],[_LeafCalcStart]],WORKDAY.INTL(Tasks[[#This Row],[_LeafCalcStart]],Tasks[[#This Row],[_Days]]-1,WorkWeek,Holidays)))</f>
        <v/>
      </c>
      <c r="CS1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3" t="str">
        <f aca="false">IF(Tasks[[#This Row],[_Predecessors]]="","",TRIM(MID(SUBSTITUTE(SUBSTITUTE(SUBSTITUTE(UPPER(Tasks[[#This Row],[_Predecessors]]),";",",")," ",""),",",REPT(" ",99)),1,99)))</f>
        <v/>
      </c>
      <c r="CV150" s="43" t="str">
        <f aca="false">IF(Tasks[[#This Row],[_Pred1Text]]="","",IFERROR(VALUE(LEFT(Tasks[[#This Row],[_Pred1Text]],MIN(FIND("F",Tasks[[#This Row],[_Pred1Text]]&amp;"F"),FIND("S",Tasks[[#This Row],[_Pred1Text]]&amp;"S"),FIND("+",Tasks[[#This Row],[_Pred1Text]]&amp;"+"),FIND("-",Tasks[[#This Row],[_Pred1Text]]&amp;"-"))-1)),""))</f>
        <v/>
      </c>
      <c r="CW1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3" t="str">
        <f aca="false">IF(Tasks[[#This Row],[_Pred1Text]]="","",TRIM(MID(SUBSTITUTE(SUBSTITUTE(SUBSTITUTE(UPPER(Tasks[[#This Row],[_Predecessors]]),";",",")," ",""),",",REPT(" ",99)),100,99)))</f>
        <v/>
      </c>
      <c r="CZ150" s="43" t="str">
        <f aca="false">IF(Tasks[[#This Row],[_Pred2Text]]="","",IFERROR(VALUE(LEFT(Tasks[[#This Row],[_Pred2Text]],MIN(FIND("F",Tasks[[#This Row],[_Pred2Text]]&amp;"F"),FIND("S",Tasks[[#This Row],[_Pred2Text]]&amp;"S"),FIND("+",Tasks[[#This Row],[_Pred2Text]]&amp;"+"),FIND("-",Tasks[[#This Row],[_Pred2Text]]&amp;"-"))-1)),""))</f>
        <v/>
      </c>
      <c r="DA1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3" t="str">
        <f aca="false">IF(Tasks[[#This Row],[_Pred2Text]]="","",TRIM(MID(SUBSTITUTE(SUBSTITUTE(SUBSTITUTE(UPPER(Tasks[[#This Row],[_Predecessors]]),";",",")," ",""),",",REPT(" ",99)),199,99)))</f>
        <v/>
      </c>
      <c r="DD150" s="43" t="str">
        <f aca="false">IF(Tasks[[#This Row],[_Pred3Text]]="","",IFERROR(VALUE(LEFT(Tasks[[#This Row],[_Pred3Text]],MIN(FIND("F",Tasks[[#This Row],[_Pred3Text]]&amp;"F"),FIND("S",Tasks[[#This Row],[_Pred3Text]]&amp;"S"),FIND("+",Tasks[[#This Row],[_Pred3Text]]&amp;"+"),FIND("-",Tasks[[#This Row],[_Pred3Text]]&amp;"-"))-1)),""))</f>
        <v/>
      </c>
      <c r="DE1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3" t="str">
        <f aca="false">IF(Tasks[[#This Row],[_Pred3Text]]="","",TRIM(MID(SUBSTITUTE(SUBSTITUTE(SUBSTITUTE(UPPER(Tasks[[#This Row],[_Predecessors]]),";",",")," ",""),",",REPT(" ",99)),298,99)))</f>
        <v/>
      </c>
      <c r="DH150" s="43" t="str">
        <f aca="false">IF(Tasks[[#This Row],[_Pred4Text]]="","",IFERROR(VALUE(LEFT(Tasks[[#This Row],[_Pred4Text]],MIN(FIND("F",Tasks[[#This Row],[_Pred4Text]]&amp;"F"),FIND("S",Tasks[[#This Row],[_Pred4Text]]&amp;"S"),FIND("+",Tasks[[#This Row],[_Pred4Text]]&amp;"+"),FIND("-",Tasks[[#This Row],[_Pred4Text]]&amp;"-"))-1)),""))</f>
        <v/>
      </c>
      <c r="DI1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3" t="str">
        <f aca="false">IF(OR(Tasks[[#This Row],[Task Name]]="",Tasks[[#This Row],[_Resources]]=""),"",TRIM(MID(SUBSTITUTE(Tasks[[#This Row],[_Resources]],",",REPT(" ",99)),1,99)))</f>
        <v/>
      </c>
      <c r="DL150" s="43" t="str">
        <f aca="false">IF(Tasks[[#This Row],[_Res1Text]]="","",TRIM(MID(SUBSTITUTE(Tasks[[#This Row],[_Resources]],",",REPT(" ",99)),100,99)))</f>
        <v/>
      </c>
      <c r="DM150" s="43" t="str">
        <f aca="false">IF(Tasks[[#This Row],[_Res2Text]]="","",TRIM(MID(SUBSTITUTE(Tasks[[#This Row],[_Resources]],",",REPT(" ",99)),199,99)))</f>
        <v/>
      </c>
      <c r="DN150" s="43" t="str">
        <f aca="false">IF(Tasks[[#This Row],[_Res3Text]]="","",TRIM(MID(SUBSTITUTE(Tasks[[#This Row],[_Resources]],",",REPT(" ",99)),298,99)))</f>
        <v/>
      </c>
      <c r="DO150" s="43" t="n">
        <f aca="false">IF(Tasks[[#This Row],[_Res1Text]]="",0,IFERROR(MATCH(TRIM(LEFT(Tasks[[#This Row],[_Res1Text]],FIND("[",Tasks[[#This Row],[_Res1Text]]&amp;"[")-1)),res_Name,0),IFERROR(MATCH(TRIM(LEFT(Tasks[[#This Row],[_Res1Text]],FIND("[",Tasks[[#This Row],[_Res1Text]]&amp;"[")-1)),res_Initials,0),0)))</f>
        <v>0</v>
      </c>
      <c r="DP150" s="43" t="n">
        <f aca="false">IF(Tasks[[#This Row],[_Res2Text]]="",0,IFERROR(MATCH(TRIM(LEFT(Tasks[[#This Row],[_Res2Text]],FIND("[",Tasks[[#This Row],[_Res2Text]]&amp;"[")-1)),res_Name,0),IFERROR(MATCH(TRIM(LEFT(Tasks[[#This Row],[_Res2Text]],FIND("[",Tasks[[#This Row],[_Res2Text]]&amp;"[")-1)),res_Initials,0),0)))</f>
        <v>0</v>
      </c>
      <c r="DQ150" s="43" t="n">
        <f aca="false">IF(Tasks[[#This Row],[_Res3Text]]="",0,IFERROR(MATCH(TRIM(LEFT(Tasks[[#This Row],[_Res3Text]],FIND("[",Tasks[[#This Row],[_Res3Text]]&amp;"[")-1)),res_Name,0),IFERROR(MATCH(TRIM(LEFT(Tasks[[#This Row],[_Res3Text]],FIND("[",Tasks[[#This Row],[_Res3Text]]&amp;"[")-1)),res_Initials,0),0)))</f>
        <v>0</v>
      </c>
      <c r="DR150" s="43" t="n">
        <f aca="false">IF(Tasks[[#This Row],[_Res4Text]]="",0,IFERROR(MATCH(TRIM(LEFT(Tasks[[#This Row],[_Res4Text]],FIND("[",Tasks[[#This Row],[_Res4Text]]&amp;"[")-1)),res_Name,0),IFERROR(MATCH(TRIM(LEFT(Tasks[[#This Row],[_Res4Text]],FIND("[",Tasks[[#This Row],[_Res4Text]]&amp;"[")-1)),res_Initials,0),0)))</f>
        <v>0</v>
      </c>
      <c r="DS150" s="43" t="str">
        <f aca="false">IF(Tasks[[#This Row],[_Res1Text]]="","",IF(Tasks[[#This Row],[_Res1Row]]&gt;0,INDEX(res_Name,Tasks[[#This Row],[_Res1Row]]),TRIM(LEFT(Tasks[[#This Row],[_Res1Text]],FIND("[",Tasks[[#This Row],[_Res1Text]]&amp;"[")-1))))</f>
        <v/>
      </c>
      <c r="DT1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3" t="n">
        <f aca="false">IF(NOT(Tasks[[#This Row],[_IsLeaf]]=1),0,(Tasks[[#This Row],[_Resource1]]&lt;&gt;"")+(Tasks[[#This Row],[_Res2]]&lt;&gt;"")+(Tasks[[#This Row],[_Res3]]&lt;&gt;"")+(Tasks[[#This Row],[_Res4]]&lt;&gt;""))</f>
        <v>0</v>
      </c>
      <c r="DV150" s="43" t="str">
        <f aca="false">IF(Tasks[[#This Row],[_Res2Text]]="","",IF(Tasks[[#This Row],[_Res2Row]]&gt;0,INDEX(res_Name,Tasks[[#This Row],[_Res2Row]]),TRIM(LEFT(Tasks[[#This Row],[_Res2Text]],FIND("[",Tasks[[#This Row],[_Res2Text]]&amp;"[")-1))))</f>
        <v/>
      </c>
      <c r="DW1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3" t="n">
        <f aca="false">IF(OR(NOT(Tasks[[#This Row],[_IsLeaf]]=1),Tasks[[#This Row],[_Res2Row]]=0),0,N(Tasks[[#This Row],[_Days]])*HoursPerDay*IF(Tasks[[#This Row],[_Res2Units]]="",DefaultUnits,Tasks[[#This Row],[_Res2Units]]))</f>
        <v>0</v>
      </c>
      <c r="DY150" s="43" t="n">
        <f aca="false">IF(AND(AND(Tasks[[#This Row],[_IsLeaf]]=1,Tasks[[#This Row],[_LeafTotalWork]]&gt;0),Tasks[[#This Row],[_Res2Work]]&gt;0),Tasks[[#This Row],[_Res2Work]]/(Tasks[[#This Row],[_FinishWorkday]]-Tasks[[#This Row],[_StartWorkday]]+1),0)</f>
        <v>0</v>
      </c>
      <c r="DZ150" s="43" t="n">
        <f aca="false">Tasks[[#This Row],[_Res2WorkPerWD]]*MAX(0,Tasks[[#This Row],[_StartWorkday]]-1)</f>
        <v>0</v>
      </c>
      <c r="EA150" s="43" t="n">
        <f aca="false">Tasks[[#This Row],[_Res2Work]]*Tasks[[#This Row],[_LeafProgress]]</f>
        <v>0</v>
      </c>
      <c r="EB150" s="43" t="str">
        <f aca="false">IF(Tasks[[#This Row],[_Res3Text]]="","",IF(Tasks[[#This Row],[_Res3Row]]&gt;0,INDEX(res_Name,Tasks[[#This Row],[_Res3Row]]),TRIM(LEFT(Tasks[[#This Row],[_Res3Text]],FIND("[",Tasks[[#This Row],[_Res3Text]]&amp;"[")-1))))</f>
        <v/>
      </c>
      <c r="EC1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3" t="n">
        <f aca="false">IF(OR(NOT(Tasks[[#This Row],[_IsLeaf]]=1),Tasks[[#This Row],[_Res3Row]]=0),0,N(Tasks[[#This Row],[_Days]])*HoursPerDay*IF(Tasks[[#This Row],[_Res3Units]]="",DefaultUnits,Tasks[[#This Row],[_Res3Units]]))</f>
        <v>0</v>
      </c>
      <c r="EE150" s="43" t="n">
        <f aca="false">IF(AND(AND(Tasks[[#This Row],[_IsLeaf]]=1,Tasks[[#This Row],[_LeafTotalWork]]&gt;0),Tasks[[#This Row],[_Res3Work]]&gt;0),Tasks[[#This Row],[_Res3Work]]/(Tasks[[#This Row],[_FinishWorkday]]-Tasks[[#This Row],[_StartWorkday]]+1),0)</f>
        <v>0</v>
      </c>
      <c r="EF150" s="43" t="n">
        <f aca="false">Tasks[[#This Row],[_Res3WorkPerWD]]*MAX(0,Tasks[[#This Row],[_StartWorkday]]-1)</f>
        <v>0</v>
      </c>
      <c r="EG150" s="43" t="n">
        <f aca="false">Tasks[[#This Row],[_Res3Work]]*Tasks[[#This Row],[_LeafProgress]]</f>
        <v>0</v>
      </c>
      <c r="EH150" s="43" t="str">
        <f aca="false">IF(Tasks[[#This Row],[_Res4Text]]="","",IF(Tasks[[#This Row],[_Res4Row]]&gt;0,INDEX(res_Name,Tasks[[#This Row],[_Res4Row]]),TRIM(LEFT(Tasks[[#This Row],[_Res4Text]],FIND("[",Tasks[[#This Row],[_Res4Text]]&amp;"[")-1))))</f>
        <v/>
      </c>
      <c r="EI1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3" t="n">
        <f aca="false">IF(OR(NOT(Tasks[[#This Row],[_IsLeaf]]=1),Tasks[[#This Row],[_Res4Row]]=0),0,N(Tasks[[#This Row],[_Days]])*HoursPerDay*IF(Tasks[[#This Row],[_Res4Units]]="",DefaultUnits,Tasks[[#This Row],[_Res4Units]]))</f>
        <v>0</v>
      </c>
      <c r="EK150" s="43" t="n">
        <f aca="false">IF(AND(AND(Tasks[[#This Row],[_IsLeaf]]=1,Tasks[[#This Row],[_LeafTotalWork]]&gt;0),Tasks[[#This Row],[_Res4Work]]&gt;0),Tasks[[#This Row],[_Res4Work]]/(Tasks[[#This Row],[_FinishWorkday]]-Tasks[[#This Row],[_StartWorkday]]+1),0)</f>
        <v>0</v>
      </c>
      <c r="EL150" s="43" t="n">
        <f aca="false">Tasks[[#This Row],[_Res4WorkPerWD]]*MAX(0,Tasks[[#This Row],[_StartWorkday]]-1)</f>
        <v>0</v>
      </c>
      <c r="EM150" s="43" t="n">
        <f aca="false">Tasks[[#This Row],[_Res4Work]]*Tasks[[#This Row],[_LeafProgress]]</f>
        <v>0</v>
      </c>
      <c r="EN150" s="43" t="n">
        <f aca="false">IF(ISNUMBER(Tasks[[#This Row],[% Complete]]),Tasks[[#This Row],[% Complete]],IF(Tasks[[#This Row],[Stage]]="",0,IFERROR(INDEX(stg_Pct,MATCH(Tasks[[#This Row],[Stage]],stg_Name,0)),0)))</f>
        <v>0</v>
      </c>
      <c r="EO150" s="43" t="n">
        <f aca="false">IF(NOT(Tasks[[#This Row],[_IsLeaf]]=1),0,IF(N(Tasks[[#This Row],[Actual Finish]])&gt;0,1,MIN(1,Tasks[[#This Row],[_Pct]])))</f>
        <v>0</v>
      </c>
      <c r="EP150" s="43" t="n">
        <f aca="false">IF(OR(NOT(Tasks[[#This Row],[_IsLeaf]]=1),Tasks[[#This Row],[_Res1Row]]=0),0,N(Tasks[[#This Row],[_Days]])*HoursPerDay*IF(Tasks[[#This Row],[_Units1]]="",DefaultUnits,Tasks[[#This Row],[_Units1]]))</f>
        <v>0</v>
      </c>
      <c r="EQ150" s="43" t="n">
        <f aca="false">Tasks[[#This Row],[_LeafWork]]+Tasks[[#This Row],[_Res2Work]]+Tasks[[#This Row],[_Res3Work]]+Tasks[[#This Row],[_Res4Work]]</f>
        <v>0</v>
      </c>
      <c r="ER1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3" t="n">
        <f aca="false">IF(NOT(Tasks[[#This Row],[_IsLeaf]]=1),0,MAX(_xlfn.MAXIFS(Tasks[_Row],Tasks[_Pred1UID],Tasks[[#This Row],[UID]]),_xlfn.MAXIFS(Tasks[_Row],Tasks[_Pred2UID],Tasks[[#This Row],[UID]]),_xlfn.MAXIFS(Tasks[_Row],Tasks[_Pred3UID],Tasks[[#This Row],[UID]]),_xlfn.MAXIFS(Tasks[_Row],Tasks[_Pred4UID],Tasks[[#This Row],[UID]])))</f>
        <v>0</v>
      </c>
      <c r="FA1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91" t="str">
        <f aca="false">IF(NOT(Tasks[[#This Row],[_IsLeaf]]=1),"",IF(N(Tasks[[#This Row],[_Days]])&lt;=0,Tasks[[#This Row],[_LeafLateFinish]],WORKDAY.INTL(Tasks[[#This Row],[_LeafLateFinish]],-(Tasks[[#This Row],[_Days]]-1),WorkWeek,Holidays)))</f>
        <v/>
      </c>
      <c r="FD1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0" s="90" t="b">
        <f aca="false">AND(Tasks[[#This Row],[_IsLeaf]]=1,Tasks[[#This Row],[_LeafProgress]]&lt;1,N(Tasks[[#This Row],[_LeafTotalSlack]])&lt;=CriticalSlackDays)</f>
        <v>0</v>
      </c>
      <c r="FF150" s="43" t="n">
        <f aca="false">IF(AND(Tasks[[#This Row],[_IsLeaf]]=1,Tasks[[#This Row],[_ConstraintCode]]=1,Tasks[[#This Row],[Mode]]&lt;&gt;"Manual",N(Tasks[[#This Row],[Actual Start]])=0),MAX(0,N(Tasks[[#This Row],[Free Slack]])),0)</f>
        <v>0</v>
      </c>
      <c r="FG150" s="91" t="str">
        <f aca="false">IF(NOT(Tasks[[#This Row],[_IsLeaf]]=1),"",IF(Tasks[[#This Row],[_AlapShift]]=0,Tasks[[#This Row],[_LeafCalcStart]],WORKDAY.INTL(Tasks[[#This Row],[_LeafCalcStart]],Tasks[[#This Row],[_AlapShift]],WorkWeek,Holidays)))</f>
        <v/>
      </c>
      <c r="FH150" s="91" t="str">
        <f aca="false">IF(NOT(Tasks[[#This Row],[_IsLeaf]]=1),"",IF(Tasks[[#This Row],[_AlapShift]]=0,Tasks[[#This Row],[_LeafCalcFinish]],WORKDAY.INTL(Tasks[[#This Row],[_LeafCalcFinish]],Tasks[[#This Row],[_AlapShift]],WorkWeek,Holidays)))</f>
        <v/>
      </c>
      <c r="FI150" s="91" t="str">
        <f aca="false">IF(NOT(Tasks[[#This Row],[_IsLeaf]]=1),"",IF(Tasks[[#This Row],[_AlapShift]]=0,Tasks[[#This Row],[_LeafFcstStart]],WORKDAY.INTL(Tasks[[#This Row],[_LeafFcstStart]],Tasks[[#This Row],[_AlapShift]],WorkWeek,Holidays)))</f>
        <v/>
      </c>
      <c r="FJ150" s="91" t="str">
        <f aca="false">IF(NOT(Tasks[[#This Row],[_IsLeaf]]=1),"",IF(Tasks[[#This Row],[_AlapShift]]=0,Tasks[[#This Row],[_LeafFcstFinish]],WORKDAY.INTL(Tasks[[#This Row],[_LeafFcstFinish]],Tasks[[#This Row],[_AlapShift]],WorkWeek,Holidays)))</f>
        <v/>
      </c>
      <c r="FK150" s="91" t="str">
        <f aca="false">IF(Tasks[[#This Row],[Task Name]]="","",IF(Tasks[[#This Row],[_IsSummary]],MIN(INDEX(Tasks[_ShownCalcStart],Tasks[[#This Row],[_Row]]+1):INDEX(Tasks[_ShownCalcStart],Tasks[[#This Row],[_Row]]+Tasks[[#This Row],[_Descendants]])),Tasks[[#This Row],[_ShownCalcStart]]))</f>
        <v/>
      </c>
      <c r="FL150" s="91" t="str">
        <f aca="false">IF(Tasks[[#This Row],[Task Name]]="","",IF(Tasks[[#This Row],[_IsSummary]],MAX(INDEX(Tasks[_ShownCalcFinish],Tasks[[#This Row],[_Row]]+1):INDEX(Tasks[_ShownCalcFinish],Tasks[[#This Row],[_Row]]+Tasks[[#This Row],[_Descendants]])),Tasks[[#This Row],[_ShownCalcFinish]]))</f>
        <v/>
      </c>
      <c r="FM1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0" s="43" t="n">
        <f aca="false">IF(AND(Tasks[[#This Row],[_IsLeaf]]=1,Tasks[[#This Row],[_LeafTotalWork]]&gt;0),NETWORKDAYS.INTL(ProjectStart,Tasks[[#This Row],[_ShownFcstStart]],WorkWeek,Holidays),0)</f>
        <v>0</v>
      </c>
      <c r="FZ150" s="43" t="n">
        <f aca="false">IF(AND(Tasks[[#This Row],[_IsLeaf]]=1,Tasks[[#This Row],[_LeafTotalWork]]&gt;0),MAX(Tasks[[#This Row],[_StartWorkday]],NETWORKDAYS.INTL(ProjectStart,Tasks[[#This Row],[_ShownFcstFinish]],WorkWeek,Holidays)),0)</f>
        <v>0</v>
      </c>
      <c r="GA150" s="43" t="n">
        <f aca="false">IF(AND(Tasks[[#This Row],[_IsLeaf]]=1,Tasks[[#This Row],[_LeafTotalWork]]&gt;0),Tasks[[#This Row],[_LeafWork]]/(Tasks[[#This Row],[_FinishWorkday]]-Tasks[[#This Row],[_StartWorkday]]+1),0)</f>
        <v>0</v>
      </c>
      <c r="GB150" s="43" t="n">
        <f aca="false">Tasks[[#This Row],[_WorkPerWorkday]]*(Tasks[[#This Row],[_StartWorkday]]-1)</f>
        <v>-0</v>
      </c>
      <c r="GC150" s="43" t="n">
        <f aca="false">IF(Tasks[[#This Row],[_IsLeaf]]=1,MAX(N(Tasks[[#This Row],[_Days]]),0.1),0)</f>
        <v>0</v>
      </c>
      <c r="GD150" s="43" t="n">
        <f aca="false">Tasks[[#This Row],[_WeightDur]]*Tasks[[#This Row],[_LeafProgress]]</f>
        <v>0</v>
      </c>
      <c r="GE150" s="43" t="n">
        <f aca="false">Tasks[[#This Row],[_WeightDur]]*Tasks[[#This Row],[_PlannedPct]]</f>
        <v>0</v>
      </c>
      <c r="GF1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3" t="str">
        <f aca="false">IF(AND(Tasks[[#This Row],[_IsLeaf]]=1,N(Tasks[[#This Row],[_Days]])=0,Tasks[[#This Row],[_LeafProgress]]&lt;1),Tasks[[#This Row],[_ShownFcstFinish]]+Tasks[[#This Row],[_Row]]/100000,"")</f>
        <v/>
      </c>
      <c r="GH1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0" s="43" t="str">
        <f aca="false">IF(Tasks[[#This Row],[Task Name]]="","",LEFT(Tasks[[#This Row],[WBS]],FIND(".",Tasks[[#This Row],[WBS]]&amp;".")-1))</f>
        <v/>
      </c>
      <c r="GJ150" s="43" t="str">
        <f aca="false">IF(AND(Tasks[[#This Row],[Task Name]]&lt;&gt;"",Tasks[[#This Row],[_Level]]=1),Tasks[[#This Row],[_Row]],"")</f>
        <v/>
      </c>
      <c r="GK150" s="43" t="str">
        <f aca="false">IF(AND(Tasks[[#This Row],[_IsLeaf]]=1,N(Tasks[[#This Row],[_Days]])=0),Tasks[[#This Row],[Planned Finish]]+Tasks[[#This Row],[_Row]]/100000,"")</f>
        <v/>
      </c>
      <c r="GL150" s="43" t="str">
        <f aca="false">IF(AND(Tasks[[#This Row],[_IsLeaf]]=1,Tasks[[#This Row],[_LeafProgress]]&lt;1,OR(N(Tasks[[#This Row],[Finish Var]])&gt;0,Tasks[[#This Row],[Status]]="Late Start")),MAX(0,Tasks[[#This Row],[Finish Var]])+1-Tasks[[#This Row],[_Row]]/1000000,"")</f>
        <v/>
      </c>
      <c r="GM150" s="43" t="str">
        <f aca="false">IF(AND(Tasks[[#This Row],[_IsLeaf]]=1,N(Tasks[[#This Row],[Actual Start]])=0,Tasks[[#This Row],[_ShownFcstStart]]&gt;=StatusDate,Tasks[[#This Row],[_ShownFcstStart]]&lt;=LookaheadEnd),Tasks[[#This Row],[_ShownFcstStart]]+Tasks[[#This Row],[_Row]]/100000,"")</f>
        <v/>
      </c>
      <c r="GN150" s="43" t="str">
        <f aca="false">IF(AND(Tasks[[#This Row],[_IsLeaf]]=1,Tasks[[#This Row],[_LeafProgress]]&lt;1,Tasks[[#This Row],[_ShownFcstFinish]]&gt;=StatusDate,Tasks[[#This Row],[_ShownFcstFinish]]&lt;=LookaheadEnd),Tasks[[#This Row],[_ShownFcstFinish]]+Tasks[[#This Row],[_Row]]/100000,"")</f>
        <v/>
      </c>
      <c r="GO150" s="43" t="str">
        <f aca="false">IF(Tasks[[#This Row],[_LeafCritical]],Tasks[[#This Row],[_ShownFcstStart]]+Tasks[[#This Row],[_Row]]/100000,"")</f>
        <v/>
      </c>
      <c r="GP150" s="43" t="n">
        <f aca="false">Tasks[[#This Row],[_LeafWork]]*Tasks[[#This Row],[_LeafProgress]]</f>
        <v>0</v>
      </c>
      <c r="GQ150" s="91" t="str">
        <f aca="false">IF(AND(Tasks[[#This Row],[_IsLeaf]]=1,Tasks[[#This Row],[_LeafProgress]]&gt;=1),IF(N(Tasks[[#This Row],[Actual Finish]])&gt;0,Tasks[[#This Row],[Actual Finish]],Tasks[[#This Row],[_ShownFcstFinish]]),"")</f>
        <v/>
      </c>
      <c r="GR150" s="43" t="n">
        <f aca="false">IF(Tasks[[#This Row],[_IsLeaf]]=1,N(Tasks[[#This Row],[Story Points]]),0)</f>
        <v>0</v>
      </c>
      <c r="GS150" s="43" t="str">
        <f aca="false">""</f>
        <v/>
      </c>
      <c r="GT150" s="90" t="b">
        <f aca="false">IF(Tasks[[#This Row],[Task Name]]="",FALSE(),AND(Tasks[[#This Row],[_IsLeaf]]=1,N(Tasks[[#This Row],[_Days]])=0))</f>
        <v>0</v>
      </c>
      <c r="GU150" s="91" t="n">
        <f aca="false">IF(Tasks[[#This Row],[Task Name]]="",0,IF(AND(Tasks[[#This Row],[_IsLeaf]]=1,NOT(Tasks[[#This Row],[_IsMilestone]]),N(Tasks[[#This Row],[Progress]])&gt;0),Tasks[[#This Row],[Start]],0))</f>
        <v>0</v>
      </c>
      <c r="GV150" s="91" t="n">
        <f aca="false">IF(Tasks[[#This Row],[_DoneFrom]]=0,0,IF(Tasks[[#This Row],[Progress]]&gt;=1,Tasks[[#This Row],[Finish]],MAX(Tasks[[#This Row],[_DoneFrom]],Tasks[[#This Row],[Start]]+ROUND((Tasks[[#This Row],[Finish]]-Tasks[[#This Row],[Start]]+1)*Tasks[[#This Row],[Progress]],0)-1)))</f>
        <v>0</v>
      </c>
      <c r="GW150" s="91" t="n">
        <f aca="false">IF(Tasks[[#This Row],[Task Name]]="",0,IF(OR(NOT(Tasks[[#This Row],[_IsLeaf]]=1),Tasks[[#This Row],[_IsMilestone]],N(Tasks[[#This Row],[Progress]])&gt;=1),0,IF(Tasks[[#This Row],[_DoneTo]]&gt;0,Tasks[[#This Row],[_DoneTo]]+1,Tasks[[#This Row],[Start]])))</f>
        <v>0</v>
      </c>
      <c r="GX150" s="91" t="n">
        <f aca="false">IF(Tasks[[#This Row],[_RemFrom]]=0,0,Tasks[[#This Row],[Finish]])</f>
        <v>0</v>
      </c>
      <c r="GY150" s="90" t="b">
        <f aca="false">IF(Tasks[[#This Row],[Task Name]]="",FALSE(),OR(NOT(BaselineSet),N(Tasks[[#This Row],[Baseline Start]])&gt;0))</f>
        <v>0</v>
      </c>
      <c r="GZ15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92" t="str">
        <f aca="false">IF(Tasks[[#This Row],[_IsLeaf]]=1,Tasks[[#This Row],[_Row]],"")</f>
        <v/>
      </c>
      <c r="HD150" s="92" t="str">
        <f aca="false">IFERROR(INDEX(Tasks[UID],SMALL(Tasks[_PickKey],Tasks[[#This Row],[_Row]]))&amp;" "&amp;INDEX(Tasks[Task Name],SMALL(Tasks[_PickKey],Tasks[[#This Row],[_Row]])),"")</f>
        <v/>
      </c>
      <c r="HE150" s="43" t="str">
        <f aca="false">IF(Tasks[[#This Row],[Task Name]]="","",IF(Tasks[[#This Row],[_IsSummary]],NETWORKDAYS.INTL(Tasks[[#This Row],[Start]],Tasks[[#This Row],[Finish]],WorkWeek,Holidays),N(Tasks[[#This Row],[_Days]])))</f>
        <v/>
      </c>
      <c r="HF150" s="43" t="n">
        <f aca="false">IF(Tasks[[#This Row],[Expected]]="",0,((Tasks[[#This Row],[Pessimistic]]-Tasks[[#This Row],[Optimistic]])/6)^2)</f>
        <v>0</v>
      </c>
      <c r="HG150" s="43" t="n">
        <f aca="false">IF(Tasks[[#This Row],[Expected]]="",0,Tasks[[#This Row],[Expected]]-N(Tasks[[#This Row],[_Days]]))</f>
        <v>0</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4"/>
      <c r="U151" s="23"/>
      <c r="V151" s="84"/>
      <c r="W151" s="23"/>
      <c r="X151" s="84"/>
      <c r="Y151" s="23"/>
      <c r="Z151" s="84"/>
      <c r="AA151" s="23"/>
      <c r="AB151" s="23"/>
      <c r="AC151" s="7"/>
      <c r="AD151" s="7"/>
      <c r="AE151" s="63" t="str">
        <f aca="false">IF(Tasks[[#This Row],[Task Name]]="","",IF(Tasks[[#This Row],[_IsSummary]],MIN(INDEX(Tasks[_ShownFcstStart],Tasks[[#This Row],[_Row]]+1):INDEX(Tasks[_ShownFcstStart],Tasks[[#This Row],[_Row]]+Tasks[[#This Row],[_Descendants]])),Tasks[[#This Row],[_ShownFcstStart]]))</f>
        <v/>
      </c>
      <c r="AF151" s="63"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1" s="7"/>
      <c r="AK151" s="22"/>
      <c r="AL151" s="23"/>
      <c r="AM151" s="7"/>
      <c r="AN151" s="47"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3" t="str">
        <f aca="false">IF(Tasks[[#This Row],[Task Name]]="","",IF(N(Tasks[[#This Row],[Baseline Start]])&gt;0,Tasks[[#This Row],[Baseline Start]],Tasks[[#This Row],[_CalcStart]]))</f>
        <v/>
      </c>
      <c r="AR151" s="63" t="str">
        <f aca="false">IF(Tasks[[#This Row],[Task Name]]="","",IF(N(Tasks[[#This Row],[Baseline Finish]])&gt;0,Tasks[[#This Row],[Baseline Finish]],Tasks[[#This Row],[_CalcFinish]]))</f>
        <v/>
      </c>
      <c r="AS151" s="47" t="str">
        <f aca="false">IF(Tasks[[#This Row],[Task Name]]="","",IF(Tasks[[#This Row],[Start]]&gt;=Tasks[[#This Row],[Planned Start]],NETWORKDAYS.INTL(Tasks[[#This Row],[Planned Start]],Tasks[[#This Row],[Start]],WorkWeek,Holidays)-1,1-NETWORKDAYS.INTL(Tasks[[#This Row],[Start]],Tasks[[#This Row],[Planned Start]],WorkWeek,Holidays)))</f>
        <v/>
      </c>
      <c r="AT151" s="63" t="str">
        <f aca="false">IF(Tasks[[#This Row],[Task Name]]="","",IF(Tasks[[#This Row],[_IsSummary]],MIN(INDEX(Tasks[_LeafLateStart],Tasks[[#This Row],[_Row]]+1):INDEX(Tasks[_LeafLateStart],Tasks[[#This Row],[_Row]]+Tasks[[#This Row],[_Descendants]])),Tasks[[#This Row],[_LeafLateStart]]))</f>
        <v/>
      </c>
      <c r="AU151" s="63" t="str">
        <f aca="false">IF(Tasks[[#This Row],[Task Name]]="","",IF(Tasks[[#This Row],[_IsSummary]],MAX(INDEX(Tasks[_LeafLateFinish],Tasks[[#This Row],[_Row]]+1):INDEX(Tasks[_LeafLateFinish],Tasks[[#This Row],[_Row]]+Tasks[[#This Row],[_Descendants]])),Tasks[[#This Row],[_LeafLateFinish]]))</f>
        <v/>
      </c>
      <c r="AV151" s="47"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5"/>
      <c r="BA1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6"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7"/>
      <c r="BJ151" s="22"/>
      <c r="BK151" s="47" t="str">
        <f aca="false">IF(OR(Tasks[[#This Row],[Task Name]]="",Tasks[[#This Row],[Baseline Duration]]=""),"",Tasks[[#This Row],[_SpanDays]]-N(Tasks[[#This Row],[Baseline Duration]]))</f>
        <v/>
      </c>
      <c r="BL151" s="86" t="str">
        <f aca="false">IF(OR(Tasks[[#This Row],[Task Name]]="",Tasks[[#This Row],[Baseline Work]]=""),"",Tasks[[#This Row],[Work]]-N(Tasks[[#This Row],[Baseline Work]]))</f>
        <v/>
      </c>
      <c r="BM151" s="63" t="str">
        <f aca="false">IF(Tasks[[#This Row],[Task Name]]="","",IF(OR(TakeBaseline="Yes",N(Tasks[[#This Row],[Baseline Start]])=0),Tasks[[#This Row],[Start]],Tasks[[#This Row],[Baseline Start]]))</f>
        <v/>
      </c>
      <c r="BN151" s="63" t="str">
        <f aca="false">IF(Tasks[[#This Row],[Task Name]]="","",IF(OR(TakeBaseline="Yes",N(Tasks[[#This Row],[Baseline Finish]])=0),Tasks[[#This Row],[Finish]],Tasks[[#This Row],[Baseline Finish]]))</f>
        <v/>
      </c>
      <c r="BO151" s="21" t="str">
        <f aca="false">IF(Tasks[[#This Row],[Task Name]]="","",IF(OR(TakeBaseline="Yes",N(Tasks[[#This Row],[Baseline Duration]])=0),Tasks[[#This Row],[_SpanDays]],Tasks[[#This Row],[Baseline Duration]]))</f>
        <v/>
      </c>
      <c r="BP151" s="86" t="str">
        <f aca="false">IF(Tasks[[#This Row],[Task Name]]="","",IF(OR(TakeBaseline="Yes",N(Tasks[[#This Row],[Baseline Work]])=0),Tasks[[#This Row],[Work]],Tasks[[#This Row],[Baseline Work]]))</f>
        <v/>
      </c>
      <c r="BQ151" s="7"/>
      <c r="BR151" s="7"/>
      <c r="BS151" s="22"/>
      <c r="BT151" s="88"/>
      <c r="BU151" s="23"/>
      <c r="BV151" s="23"/>
      <c r="BW151" s="23"/>
      <c r="BX151" s="89" t="str">
        <f aca="false">IF(AND(Tasks[[#This Row],[_IsLeaf]]=1,ISNUMBER(Tasks[[#This Row],[Optimistic]]),ISNUMBER(Tasks[[#This Row],[Pessimistic]])),ROUND((Tasks[[#This Row],[Optimistic]]+4*N(Tasks[[#This Row],[_Days]])+Tasks[[#This Row],[Pessimistic]])/6,1),"")</f>
        <v/>
      </c>
      <c r="BY151" s="87"/>
      <c r="BZ151" s="87"/>
      <c r="CA151" s="22"/>
      <c r="CB151" s="43" t="str">
        <f aca="false">IF(Tasks[[#This Row],[Task Name]]="","",MAX(1,N(Tasks[[#This Row],[Level]])))</f>
        <v/>
      </c>
      <c r="CC151" s="43" t="n">
        <f aca="false">ROW()-ROW(Tasks[[#Headers],[ID]])</f>
        <v>146</v>
      </c>
      <c r="CD151" s="43" t="n">
        <f aca="false">IF(OR(Tasks[[#This Row],[Task Name]]="",Tasks[[#This Row],[_Level]]&lt;=1),0,IFERROR(LOOKUP(2,1/(Tasks[[#Headers],[_Level]]:Tasks[[#This Row],[_Level]]=Tasks[[#This Row],[_Level]]-1),ROW(Tasks[[#Headers],[_Level]]:Tasks[[#This Row],[_Level]])),0))</f>
        <v>0</v>
      </c>
      <c r="CE151" s="43" t="n">
        <f aca="false">IFERROR(N(INDEX(Tasks[_Level],Tasks[[#This Row],[_Row]]+1)),0)</f>
        <v>0</v>
      </c>
      <c r="CF151" s="90" t="b">
        <f aca="false">AND(Tasks[[#This Row],[Task Name]]&lt;&gt;"",Tasks[[#This Row],[_NextLevel]]&gt;Tasks[[#This Row],[_Level]])</f>
        <v>0</v>
      </c>
      <c r="CG151" s="43" t="n">
        <f aca="false">IF(Tasks[[#This Row],[_IsSummary]],COUNTIF(Tasks[WBS],Tasks[[#This Row],[WBS]]&amp;".*"),0)</f>
        <v>0</v>
      </c>
      <c r="CH151" s="43" t="n">
        <f aca="false">IF(AND(Tasks[[#This Row],[Task Name]]&lt;&gt;"",NOT(Tasks[[#This Row],[_IsSummary]])),1,0)</f>
        <v>0</v>
      </c>
      <c r="CI151" s="43" t="n">
        <f aca="false">IF(N(Tasks[[#This Row],[_Pred1UID]])=0,0,IFERROR(MATCH(Tasks[[#This Row],[_Pred1UID]],Tasks[UID],0),-1))</f>
        <v>0</v>
      </c>
      <c r="CJ151" s="43" t="n">
        <f aca="false">IF(N(Tasks[[#This Row],[_Pred2UID]])=0,0,IFERROR(MATCH(Tasks[[#This Row],[_Pred2UID]],Tasks[UID],0),-1))</f>
        <v>0</v>
      </c>
      <c r="CK151" s="43" t="n">
        <f aca="false">IF(N(Tasks[[#This Row],[_Pred3UID]])=0,0,IFERROR(MATCH(Tasks[[#This Row],[_Pred3UID]],Tasks[UID],0),-1))</f>
        <v>0</v>
      </c>
      <c r="CL151" s="43" t="n">
        <f aca="false">IF(N(Tasks[[#This Row],[_Pred4UID]])=0,0,IFERROR(MATCH(Tasks[[#This Row],[_Pred4UID]],Tasks[UID],0),-1))</f>
        <v>0</v>
      </c>
      <c r="CM1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1" s="91" t="n">
        <f aca="false">IF(OR(Tasks[[#This Row],[_ConstraintCode]]=2,Tasks[[#This Row],[_ConstraintCode]]=3,Tasks[[#This Row],[_ConstraintCode]]=4,Tasks[[#This Row],[_ConstraintCode]]=6),Tasks[[#This Row],[_ConstraintStart]],0)</f>
        <v>0</v>
      </c>
      <c r="CP151" s="91" t="n">
        <f aca="false">IF(OR(Tasks[[#This Row],[_ConstraintCode]]=2,Tasks[[#This Row],[_ConstraintCode]]=3,Tasks[[#This Row],[_ConstraintCode]]=5,Tasks[[#This Row],[_ConstraintCode]]=7),Tasks[[#This Row],[_ConstraintStart]],2958465)</f>
        <v>2958465</v>
      </c>
      <c r="CQ1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91" t="str">
        <f aca="false">IF(NOT(Tasks[[#This Row],[_IsLeaf]]=1),"",IF(N(Tasks[[#This Row],[_Days]])&lt;=0,Tasks[[#This Row],[_LeafCalcStart]],WORKDAY.INTL(Tasks[[#This Row],[_LeafCalcStart]],Tasks[[#This Row],[_Days]]-1,WorkWeek,Holidays)))</f>
        <v/>
      </c>
      <c r="CS1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3" t="str">
        <f aca="false">IF(Tasks[[#This Row],[_Predecessors]]="","",TRIM(MID(SUBSTITUTE(SUBSTITUTE(SUBSTITUTE(UPPER(Tasks[[#This Row],[_Predecessors]]),";",",")," ",""),",",REPT(" ",99)),1,99)))</f>
        <v/>
      </c>
      <c r="CV151" s="43" t="str">
        <f aca="false">IF(Tasks[[#This Row],[_Pred1Text]]="","",IFERROR(VALUE(LEFT(Tasks[[#This Row],[_Pred1Text]],MIN(FIND("F",Tasks[[#This Row],[_Pred1Text]]&amp;"F"),FIND("S",Tasks[[#This Row],[_Pred1Text]]&amp;"S"),FIND("+",Tasks[[#This Row],[_Pred1Text]]&amp;"+"),FIND("-",Tasks[[#This Row],[_Pred1Text]]&amp;"-"))-1)),""))</f>
        <v/>
      </c>
      <c r="CW1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3" t="str">
        <f aca="false">IF(Tasks[[#This Row],[_Pred1Text]]="","",TRIM(MID(SUBSTITUTE(SUBSTITUTE(SUBSTITUTE(UPPER(Tasks[[#This Row],[_Predecessors]]),";",",")," ",""),",",REPT(" ",99)),100,99)))</f>
        <v/>
      </c>
      <c r="CZ151" s="43" t="str">
        <f aca="false">IF(Tasks[[#This Row],[_Pred2Text]]="","",IFERROR(VALUE(LEFT(Tasks[[#This Row],[_Pred2Text]],MIN(FIND("F",Tasks[[#This Row],[_Pred2Text]]&amp;"F"),FIND("S",Tasks[[#This Row],[_Pred2Text]]&amp;"S"),FIND("+",Tasks[[#This Row],[_Pred2Text]]&amp;"+"),FIND("-",Tasks[[#This Row],[_Pred2Text]]&amp;"-"))-1)),""))</f>
        <v/>
      </c>
      <c r="DA1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3" t="str">
        <f aca="false">IF(Tasks[[#This Row],[_Pred2Text]]="","",TRIM(MID(SUBSTITUTE(SUBSTITUTE(SUBSTITUTE(UPPER(Tasks[[#This Row],[_Predecessors]]),";",",")," ",""),",",REPT(" ",99)),199,99)))</f>
        <v/>
      </c>
      <c r="DD151" s="43" t="str">
        <f aca="false">IF(Tasks[[#This Row],[_Pred3Text]]="","",IFERROR(VALUE(LEFT(Tasks[[#This Row],[_Pred3Text]],MIN(FIND("F",Tasks[[#This Row],[_Pred3Text]]&amp;"F"),FIND("S",Tasks[[#This Row],[_Pred3Text]]&amp;"S"),FIND("+",Tasks[[#This Row],[_Pred3Text]]&amp;"+"),FIND("-",Tasks[[#This Row],[_Pred3Text]]&amp;"-"))-1)),""))</f>
        <v/>
      </c>
      <c r="DE1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3" t="str">
        <f aca="false">IF(Tasks[[#This Row],[_Pred3Text]]="","",TRIM(MID(SUBSTITUTE(SUBSTITUTE(SUBSTITUTE(UPPER(Tasks[[#This Row],[_Predecessors]]),";",",")," ",""),",",REPT(" ",99)),298,99)))</f>
        <v/>
      </c>
      <c r="DH151" s="43" t="str">
        <f aca="false">IF(Tasks[[#This Row],[_Pred4Text]]="","",IFERROR(VALUE(LEFT(Tasks[[#This Row],[_Pred4Text]],MIN(FIND("F",Tasks[[#This Row],[_Pred4Text]]&amp;"F"),FIND("S",Tasks[[#This Row],[_Pred4Text]]&amp;"S"),FIND("+",Tasks[[#This Row],[_Pred4Text]]&amp;"+"),FIND("-",Tasks[[#This Row],[_Pred4Text]]&amp;"-"))-1)),""))</f>
        <v/>
      </c>
      <c r="DI1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3" t="str">
        <f aca="false">IF(OR(Tasks[[#This Row],[Task Name]]="",Tasks[[#This Row],[_Resources]]=""),"",TRIM(MID(SUBSTITUTE(Tasks[[#This Row],[_Resources]],",",REPT(" ",99)),1,99)))</f>
        <v/>
      </c>
      <c r="DL151" s="43" t="str">
        <f aca="false">IF(Tasks[[#This Row],[_Res1Text]]="","",TRIM(MID(SUBSTITUTE(Tasks[[#This Row],[_Resources]],",",REPT(" ",99)),100,99)))</f>
        <v/>
      </c>
      <c r="DM151" s="43" t="str">
        <f aca="false">IF(Tasks[[#This Row],[_Res2Text]]="","",TRIM(MID(SUBSTITUTE(Tasks[[#This Row],[_Resources]],",",REPT(" ",99)),199,99)))</f>
        <v/>
      </c>
      <c r="DN151" s="43" t="str">
        <f aca="false">IF(Tasks[[#This Row],[_Res3Text]]="","",TRIM(MID(SUBSTITUTE(Tasks[[#This Row],[_Resources]],",",REPT(" ",99)),298,99)))</f>
        <v/>
      </c>
      <c r="DO151" s="43" t="n">
        <f aca="false">IF(Tasks[[#This Row],[_Res1Text]]="",0,IFERROR(MATCH(TRIM(LEFT(Tasks[[#This Row],[_Res1Text]],FIND("[",Tasks[[#This Row],[_Res1Text]]&amp;"[")-1)),res_Name,0),IFERROR(MATCH(TRIM(LEFT(Tasks[[#This Row],[_Res1Text]],FIND("[",Tasks[[#This Row],[_Res1Text]]&amp;"[")-1)),res_Initials,0),0)))</f>
        <v>0</v>
      </c>
      <c r="DP151" s="43" t="n">
        <f aca="false">IF(Tasks[[#This Row],[_Res2Text]]="",0,IFERROR(MATCH(TRIM(LEFT(Tasks[[#This Row],[_Res2Text]],FIND("[",Tasks[[#This Row],[_Res2Text]]&amp;"[")-1)),res_Name,0),IFERROR(MATCH(TRIM(LEFT(Tasks[[#This Row],[_Res2Text]],FIND("[",Tasks[[#This Row],[_Res2Text]]&amp;"[")-1)),res_Initials,0),0)))</f>
        <v>0</v>
      </c>
      <c r="DQ151" s="43" t="n">
        <f aca="false">IF(Tasks[[#This Row],[_Res3Text]]="",0,IFERROR(MATCH(TRIM(LEFT(Tasks[[#This Row],[_Res3Text]],FIND("[",Tasks[[#This Row],[_Res3Text]]&amp;"[")-1)),res_Name,0),IFERROR(MATCH(TRIM(LEFT(Tasks[[#This Row],[_Res3Text]],FIND("[",Tasks[[#This Row],[_Res3Text]]&amp;"[")-1)),res_Initials,0),0)))</f>
        <v>0</v>
      </c>
      <c r="DR151" s="43" t="n">
        <f aca="false">IF(Tasks[[#This Row],[_Res4Text]]="",0,IFERROR(MATCH(TRIM(LEFT(Tasks[[#This Row],[_Res4Text]],FIND("[",Tasks[[#This Row],[_Res4Text]]&amp;"[")-1)),res_Name,0),IFERROR(MATCH(TRIM(LEFT(Tasks[[#This Row],[_Res4Text]],FIND("[",Tasks[[#This Row],[_Res4Text]]&amp;"[")-1)),res_Initials,0),0)))</f>
        <v>0</v>
      </c>
      <c r="DS151" s="43" t="str">
        <f aca="false">IF(Tasks[[#This Row],[_Res1Text]]="","",IF(Tasks[[#This Row],[_Res1Row]]&gt;0,INDEX(res_Name,Tasks[[#This Row],[_Res1Row]]),TRIM(LEFT(Tasks[[#This Row],[_Res1Text]],FIND("[",Tasks[[#This Row],[_Res1Text]]&amp;"[")-1))))</f>
        <v/>
      </c>
      <c r="DT1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3" t="n">
        <f aca="false">IF(NOT(Tasks[[#This Row],[_IsLeaf]]=1),0,(Tasks[[#This Row],[_Resource1]]&lt;&gt;"")+(Tasks[[#This Row],[_Res2]]&lt;&gt;"")+(Tasks[[#This Row],[_Res3]]&lt;&gt;"")+(Tasks[[#This Row],[_Res4]]&lt;&gt;""))</f>
        <v>0</v>
      </c>
      <c r="DV151" s="43" t="str">
        <f aca="false">IF(Tasks[[#This Row],[_Res2Text]]="","",IF(Tasks[[#This Row],[_Res2Row]]&gt;0,INDEX(res_Name,Tasks[[#This Row],[_Res2Row]]),TRIM(LEFT(Tasks[[#This Row],[_Res2Text]],FIND("[",Tasks[[#This Row],[_Res2Text]]&amp;"[")-1))))</f>
        <v/>
      </c>
      <c r="DW1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3" t="n">
        <f aca="false">IF(OR(NOT(Tasks[[#This Row],[_IsLeaf]]=1),Tasks[[#This Row],[_Res2Row]]=0),0,N(Tasks[[#This Row],[_Days]])*HoursPerDay*IF(Tasks[[#This Row],[_Res2Units]]="",DefaultUnits,Tasks[[#This Row],[_Res2Units]]))</f>
        <v>0</v>
      </c>
      <c r="DY151" s="43" t="n">
        <f aca="false">IF(AND(AND(Tasks[[#This Row],[_IsLeaf]]=1,Tasks[[#This Row],[_LeafTotalWork]]&gt;0),Tasks[[#This Row],[_Res2Work]]&gt;0),Tasks[[#This Row],[_Res2Work]]/(Tasks[[#This Row],[_FinishWorkday]]-Tasks[[#This Row],[_StartWorkday]]+1),0)</f>
        <v>0</v>
      </c>
      <c r="DZ151" s="43" t="n">
        <f aca="false">Tasks[[#This Row],[_Res2WorkPerWD]]*MAX(0,Tasks[[#This Row],[_StartWorkday]]-1)</f>
        <v>0</v>
      </c>
      <c r="EA151" s="43" t="n">
        <f aca="false">Tasks[[#This Row],[_Res2Work]]*Tasks[[#This Row],[_LeafProgress]]</f>
        <v>0</v>
      </c>
      <c r="EB151" s="43" t="str">
        <f aca="false">IF(Tasks[[#This Row],[_Res3Text]]="","",IF(Tasks[[#This Row],[_Res3Row]]&gt;0,INDEX(res_Name,Tasks[[#This Row],[_Res3Row]]),TRIM(LEFT(Tasks[[#This Row],[_Res3Text]],FIND("[",Tasks[[#This Row],[_Res3Text]]&amp;"[")-1))))</f>
        <v/>
      </c>
      <c r="EC1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3" t="n">
        <f aca="false">IF(OR(NOT(Tasks[[#This Row],[_IsLeaf]]=1),Tasks[[#This Row],[_Res3Row]]=0),0,N(Tasks[[#This Row],[_Days]])*HoursPerDay*IF(Tasks[[#This Row],[_Res3Units]]="",DefaultUnits,Tasks[[#This Row],[_Res3Units]]))</f>
        <v>0</v>
      </c>
      <c r="EE151" s="43" t="n">
        <f aca="false">IF(AND(AND(Tasks[[#This Row],[_IsLeaf]]=1,Tasks[[#This Row],[_LeafTotalWork]]&gt;0),Tasks[[#This Row],[_Res3Work]]&gt;0),Tasks[[#This Row],[_Res3Work]]/(Tasks[[#This Row],[_FinishWorkday]]-Tasks[[#This Row],[_StartWorkday]]+1),0)</f>
        <v>0</v>
      </c>
      <c r="EF151" s="43" t="n">
        <f aca="false">Tasks[[#This Row],[_Res3WorkPerWD]]*MAX(0,Tasks[[#This Row],[_StartWorkday]]-1)</f>
        <v>0</v>
      </c>
      <c r="EG151" s="43" t="n">
        <f aca="false">Tasks[[#This Row],[_Res3Work]]*Tasks[[#This Row],[_LeafProgress]]</f>
        <v>0</v>
      </c>
      <c r="EH151" s="43" t="str">
        <f aca="false">IF(Tasks[[#This Row],[_Res4Text]]="","",IF(Tasks[[#This Row],[_Res4Row]]&gt;0,INDEX(res_Name,Tasks[[#This Row],[_Res4Row]]),TRIM(LEFT(Tasks[[#This Row],[_Res4Text]],FIND("[",Tasks[[#This Row],[_Res4Text]]&amp;"[")-1))))</f>
        <v/>
      </c>
      <c r="EI1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3" t="n">
        <f aca="false">IF(OR(NOT(Tasks[[#This Row],[_IsLeaf]]=1),Tasks[[#This Row],[_Res4Row]]=0),0,N(Tasks[[#This Row],[_Days]])*HoursPerDay*IF(Tasks[[#This Row],[_Res4Units]]="",DefaultUnits,Tasks[[#This Row],[_Res4Units]]))</f>
        <v>0</v>
      </c>
      <c r="EK151" s="43" t="n">
        <f aca="false">IF(AND(AND(Tasks[[#This Row],[_IsLeaf]]=1,Tasks[[#This Row],[_LeafTotalWork]]&gt;0),Tasks[[#This Row],[_Res4Work]]&gt;0),Tasks[[#This Row],[_Res4Work]]/(Tasks[[#This Row],[_FinishWorkday]]-Tasks[[#This Row],[_StartWorkday]]+1),0)</f>
        <v>0</v>
      </c>
      <c r="EL151" s="43" t="n">
        <f aca="false">Tasks[[#This Row],[_Res4WorkPerWD]]*MAX(0,Tasks[[#This Row],[_StartWorkday]]-1)</f>
        <v>0</v>
      </c>
      <c r="EM151" s="43" t="n">
        <f aca="false">Tasks[[#This Row],[_Res4Work]]*Tasks[[#This Row],[_LeafProgress]]</f>
        <v>0</v>
      </c>
      <c r="EN151" s="43" t="n">
        <f aca="false">IF(ISNUMBER(Tasks[[#This Row],[% Complete]]),Tasks[[#This Row],[% Complete]],IF(Tasks[[#This Row],[Stage]]="",0,IFERROR(INDEX(stg_Pct,MATCH(Tasks[[#This Row],[Stage]],stg_Name,0)),0)))</f>
        <v>0</v>
      </c>
      <c r="EO151" s="43" t="n">
        <f aca="false">IF(NOT(Tasks[[#This Row],[_IsLeaf]]=1),0,IF(N(Tasks[[#This Row],[Actual Finish]])&gt;0,1,MIN(1,Tasks[[#This Row],[_Pct]])))</f>
        <v>0</v>
      </c>
      <c r="EP151" s="43" t="n">
        <f aca="false">IF(OR(NOT(Tasks[[#This Row],[_IsLeaf]]=1),Tasks[[#This Row],[_Res1Row]]=0),0,N(Tasks[[#This Row],[_Days]])*HoursPerDay*IF(Tasks[[#This Row],[_Units1]]="",DefaultUnits,Tasks[[#This Row],[_Units1]]))</f>
        <v>0</v>
      </c>
      <c r="EQ151" s="43" t="n">
        <f aca="false">Tasks[[#This Row],[_LeafWork]]+Tasks[[#This Row],[_Res2Work]]+Tasks[[#This Row],[_Res3Work]]+Tasks[[#This Row],[_Res4Work]]</f>
        <v>0</v>
      </c>
      <c r="ER1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3" t="n">
        <f aca="false">IF(NOT(Tasks[[#This Row],[_IsLeaf]]=1),0,MAX(_xlfn.MAXIFS(Tasks[_Row],Tasks[_Pred1UID],Tasks[[#This Row],[UID]]),_xlfn.MAXIFS(Tasks[_Row],Tasks[_Pred2UID],Tasks[[#This Row],[UID]]),_xlfn.MAXIFS(Tasks[_Row],Tasks[_Pred3UID],Tasks[[#This Row],[UID]]),_xlfn.MAXIFS(Tasks[_Row],Tasks[_Pred4UID],Tasks[[#This Row],[UID]])))</f>
        <v>0</v>
      </c>
      <c r="FA1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91" t="str">
        <f aca="false">IF(NOT(Tasks[[#This Row],[_IsLeaf]]=1),"",IF(N(Tasks[[#This Row],[_Days]])&lt;=0,Tasks[[#This Row],[_LeafLateFinish]],WORKDAY.INTL(Tasks[[#This Row],[_LeafLateFinish]],-(Tasks[[#This Row],[_Days]]-1),WorkWeek,Holidays)))</f>
        <v/>
      </c>
      <c r="FD1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1" s="90" t="b">
        <f aca="false">AND(Tasks[[#This Row],[_IsLeaf]]=1,Tasks[[#This Row],[_LeafProgress]]&lt;1,N(Tasks[[#This Row],[_LeafTotalSlack]])&lt;=CriticalSlackDays)</f>
        <v>0</v>
      </c>
      <c r="FF151" s="43" t="n">
        <f aca="false">IF(AND(Tasks[[#This Row],[_IsLeaf]]=1,Tasks[[#This Row],[_ConstraintCode]]=1,Tasks[[#This Row],[Mode]]&lt;&gt;"Manual",N(Tasks[[#This Row],[Actual Start]])=0),MAX(0,N(Tasks[[#This Row],[Free Slack]])),0)</f>
        <v>0</v>
      </c>
      <c r="FG151" s="91" t="str">
        <f aca="false">IF(NOT(Tasks[[#This Row],[_IsLeaf]]=1),"",IF(Tasks[[#This Row],[_AlapShift]]=0,Tasks[[#This Row],[_LeafCalcStart]],WORKDAY.INTL(Tasks[[#This Row],[_LeafCalcStart]],Tasks[[#This Row],[_AlapShift]],WorkWeek,Holidays)))</f>
        <v/>
      </c>
      <c r="FH151" s="91" t="str">
        <f aca="false">IF(NOT(Tasks[[#This Row],[_IsLeaf]]=1),"",IF(Tasks[[#This Row],[_AlapShift]]=0,Tasks[[#This Row],[_LeafCalcFinish]],WORKDAY.INTL(Tasks[[#This Row],[_LeafCalcFinish]],Tasks[[#This Row],[_AlapShift]],WorkWeek,Holidays)))</f>
        <v/>
      </c>
      <c r="FI151" s="91" t="str">
        <f aca="false">IF(NOT(Tasks[[#This Row],[_IsLeaf]]=1),"",IF(Tasks[[#This Row],[_AlapShift]]=0,Tasks[[#This Row],[_LeafFcstStart]],WORKDAY.INTL(Tasks[[#This Row],[_LeafFcstStart]],Tasks[[#This Row],[_AlapShift]],WorkWeek,Holidays)))</f>
        <v/>
      </c>
      <c r="FJ151" s="91" t="str">
        <f aca="false">IF(NOT(Tasks[[#This Row],[_IsLeaf]]=1),"",IF(Tasks[[#This Row],[_AlapShift]]=0,Tasks[[#This Row],[_LeafFcstFinish]],WORKDAY.INTL(Tasks[[#This Row],[_LeafFcstFinish]],Tasks[[#This Row],[_AlapShift]],WorkWeek,Holidays)))</f>
        <v/>
      </c>
      <c r="FK151" s="91" t="str">
        <f aca="false">IF(Tasks[[#This Row],[Task Name]]="","",IF(Tasks[[#This Row],[_IsSummary]],MIN(INDEX(Tasks[_ShownCalcStart],Tasks[[#This Row],[_Row]]+1):INDEX(Tasks[_ShownCalcStart],Tasks[[#This Row],[_Row]]+Tasks[[#This Row],[_Descendants]])),Tasks[[#This Row],[_ShownCalcStart]]))</f>
        <v/>
      </c>
      <c r="FL151" s="91" t="str">
        <f aca="false">IF(Tasks[[#This Row],[Task Name]]="","",IF(Tasks[[#This Row],[_IsSummary]],MAX(INDEX(Tasks[_ShownCalcFinish],Tasks[[#This Row],[_Row]]+1):INDEX(Tasks[_ShownCalcFinish],Tasks[[#This Row],[_Row]]+Tasks[[#This Row],[_Descendants]])),Tasks[[#This Row],[_ShownCalcFinish]]))</f>
        <v/>
      </c>
      <c r="FM1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1" s="43" t="n">
        <f aca="false">IF(AND(Tasks[[#This Row],[_IsLeaf]]=1,Tasks[[#This Row],[_LeafTotalWork]]&gt;0),NETWORKDAYS.INTL(ProjectStart,Tasks[[#This Row],[_ShownFcstStart]],WorkWeek,Holidays),0)</f>
        <v>0</v>
      </c>
      <c r="FZ151" s="43" t="n">
        <f aca="false">IF(AND(Tasks[[#This Row],[_IsLeaf]]=1,Tasks[[#This Row],[_LeafTotalWork]]&gt;0),MAX(Tasks[[#This Row],[_StartWorkday]],NETWORKDAYS.INTL(ProjectStart,Tasks[[#This Row],[_ShownFcstFinish]],WorkWeek,Holidays)),0)</f>
        <v>0</v>
      </c>
      <c r="GA151" s="43" t="n">
        <f aca="false">IF(AND(Tasks[[#This Row],[_IsLeaf]]=1,Tasks[[#This Row],[_LeafTotalWork]]&gt;0),Tasks[[#This Row],[_LeafWork]]/(Tasks[[#This Row],[_FinishWorkday]]-Tasks[[#This Row],[_StartWorkday]]+1),0)</f>
        <v>0</v>
      </c>
      <c r="GB151" s="43" t="n">
        <f aca="false">Tasks[[#This Row],[_WorkPerWorkday]]*(Tasks[[#This Row],[_StartWorkday]]-1)</f>
        <v>-0</v>
      </c>
      <c r="GC151" s="43" t="n">
        <f aca="false">IF(Tasks[[#This Row],[_IsLeaf]]=1,MAX(N(Tasks[[#This Row],[_Days]]),0.1),0)</f>
        <v>0</v>
      </c>
      <c r="GD151" s="43" t="n">
        <f aca="false">Tasks[[#This Row],[_WeightDur]]*Tasks[[#This Row],[_LeafProgress]]</f>
        <v>0</v>
      </c>
      <c r="GE151" s="43" t="n">
        <f aca="false">Tasks[[#This Row],[_WeightDur]]*Tasks[[#This Row],[_PlannedPct]]</f>
        <v>0</v>
      </c>
      <c r="GF1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3" t="str">
        <f aca="false">IF(AND(Tasks[[#This Row],[_IsLeaf]]=1,N(Tasks[[#This Row],[_Days]])=0,Tasks[[#This Row],[_LeafProgress]]&lt;1),Tasks[[#This Row],[_ShownFcstFinish]]+Tasks[[#This Row],[_Row]]/100000,"")</f>
        <v/>
      </c>
      <c r="GH1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1" s="43" t="str">
        <f aca="false">IF(Tasks[[#This Row],[Task Name]]="","",LEFT(Tasks[[#This Row],[WBS]],FIND(".",Tasks[[#This Row],[WBS]]&amp;".")-1))</f>
        <v/>
      </c>
      <c r="GJ151" s="43" t="str">
        <f aca="false">IF(AND(Tasks[[#This Row],[Task Name]]&lt;&gt;"",Tasks[[#This Row],[_Level]]=1),Tasks[[#This Row],[_Row]],"")</f>
        <v/>
      </c>
      <c r="GK151" s="43" t="str">
        <f aca="false">IF(AND(Tasks[[#This Row],[_IsLeaf]]=1,N(Tasks[[#This Row],[_Days]])=0),Tasks[[#This Row],[Planned Finish]]+Tasks[[#This Row],[_Row]]/100000,"")</f>
        <v/>
      </c>
      <c r="GL151" s="43" t="str">
        <f aca="false">IF(AND(Tasks[[#This Row],[_IsLeaf]]=1,Tasks[[#This Row],[_LeafProgress]]&lt;1,OR(N(Tasks[[#This Row],[Finish Var]])&gt;0,Tasks[[#This Row],[Status]]="Late Start")),MAX(0,Tasks[[#This Row],[Finish Var]])+1-Tasks[[#This Row],[_Row]]/1000000,"")</f>
        <v/>
      </c>
      <c r="GM151" s="43" t="str">
        <f aca="false">IF(AND(Tasks[[#This Row],[_IsLeaf]]=1,N(Tasks[[#This Row],[Actual Start]])=0,Tasks[[#This Row],[_ShownFcstStart]]&gt;=StatusDate,Tasks[[#This Row],[_ShownFcstStart]]&lt;=LookaheadEnd),Tasks[[#This Row],[_ShownFcstStart]]+Tasks[[#This Row],[_Row]]/100000,"")</f>
        <v/>
      </c>
      <c r="GN151" s="43" t="str">
        <f aca="false">IF(AND(Tasks[[#This Row],[_IsLeaf]]=1,Tasks[[#This Row],[_LeafProgress]]&lt;1,Tasks[[#This Row],[_ShownFcstFinish]]&gt;=StatusDate,Tasks[[#This Row],[_ShownFcstFinish]]&lt;=LookaheadEnd),Tasks[[#This Row],[_ShownFcstFinish]]+Tasks[[#This Row],[_Row]]/100000,"")</f>
        <v/>
      </c>
      <c r="GO151" s="43" t="str">
        <f aca="false">IF(Tasks[[#This Row],[_LeafCritical]],Tasks[[#This Row],[_ShownFcstStart]]+Tasks[[#This Row],[_Row]]/100000,"")</f>
        <v/>
      </c>
      <c r="GP151" s="43" t="n">
        <f aca="false">Tasks[[#This Row],[_LeafWork]]*Tasks[[#This Row],[_LeafProgress]]</f>
        <v>0</v>
      </c>
      <c r="GQ151" s="91" t="str">
        <f aca="false">IF(AND(Tasks[[#This Row],[_IsLeaf]]=1,Tasks[[#This Row],[_LeafProgress]]&gt;=1),IF(N(Tasks[[#This Row],[Actual Finish]])&gt;0,Tasks[[#This Row],[Actual Finish]],Tasks[[#This Row],[_ShownFcstFinish]]),"")</f>
        <v/>
      </c>
      <c r="GR151" s="43" t="n">
        <f aca="false">IF(Tasks[[#This Row],[_IsLeaf]]=1,N(Tasks[[#This Row],[Story Points]]),0)</f>
        <v>0</v>
      </c>
      <c r="GS151" s="43" t="str">
        <f aca="false">""</f>
        <v/>
      </c>
      <c r="GT151" s="90" t="b">
        <f aca="false">IF(Tasks[[#This Row],[Task Name]]="",FALSE(),AND(Tasks[[#This Row],[_IsLeaf]]=1,N(Tasks[[#This Row],[_Days]])=0))</f>
        <v>0</v>
      </c>
      <c r="GU151" s="91" t="n">
        <f aca="false">IF(Tasks[[#This Row],[Task Name]]="",0,IF(AND(Tasks[[#This Row],[_IsLeaf]]=1,NOT(Tasks[[#This Row],[_IsMilestone]]),N(Tasks[[#This Row],[Progress]])&gt;0),Tasks[[#This Row],[Start]],0))</f>
        <v>0</v>
      </c>
      <c r="GV151" s="91" t="n">
        <f aca="false">IF(Tasks[[#This Row],[_DoneFrom]]=0,0,IF(Tasks[[#This Row],[Progress]]&gt;=1,Tasks[[#This Row],[Finish]],MAX(Tasks[[#This Row],[_DoneFrom]],Tasks[[#This Row],[Start]]+ROUND((Tasks[[#This Row],[Finish]]-Tasks[[#This Row],[Start]]+1)*Tasks[[#This Row],[Progress]],0)-1)))</f>
        <v>0</v>
      </c>
      <c r="GW151" s="91" t="n">
        <f aca="false">IF(Tasks[[#This Row],[Task Name]]="",0,IF(OR(NOT(Tasks[[#This Row],[_IsLeaf]]=1),Tasks[[#This Row],[_IsMilestone]],N(Tasks[[#This Row],[Progress]])&gt;=1),0,IF(Tasks[[#This Row],[_DoneTo]]&gt;0,Tasks[[#This Row],[_DoneTo]]+1,Tasks[[#This Row],[Start]])))</f>
        <v>0</v>
      </c>
      <c r="GX151" s="91" t="n">
        <f aca="false">IF(Tasks[[#This Row],[_RemFrom]]=0,0,Tasks[[#This Row],[Finish]])</f>
        <v>0</v>
      </c>
      <c r="GY151" s="90" t="b">
        <f aca="false">IF(Tasks[[#This Row],[Task Name]]="",FALSE(),OR(NOT(BaselineSet),N(Tasks[[#This Row],[Baseline Start]])&gt;0))</f>
        <v>0</v>
      </c>
      <c r="GZ15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92" t="str">
        <f aca="false">IF(Tasks[[#This Row],[_IsLeaf]]=1,Tasks[[#This Row],[_Row]],"")</f>
        <v/>
      </c>
      <c r="HD151" s="92" t="str">
        <f aca="false">IFERROR(INDEX(Tasks[UID],SMALL(Tasks[_PickKey],Tasks[[#This Row],[_Row]]))&amp;" "&amp;INDEX(Tasks[Task Name],SMALL(Tasks[_PickKey],Tasks[[#This Row],[_Row]])),"")</f>
        <v/>
      </c>
      <c r="HE151" s="43" t="str">
        <f aca="false">IF(Tasks[[#This Row],[Task Name]]="","",IF(Tasks[[#This Row],[_IsSummary]],NETWORKDAYS.INTL(Tasks[[#This Row],[Start]],Tasks[[#This Row],[Finish]],WorkWeek,Holidays),N(Tasks[[#This Row],[_Days]])))</f>
        <v/>
      </c>
      <c r="HF151" s="43" t="n">
        <f aca="false">IF(Tasks[[#This Row],[Expected]]="",0,((Tasks[[#This Row],[Pessimistic]]-Tasks[[#This Row],[Optimistic]])/6)^2)</f>
        <v>0</v>
      </c>
      <c r="HG151" s="43" t="n">
        <f aca="false">IF(Tasks[[#This Row],[Expected]]="",0,Tasks[[#This Row],[Expected]]-N(Tasks[[#This Row],[_Days]]))</f>
        <v>0</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4"/>
      <c r="U152" s="23"/>
      <c r="V152" s="84"/>
      <c r="W152" s="23"/>
      <c r="X152" s="84"/>
      <c r="Y152" s="23"/>
      <c r="Z152" s="84"/>
      <c r="AA152" s="23"/>
      <c r="AB152" s="23"/>
      <c r="AC152" s="7"/>
      <c r="AD152" s="7"/>
      <c r="AE152" s="63" t="str">
        <f aca="false">IF(Tasks[[#This Row],[Task Name]]="","",IF(Tasks[[#This Row],[_IsSummary]],MIN(INDEX(Tasks[_ShownFcstStart],Tasks[[#This Row],[_Row]]+1):INDEX(Tasks[_ShownFcstStart],Tasks[[#This Row],[_Row]]+Tasks[[#This Row],[_Descendants]])),Tasks[[#This Row],[_ShownFcstStart]]))</f>
        <v/>
      </c>
      <c r="AF152" s="63"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2" s="7"/>
      <c r="AK152" s="22"/>
      <c r="AL152" s="23"/>
      <c r="AM152" s="7"/>
      <c r="AN152" s="47"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3" t="str">
        <f aca="false">IF(Tasks[[#This Row],[Task Name]]="","",IF(N(Tasks[[#This Row],[Baseline Start]])&gt;0,Tasks[[#This Row],[Baseline Start]],Tasks[[#This Row],[_CalcStart]]))</f>
        <v/>
      </c>
      <c r="AR152" s="63" t="str">
        <f aca="false">IF(Tasks[[#This Row],[Task Name]]="","",IF(N(Tasks[[#This Row],[Baseline Finish]])&gt;0,Tasks[[#This Row],[Baseline Finish]],Tasks[[#This Row],[_CalcFinish]]))</f>
        <v/>
      </c>
      <c r="AS152" s="47" t="str">
        <f aca="false">IF(Tasks[[#This Row],[Task Name]]="","",IF(Tasks[[#This Row],[Start]]&gt;=Tasks[[#This Row],[Planned Start]],NETWORKDAYS.INTL(Tasks[[#This Row],[Planned Start]],Tasks[[#This Row],[Start]],WorkWeek,Holidays)-1,1-NETWORKDAYS.INTL(Tasks[[#This Row],[Start]],Tasks[[#This Row],[Planned Start]],WorkWeek,Holidays)))</f>
        <v/>
      </c>
      <c r="AT152" s="63" t="str">
        <f aca="false">IF(Tasks[[#This Row],[Task Name]]="","",IF(Tasks[[#This Row],[_IsSummary]],MIN(INDEX(Tasks[_LeafLateStart],Tasks[[#This Row],[_Row]]+1):INDEX(Tasks[_LeafLateStart],Tasks[[#This Row],[_Row]]+Tasks[[#This Row],[_Descendants]])),Tasks[[#This Row],[_LeafLateStart]]))</f>
        <v/>
      </c>
      <c r="AU152" s="63" t="str">
        <f aca="false">IF(Tasks[[#This Row],[Task Name]]="","",IF(Tasks[[#This Row],[_IsSummary]],MAX(INDEX(Tasks[_LeafLateFinish],Tasks[[#This Row],[_Row]]+1):INDEX(Tasks[_LeafLateFinish],Tasks[[#This Row],[_Row]]+Tasks[[#This Row],[_Descendants]])),Tasks[[#This Row],[_LeafLateFinish]]))</f>
        <v/>
      </c>
      <c r="AV152" s="47"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5"/>
      <c r="BA1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6"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7"/>
      <c r="BJ152" s="22"/>
      <c r="BK152" s="47" t="str">
        <f aca="false">IF(OR(Tasks[[#This Row],[Task Name]]="",Tasks[[#This Row],[Baseline Duration]]=""),"",Tasks[[#This Row],[_SpanDays]]-N(Tasks[[#This Row],[Baseline Duration]]))</f>
        <v/>
      </c>
      <c r="BL152" s="86" t="str">
        <f aca="false">IF(OR(Tasks[[#This Row],[Task Name]]="",Tasks[[#This Row],[Baseline Work]]=""),"",Tasks[[#This Row],[Work]]-N(Tasks[[#This Row],[Baseline Work]]))</f>
        <v/>
      </c>
      <c r="BM152" s="63" t="str">
        <f aca="false">IF(Tasks[[#This Row],[Task Name]]="","",IF(OR(TakeBaseline="Yes",N(Tasks[[#This Row],[Baseline Start]])=0),Tasks[[#This Row],[Start]],Tasks[[#This Row],[Baseline Start]]))</f>
        <v/>
      </c>
      <c r="BN152" s="63" t="str">
        <f aca="false">IF(Tasks[[#This Row],[Task Name]]="","",IF(OR(TakeBaseline="Yes",N(Tasks[[#This Row],[Baseline Finish]])=0),Tasks[[#This Row],[Finish]],Tasks[[#This Row],[Baseline Finish]]))</f>
        <v/>
      </c>
      <c r="BO152" s="21" t="str">
        <f aca="false">IF(Tasks[[#This Row],[Task Name]]="","",IF(OR(TakeBaseline="Yes",N(Tasks[[#This Row],[Baseline Duration]])=0),Tasks[[#This Row],[_SpanDays]],Tasks[[#This Row],[Baseline Duration]]))</f>
        <v/>
      </c>
      <c r="BP152" s="86" t="str">
        <f aca="false">IF(Tasks[[#This Row],[Task Name]]="","",IF(OR(TakeBaseline="Yes",N(Tasks[[#This Row],[Baseline Work]])=0),Tasks[[#This Row],[Work]],Tasks[[#This Row],[Baseline Work]]))</f>
        <v/>
      </c>
      <c r="BQ152" s="7"/>
      <c r="BR152" s="7"/>
      <c r="BS152" s="22"/>
      <c r="BT152" s="88"/>
      <c r="BU152" s="23"/>
      <c r="BV152" s="23"/>
      <c r="BW152" s="23"/>
      <c r="BX152" s="89" t="str">
        <f aca="false">IF(AND(Tasks[[#This Row],[_IsLeaf]]=1,ISNUMBER(Tasks[[#This Row],[Optimistic]]),ISNUMBER(Tasks[[#This Row],[Pessimistic]])),ROUND((Tasks[[#This Row],[Optimistic]]+4*N(Tasks[[#This Row],[_Days]])+Tasks[[#This Row],[Pessimistic]])/6,1),"")</f>
        <v/>
      </c>
      <c r="BY152" s="87"/>
      <c r="BZ152" s="87"/>
      <c r="CA152" s="22"/>
      <c r="CB152" s="43" t="str">
        <f aca="false">IF(Tasks[[#This Row],[Task Name]]="","",MAX(1,N(Tasks[[#This Row],[Level]])))</f>
        <v/>
      </c>
      <c r="CC152" s="43" t="n">
        <f aca="false">ROW()-ROW(Tasks[[#Headers],[ID]])</f>
        <v>147</v>
      </c>
      <c r="CD152" s="43" t="n">
        <f aca="false">IF(OR(Tasks[[#This Row],[Task Name]]="",Tasks[[#This Row],[_Level]]&lt;=1),0,IFERROR(LOOKUP(2,1/(Tasks[[#Headers],[_Level]]:Tasks[[#This Row],[_Level]]=Tasks[[#This Row],[_Level]]-1),ROW(Tasks[[#Headers],[_Level]]:Tasks[[#This Row],[_Level]])),0))</f>
        <v>0</v>
      </c>
      <c r="CE152" s="43" t="n">
        <f aca="false">IFERROR(N(INDEX(Tasks[_Level],Tasks[[#This Row],[_Row]]+1)),0)</f>
        <v>0</v>
      </c>
      <c r="CF152" s="90" t="b">
        <f aca="false">AND(Tasks[[#This Row],[Task Name]]&lt;&gt;"",Tasks[[#This Row],[_NextLevel]]&gt;Tasks[[#This Row],[_Level]])</f>
        <v>0</v>
      </c>
      <c r="CG152" s="43" t="n">
        <f aca="false">IF(Tasks[[#This Row],[_IsSummary]],COUNTIF(Tasks[WBS],Tasks[[#This Row],[WBS]]&amp;".*"),0)</f>
        <v>0</v>
      </c>
      <c r="CH152" s="43" t="n">
        <f aca="false">IF(AND(Tasks[[#This Row],[Task Name]]&lt;&gt;"",NOT(Tasks[[#This Row],[_IsSummary]])),1,0)</f>
        <v>0</v>
      </c>
      <c r="CI152" s="43" t="n">
        <f aca="false">IF(N(Tasks[[#This Row],[_Pred1UID]])=0,0,IFERROR(MATCH(Tasks[[#This Row],[_Pred1UID]],Tasks[UID],0),-1))</f>
        <v>0</v>
      </c>
      <c r="CJ152" s="43" t="n">
        <f aca="false">IF(N(Tasks[[#This Row],[_Pred2UID]])=0,0,IFERROR(MATCH(Tasks[[#This Row],[_Pred2UID]],Tasks[UID],0),-1))</f>
        <v>0</v>
      </c>
      <c r="CK152" s="43" t="n">
        <f aca="false">IF(N(Tasks[[#This Row],[_Pred3UID]])=0,0,IFERROR(MATCH(Tasks[[#This Row],[_Pred3UID]],Tasks[UID],0),-1))</f>
        <v>0</v>
      </c>
      <c r="CL152" s="43" t="n">
        <f aca="false">IF(N(Tasks[[#This Row],[_Pred4UID]])=0,0,IFERROR(MATCH(Tasks[[#This Row],[_Pred4UID]],Tasks[UID],0),-1))</f>
        <v>0</v>
      </c>
      <c r="CM1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2" s="91" t="n">
        <f aca="false">IF(OR(Tasks[[#This Row],[_ConstraintCode]]=2,Tasks[[#This Row],[_ConstraintCode]]=3,Tasks[[#This Row],[_ConstraintCode]]=4,Tasks[[#This Row],[_ConstraintCode]]=6),Tasks[[#This Row],[_ConstraintStart]],0)</f>
        <v>0</v>
      </c>
      <c r="CP152" s="91" t="n">
        <f aca="false">IF(OR(Tasks[[#This Row],[_ConstraintCode]]=2,Tasks[[#This Row],[_ConstraintCode]]=3,Tasks[[#This Row],[_ConstraintCode]]=5,Tasks[[#This Row],[_ConstraintCode]]=7),Tasks[[#This Row],[_ConstraintStart]],2958465)</f>
        <v>2958465</v>
      </c>
      <c r="CQ1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91" t="str">
        <f aca="false">IF(NOT(Tasks[[#This Row],[_IsLeaf]]=1),"",IF(N(Tasks[[#This Row],[_Days]])&lt;=0,Tasks[[#This Row],[_LeafCalcStart]],WORKDAY.INTL(Tasks[[#This Row],[_LeafCalcStart]],Tasks[[#This Row],[_Days]]-1,WorkWeek,Holidays)))</f>
        <v/>
      </c>
      <c r="CS1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3" t="str">
        <f aca="false">IF(Tasks[[#This Row],[_Predecessors]]="","",TRIM(MID(SUBSTITUTE(SUBSTITUTE(SUBSTITUTE(UPPER(Tasks[[#This Row],[_Predecessors]]),";",",")," ",""),",",REPT(" ",99)),1,99)))</f>
        <v/>
      </c>
      <c r="CV152" s="43" t="str">
        <f aca="false">IF(Tasks[[#This Row],[_Pred1Text]]="","",IFERROR(VALUE(LEFT(Tasks[[#This Row],[_Pred1Text]],MIN(FIND("F",Tasks[[#This Row],[_Pred1Text]]&amp;"F"),FIND("S",Tasks[[#This Row],[_Pred1Text]]&amp;"S"),FIND("+",Tasks[[#This Row],[_Pred1Text]]&amp;"+"),FIND("-",Tasks[[#This Row],[_Pred1Text]]&amp;"-"))-1)),""))</f>
        <v/>
      </c>
      <c r="CW1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3" t="str">
        <f aca="false">IF(Tasks[[#This Row],[_Pred1Text]]="","",TRIM(MID(SUBSTITUTE(SUBSTITUTE(SUBSTITUTE(UPPER(Tasks[[#This Row],[_Predecessors]]),";",",")," ",""),",",REPT(" ",99)),100,99)))</f>
        <v/>
      </c>
      <c r="CZ152" s="43" t="str">
        <f aca="false">IF(Tasks[[#This Row],[_Pred2Text]]="","",IFERROR(VALUE(LEFT(Tasks[[#This Row],[_Pred2Text]],MIN(FIND("F",Tasks[[#This Row],[_Pred2Text]]&amp;"F"),FIND("S",Tasks[[#This Row],[_Pred2Text]]&amp;"S"),FIND("+",Tasks[[#This Row],[_Pred2Text]]&amp;"+"),FIND("-",Tasks[[#This Row],[_Pred2Text]]&amp;"-"))-1)),""))</f>
        <v/>
      </c>
      <c r="DA1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3" t="str">
        <f aca="false">IF(Tasks[[#This Row],[_Pred2Text]]="","",TRIM(MID(SUBSTITUTE(SUBSTITUTE(SUBSTITUTE(UPPER(Tasks[[#This Row],[_Predecessors]]),";",",")," ",""),",",REPT(" ",99)),199,99)))</f>
        <v/>
      </c>
      <c r="DD152" s="43" t="str">
        <f aca="false">IF(Tasks[[#This Row],[_Pred3Text]]="","",IFERROR(VALUE(LEFT(Tasks[[#This Row],[_Pred3Text]],MIN(FIND("F",Tasks[[#This Row],[_Pred3Text]]&amp;"F"),FIND("S",Tasks[[#This Row],[_Pred3Text]]&amp;"S"),FIND("+",Tasks[[#This Row],[_Pred3Text]]&amp;"+"),FIND("-",Tasks[[#This Row],[_Pred3Text]]&amp;"-"))-1)),""))</f>
        <v/>
      </c>
      <c r="DE1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3" t="str">
        <f aca="false">IF(Tasks[[#This Row],[_Pred3Text]]="","",TRIM(MID(SUBSTITUTE(SUBSTITUTE(SUBSTITUTE(UPPER(Tasks[[#This Row],[_Predecessors]]),";",",")," ",""),",",REPT(" ",99)),298,99)))</f>
        <v/>
      </c>
      <c r="DH152" s="43" t="str">
        <f aca="false">IF(Tasks[[#This Row],[_Pred4Text]]="","",IFERROR(VALUE(LEFT(Tasks[[#This Row],[_Pred4Text]],MIN(FIND("F",Tasks[[#This Row],[_Pred4Text]]&amp;"F"),FIND("S",Tasks[[#This Row],[_Pred4Text]]&amp;"S"),FIND("+",Tasks[[#This Row],[_Pred4Text]]&amp;"+"),FIND("-",Tasks[[#This Row],[_Pred4Text]]&amp;"-"))-1)),""))</f>
        <v/>
      </c>
      <c r="DI1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3" t="str">
        <f aca="false">IF(OR(Tasks[[#This Row],[Task Name]]="",Tasks[[#This Row],[_Resources]]=""),"",TRIM(MID(SUBSTITUTE(Tasks[[#This Row],[_Resources]],",",REPT(" ",99)),1,99)))</f>
        <v/>
      </c>
      <c r="DL152" s="43" t="str">
        <f aca="false">IF(Tasks[[#This Row],[_Res1Text]]="","",TRIM(MID(SUBSTITUTE(Tasks[[#This Row],[_Resources]],",",REPT(" ",99)),100,99)))</f>
        <v/>
      </c>
      <c r="DM152" s="43" t="str">
        <f aca="false">IF(Tasks[[#This Row],[_Res2Text]]="","",TRIM(MID(SUBSTITUTE(Tasks[[#This Row],[_Resources]],",",REPT(" ",99)),199,99)))</f>
        <v/>
      </c>
      <c r="DN152" s="43" t="str">
        <f aca="false">IF(Tasks[[#This Row],[_Res3Text]]="","",TRIM(MID(SUBSTITUTE(Tasks[[#This Row],[_Resources]],",",REPT(" ",99)),298,99)))</f>
        <v/>
      </c>
      <c r="DO152" s="43" t="n">
        <f aca="false">IF(Tasks[[#This Row],[_Res1Text]]="",0,IFERROR(MATCH(TRIM(LEFT(Tasks[[#This Row],[_Res1Text]],FIND("[",Tasks[[#This Row],[_Res1Text]]&amp;"[")-1)),res_Name,0),IFERROR(MATCH(TRIM(LEFT(Tasks[[#This Row],[_Res1Text]],FIND("[",Tasks[[#This Row],[_Res1Text]]&amp;"[")-1)),res_Initials,0),0)))</f>
        <v>0</v>
      </c>
      <c r="DP152" s="43" t="n">
        <f aca="false">IF(Tasks[[#This Row],[_Res2Text]]="",0,IFERROR(MATCH(TRIM(LEFT(Tasks[[#This Row],[_Res2Text]],FIND("[",Tasks[[#This Row],[_Res2Text]]&amp;"[")-1)),res_Name,0),IFERROR(MATCH(TRIM(LEFT(Tasks[[#This Row],[_Res2Text]],FIND("[",Tasks[[#This Row],[_Res2Text]]&amp;"[")-1)),res_Initials,0),0)))</f>
        <v>0</v>
      </c>
      <c r="DQ152" s="43" t="n">
        <f aca="false">IF(Tasks[[#This Row],[_Res3Text]]="",0,IFERROR(MATCH(TRIM(LEFT(Tasks[[#This Row],[_Res3Text]],FIND("[",Tasks[[#This Row],[_Res3Text]]&amp;"[")-1)),res_Name,0),IFERROR(MATCH(TRIM(LEFT(Tasks[[#This Row],[_Res3Text]],FIND("[",Tasks[[#This Row],[_Res3Text]]&amp;"[")-1)),res_Initials,0),0)))</f>
        <v>0</v>
      </c>
      <c r="DR152" s="43" t="n">
        <f aca="false">IF(Tasks[[#This Row],[_Res4Text]]="",0,IFERROR(MATCH(TRIM(LEFT(Tasks[[#This Row],[_Res4Text]],FIND("[",Tasks[[#This Row],[_Res4Text]]&amp;"[")-1)),res_Name,0),IFERROR(MATCH(TRIM(LEFT(Tasks[[#This Row],[_Res4Text]],FIND("[",Tasks[[#This Row],[_Res4Text]]&amp;"[")-1)),res_Initials,0),0)))</f>
        <v>0</v>
      </c>
      <c r="DS152" s="43" t="str">
        <f aca="false">IF(Tasks[[#This Row],[_Res1Text]]="","",IF(Tasks[[#This Row],[_Res1Row]]&gt;0,INDEX(res_Name,Tasks[[#This Row],[_Res1Row]]),TRIM(LEFT(Tasks[[#This Row],[_Res1Text]],FIND("[",Tasks[[#This Row],[_Res1Text]]&amp;"[")-1))))</f>
        <v/>
      </c>
      <c r="DT1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3" t="n">
        <f aca="false">IF(NOT(Tasks[[#This Row],[_IsLeaf]]=1),0,(Tasks[[#This Row],[_Resource1]]&lt;&gt;"")+(Tasks[[#This Row],[_Res2]]&lt;&gt;"")+(Tasks[[#This Row],[_Res3]]&lt;&gt;"")+(Tasks[[#This Row],[_Res4]]&lt;&gt;""))</f>
        <v>0</v>
      </c>
      <c r="DV152" s="43" t="str">
        <f aca="false">IF(Tasks[[#This Row],[_Res2Text]]="","",IF(Tasks[[#This Row],[_Res2Row]]&gt;0,INDEX(res_Name,Tasks[[#This Row],[_Res2Row]]),TRIM(LEFT(Tasks[[#This Row],[_Res2Text]],FIND("[",Tasks[[#This Row],[_Res2Text]]&amp;"[")-1))))</f>
        <v/>
      </c>
      <c r="DW1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3" t="n">
        <f aca="false">IF(OR(NOT(Tasks[[#This Row],[_IsLeaf]]=1),Tasks[[#This Row],[_Res2Row]]=0),0,N(Tasks[[#This Row],[_Days]])*HoursPerDay*IF(Tasks[[#This Row],[_Res2Units]]="",DefaultUnits,Tasks[[#This Row],[_Res2Units]]))</f>
        <v>0</v>
      </c>
      <c r="DY152" s="43" t="n">
        <f aca="false">IF(AND(AND(Tasks[[#This Row],[_IsLeaf]]=1,Tasks[[#This Row],[_LeafTotalWork]]&gt;0),Tasks[[#This Row],[_Res2Work]]&gt;0),Tasks[[#This Row],[_Res2Work]]/(Tasks[[#This Row],[_FinishWorkday]]-Tasks[[#This Row],[_StartWorkday]]+1),0)</f>
        <v>0</v>
      </c>
      <c r="DZ152" s="43" t="n">
        <f aca="false">Tasks[[#This Row],[_Res2WorkPerWD]]*MAX(0,Tasks[[#This Row],[_StartWorkday]]-1)</f>
        <v>0</v>
      </c>
      <c r="EA152" s="43" t="n">
        <f aca="false">Tasks[[#This Row],[_Res2Work]]*Tasks[[#This Row],[_LeafProgress]]</f>
        <v>0</v>
      </c>
      <c r="EB152" s="43" t="str">
        <f aca="false">IF(Tasks[[#This Row],[_Res3Text]]="","",IF(Tasks[[#This Row],[_Res3Row]]&gt;0,INDEX(res_Name,Tasks[[#This Row],[_Res3Row]]),TRIM(LEFT(Tasks[[#This Row],[_Res3Text]],FIND("[",Tasks[[#This Row],[_Res3Text]]&amp;"[")-1))))</f>
        <v/>
      </c>
      <c r="EC1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3" t="n">
        <f aca="false">IF(OR(NOT(Tasks[[#This Row],[_IsLeaf]]=1),Tasks[[#This Row],[_Res3Row]]=0),0,N(Tasks[[#This Row],[_Days]])*HoursPerDay*IF(Tasks[[#This Row],[_Res3Units]]="",DefaultUnits,Tasks[[#This Row],[_Res3Units]]))</f>
        <v>0</v>
      </c>
      <c r="EE152" s="43" t="n">
        <f aca="false">IF(AND(AND(Tasks[[#This Row],[_IsLeaf]]=1,Tasks[[#This Row],[_LeafTotalWork]]&gt;0),Tasks[[#This Row],[_Res3Work]]&gt;0),Tasks[[#This Row],[_Res3Work]]/(Tasks[[#This Row],[_FinishWorkday]]-Tasks[[#This Row],[_StartWorkday]]+1),0)</f>
        <v>0</v>
      </c>
      <c r="EF152" s="43" t="n">
        <f aca="false">Tasks[[#This Row],[_Res3WorkPerWD]]*MAX(0,Tasks[[#This Row],[_StartWorkday]]-1)</f>
        <v>0</v>
      </c>
      <c r="EG152" s="43" t="n">
        <f aca="false">Tasks[[#This Row],[_Res3Work]]*Tasks[[#This Row],[_LeafProgress]]</f>
        <v>0</v>
      </c>
      <c r="EH152" s="43" t="str">
        <f aca="false">IF(Tasks[[#This Row],[_Res4Text]]="","",IF(Tasks[[#This Row],[_Res4Row]]&gt;0,INDEX(res_Name,Tasks[[#This Row],[_Res4Row]]),TRIM(LEFT(Tasks[[#This Row],[_Res4Text]],FIND("[",Tasks[[#This Row],[_Res4Text]]&amp;"[")-1))))</f>
        <v/>
      </c>
      <c r="EI1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3" t="n">
        <f aca="false">IF(OR(NOT(Tasks[[#This Row],[_IsLeaf]]=1),Tasks[[#This Row],[_Res4Row]]=0),0,N(Tasks[[#This Row],[_Days]])*HoursPerDay*IF(Tasks[[#This Row],[_Res4Units]]="",DefaultUnits,Tasks[[#This Row],[_Res4Units]]))</f>
        <v>0</v>
      </c>
      <c r="EK152" s="43" t="n">
        <f aca="false">IF(AND(AND(Tasks[[#This Row],[_IsLeaf]]=1,Tasks[[#This Row],[_LeafTotalWork]]&gt;0),Tasks[[#This Row],[_Res4Work]]&gt;0),Tasks[[#This Row],[_Res4Work]]/(Tasks[[#This Row],[_FinishWorkday]]-Tasks[[#This Row],[_StartWorkday]]+1),0)</f>
        <v>0</v>
      </c>
      <c r="EL152" s="43" t="n">
        <f aca="false">Tasks[[#This Row],[_Res4WorkPerWD]]*MAX(0,Tasks[[#This Row],[_StartWorkday]]-1)</f>
        <v>0</v>
      </c>
      <c r="EM152" s="43" t="n">
        <f aca="false">Tasks[[#This Row],[_Res4Work]]*Tasks[[#This Row],[_LeafProgress]]</f>
        <v>0</v>
      </c>
      <c r="EN152" s="43" t="n">
        <f aca="false">IF(ISNUMBER(Tasks[[#This Row],[% Complete]]),Tasks[[#This Row],[% Complete]],IF(Tasks[[#This Row],[Stage]]="",0,IFERROR(INDEX(stg_Pct,MATCH(Tasks[[#This Row],[Stage]],stg_Name,0)),0)))</f>
        <v>0</v>
      </c>
      <c r="EO152" s="43" t="n">
        <f aca="false">IF(NOT(Tasks[[#This Row],[_IsLeaf]]=1),0,IF(N(Tasks[[#This Row],[Actual Finish]])&gt;0,1,MIN(1,Tasks[[#This Row],[_Pct]])))</f>
        <v>0</v>
      </c>
      <c r="EP152" s="43" t="n">
        <f aca="false">IF(OR(NOT(Tasks[[#This Row],[_IsLeaf]]=1),Tasks[[#This Row],[_Res1Row]]=0),0,N(Tasks[[#This Row],[_Days]])*HoursPerDay*IF(Tasks[[#This Row],[_Units1]]="",DefaultUnits,Tasks[[#This Row],[_Units1]]))</f>
        <v>0</v>
      </c>
      <c r="EQ152" s="43" t="n">
        <f aca="false">Tasks[[#This Row],[_LeafWork]]+Tasks[[#This Row],[_Res2Work]]+Tasks[[#This Row],[_Res3Work]]+Tasks[[#This Row],[_Res4Work]]</f>
        <v>0</v>
      </c>
      <c r="ER1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3" t="n">
        <f aca="false">IF(NOT(Tasks[[#This Row],[_IsLeaf]]=1),0,MAX(_xlfn.MAXIFS(Tasks[_Row],Tasks[_Pred1UID],Tasks[[#This Row],[UID]]),_xlfn.MAXIFS(Tasks[_Row],Tasks[_Pred2UID],Tasks[[#This Row],[UID]]),_xlfn.MAXIFS(Tasks[_Row],Tasks[_Pred3UID],Tasks[[#This Row],[UID]]),_xlfn.MAXIFS(Tasks[_Row],Tasks[_Pred4UID],Tasks[[#This Row],[UID]])))</f>
        <v>0</v>
      </c>
      <c r="FA1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91" t="str">
        <f aca="false">IF(NOT(Tasks[[#This Row],[_IsLeaf]]=1),"",IF(N(Tasks[[#This Row],[_Days]])&lt;=0,Tasks[[#This Row],[_LeafLateFinish]],WORKDAY.INTL(Tasks[[#This Row],[_LeafLateFinish]],-(Tasks[[#This Row],[_Days]]-1),WorkWeek,Holidays)))</f>
        <v/>
      </c>
      <c r="FD1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2" s="90" t="b">
        <f aca="false">AND(Tasks[[#This Row],[_IsLeaf]]=1,Tasks[[#This Row],[_LeafProgress]]&lt;1,N(Tasks[[#This Row],[_LeafTotalSlack]])&lt;=CriticalSlackDays)</f>
        <v>0</v>
      </c>
      <c r="FF152" s="43" t="n">
        <f aca="false">IF(AND(Tasks[[#This Row],[_IsLeaf]]=1,Tasks[[#This Row],[_ConstraintCode]]=1,Tasks[[#This Row],[Mode]]&lt;&gt;"Manual",N(Tasks[[#This Row],[Actual Start]])=0),MAX(0,N(Tasks[[#This Row],[Free Slack]])),0)</f>
        <v>0</v>
      </c>
      <c r="FG152" s="91" t="str">
        <f aca="false">IF(NOT(Tasks[[#This Row],[_IsLeaf]]=1),"",IF(Tasks[[#This Row],[_AlapShift]]=0,Tasks[[#This Row],[_LeafCalcStart]],WORKDAY.INTL(Tasks[[#This Row],[_LeafCalcStart]],Tasks[[#This Row],[_AlapShift]],WorkWeek,Holidays)))</f>
        <v/>
      </c>
      <c r="FH152" s="91" t="str">
        <f aca="false">IF(NOT(Tasks[[#This Row],[_IsLeaf]]=1),"",IF(Tasks[[#This Row],[_AlapShift]]=0,Tasks[[#This Row],[_LeafCalcFinish]],WORKDAY.INTL(Tasks[[#This Row],[_LeafCalcFinish]],Tasks[[#This Row],[_AlapShift]],WorkWeek,Holidays)))</f>
        <v/>
      </c>
      <c r="FI152" s="91" t="str">
        <f aca="false">IF(NOT(Tasks[[#This Row],[_IsLeaf]]=1),"",IF(Tasks[[#This Row],[_AlapShift]]=0,Tasks[[#This Row],[_LeafFcstStart]],WORKDAY.INTL(Tasks[[#This Row],[_LeafFcstStart]],Tasks[[#This Row],[_AlapShift]],WorkWeek,Holidays)))</f>
        <v/>
      </c>
      <c r="FJ152" s="91" t="str">
        <f aca="false">IF(NOT(Tasks[[#This Row],[_IsLeaf]]=1),"",IF(Tasks[[#This Row],[_AlapShift]]=0,Tasks[[#This Row],[_LeafFcstFinish]],WORKDAY.INTL(Tasks[[#This Row],[_LeafFcstFinish]],Tasks[[#This Row],[_AlapShift]],WorkWeek,Holidays)))</f>
        <v/>
      </c>
      <c r="FK152" s="91" t="str">
        <f aca="false">IF(Tasks[[#This Row],[Task Name]]="","",IF(Tasks[[#This Row],[_IsSummary]],MIN(INDEX(Tasks[_ShownCalcStart],Tasks[[#This Row],[_Row]]+1):INDEX(Tasks[_ShownCalcStart],Tasks[[#This Row],[_Row]]+Tasks[[#This Row],[_Descendants]])),Tasks[[#This Row],[_ShownCalcStart]]))</f>
        <v/>
      </c>
      <c r="FL152" s="91" t="str">
        <f aca="false">IF(Tasks[[#This Row],[Task Name]]="","",IF(Tasks[[#This Row],[_IsSummary]],MAX(INDEX(Tasks[_ShownCalcFinish],Tasks[[#This Row],[_Row]]+1):INDEX(Tasks[_ShownCalcFinish],Tasks[[#This Row],[_Row]]+Tasks[[#This Row],[_Descendants]])),Tasks[[#This Row],[_ShownCalcFinish]]))</f>
        <v/>
      </c>
      <c r="FM1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2" s="43" t="n">
        <f aca="false">IF(AND(Tasks[[#This Row],[_IsLeaf]]=1,Tasks[[#This Row],[_LeafTotalWork]]&gt;0),NETWORKDAYS.INTL(ProjectStart,Tasks[[#This Row],[_ShownFcstStart]],WorkWeek,Holidays),0)</f>
        <v>0</v>
      </c>
      <c r="FZ152" s="43" t="n">
        <f aca="false">IF(AND(Tasks[[#This Row],[_IsLeaf]]=1,Tasks[[#This Row],[_LeafTotalWork]]&gt;0),MAX(Tasks[[#This Row],[_StartWorkday]],NETWORKDAYS.INTL(ProjectStart,Tasks[[#This Row],[_ShownFcstFinish]],WorkWeek,Holidays)),0)</f>
        <v>0</v>
      </c>
      <c r="GA152" s="43" t="n">
        <f aca="false">IF(AND(Tasks[[#This Row],[_IsLeaf]]=1,Tasks[[#This Row],[_LeafTotalWork]]&gt;0),Tasks[[#This Row],[_LeafWork]]/(Tasks[[#This Row],[_FinishWorkday]]-Tasks[[#This Row],[_StartWorkday]]+1),0)</f>
        <v>0</v>
      </c>
      <c r="GB152" s="43" t="n">
        <f aca="false">Tasks[[#This Row],[_WorkPerWorkday]]*(Tasks[[#This Row],[_StartWorkday]]-1)</f>
        <v>-0</v>
      </c>
      <c r="GC152" s="43" t="n">
        <f aca="false">IF(Tasks[[#This Row],[_IsLeaf]]=1,MAX(N(Tasks[[#This Row],[_Days]]),0.1),0)</f>
        <v>0</v>
      </c>
      <c r="GD152" s="43" t="n">
        <f aca="false">Tasks[[#This Row],[_WeightDur]]*Tasks[[#This Row],[_LeafProgress]]</f>
        <v>0</v>
      </c>
      <c r="GE152" s="43" t="n">
        <f aca="false">Tasks[[#This Row],[_WeightDur]]*Tasks[[#This Row],[_PlannedPct]]</f>
        <v>0</v>
      </c>
      <c r="GF1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3" t="str">
        <f aca="false">IF(AND(Tasks[[#This Row],[_IsLeaf]]=1,N(Tasks[[#This Row],[_Days]])=0,Tasks[[#This Row],[_LeafProgress]]&lt;1),Tasks[[#This Row],[_ShownFcstFinish]]+Tasks[[#This Row],[_Row]]/100000,"")</f>
        <v/>
      </c>
      <c r="GH1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2" s="43" t="str">
        <f aca="false">IF(Tasks[[#This Row],[Task Name]]="","",LEFT(Tasks[[#This Row],[WBS]],FIND(".",Tasks[[#This Row],[WBS]]&amp;".")-1))</f>
        <v/>
      </c>
      <c r="GJ152" s="43" t="str">
        <f aca="false">IF(AND(Tasks[[#This Row],[Task Name]]&lt;&gt;"",Tasks[[#This Row],[_Level]]=1),Tasks[[#This Row],[_Row]],"")</f>
        <v/>
      </c>
      <c r="GK152" s="43" t="str">
        <f aca="false">IF(AND(Tasks[[#This Row],[_IsLeaf]]=1,N(Tasks[[#This Row],[_Days]])=0),Tasks[[#This Row],[Planned Finish]]+Tasks[[#This Row],[_Row]]/100000,"")</f>
        <v/>
      </c>
      <c r="GL152" s="43" t="str">
        <f aca="false">IF(AND(Tasks[[#This Row],[_IsLeaf]]=1,Tasks[[#This Row],[_LeafProgress]]&lt;1,OR(N(Tasks[[#This Row],[Finish Var]])&gt;0,Tasks[[#This Row],[Status]]="Late Start")),MAX(0,Tasks[[#This Row],[Finish Var]])+1-Tasks[[#This Row],[_Row]]/1000000,"")</f>
        <v/>
      </c>
      <c r="GM152" s="43" t="str">
        <f aca="false">IF(AND(Tasks[[#This Row],[_IsLeaf]]=1,N(Tasks[[#This Row],[Actual Start]])=0,Tasks[[#This Row],[_ShownFcstStart]]&gt;=StatusDate,Tasks[[#This Row],[_ShownFcstStart]]&lt;=LookaheadEnd),Tasks[[#This Row],[_ShownFcstStart]]+Tasks[[#This Row],[_Row]]/100000,"")</f>
        <v/>
      </c>
      <c r="GN152" s="43" t="str">
        <f aca="false">IF(AND(Tasks[[#This Row],[_IsLeaf]]=1,Tasks[[#This Row],[_LeafProgress]]&lt;1,Tasks[[#This Row],[_ShownFcstFinish]]&gt;=StatusDate,Tasks[[#This Row],[_ShownFcstFinish]]&lt;=LookaheadEnd),Tasks[[#This Row],[_ShownFcstFinish]]+Tasks[[#This Row],[_Row]]/100000,"")</f>
        <v/>
      </c>
      <c r="GO152" s="43" t="str">
        <f aca="false">IF(Tasks[[#This Row],[_LeafCritical]],Tasks[[#This Row],[_ShownFcstStart]]+Tasks[[#This Row],[_Row]]/100000,"")</f>
        <v/>
      </c>
      <c r="GP152" s="43" t="n">
        <f aca="false">Tasks[[#This Row],[_LeafWork]]*Tasks[[#This Row],[_LeafProgress]]</f>
        <v>0</v>
      </c>
      <c r="GQ152" s="91" t="str">
        <f aca="false">IF(AND(Tasks[[#This Row],[_IsLeaf]]=1,Tasks[[#This Row],[_LeafProgress]]&gt;=1),IF(N(Tasks[[#This Row],[Actual Finish]])&gt;0,Tasks[[#This Row],[Actual Finish]],Tasks[[#This Row],[_ShownFcstFinish]]),"")</f>
        <v/>
      </c>
      <c r="GR152" s="43" t="n">
        <f aca="false">IF(Tasks[[#This Row],[_IsLeaf]]=1,N(Tasks[[#This Row],[Story Points]]),0)</f>
        <v>0</v>
      </c>
      <c r="GS152" s="43" t="str">
        <f aca="false">""</f>
        <v/>
      </c>
      <c r="GT152" s="90" t="b">
        <f aca="false">IF(Tasks[[#This Row],[Task Name]]="",FALSE(),AND(Tasks[[#This Row],[_IsLeaf]]=1,N(Tasks[[#This Row],[_Days]])=0))</f>
        <v>0</v>
      </c>
      <c r="GU152" s="91" t="n">
        <f aca="false">IF(Tasks[[#This Row],[Task Name]]="",0,IF(AND(Tasks[[#This Row],[_IsLeaf]]=1,NOT(Tasks[[#This Row],[_IsMilestone]]),N(Tasks[[#This Row],[Progress]])&gt;0),Tasks[[#This Row],[Start]],0))</f>
        <v>0</v>
      </c>
      <c r="GV152" s="91" t="n">
        <f aca="false">IF(Tasks[[#This Row],[_DoneFrom]]=0,0,IF(Tasks[[#This Row],[Progress]]&gt;=1,Tasks[[#This Row],[Finish]],MAX(Tasks[[#This Row],[_DoneFrom]],Tasks[[#This Row],[Start]]+ROUND((Tasks[[#This Row],[Finish]]-Tasks[[#This Row],[Start]]+1)*Tasks[[#This Row],[Progress]],0)-1)))</f>
        <v>0</v>
      </c>
      <c r="GW152" s="91" t="n">
        <f aca="false">IF(Tasks[[#This Row],[Task Name]]="",0,IF(OR(NOT(Tasks[[#This Row],[_IsLeaf]]=1),Tasks[[#This Row],[_IsMilestone]],N(Tasks[[#This Row],[Progress]])&gt;=1),0,IF(Tasks[[#This Row],[_DoneTo]]&gt;0,Tasks[[#This Row],[_DoneTo]]+1,Tasks[[#This Row],[Start]])))</f>
        <v>0</v>
      </c>
      <c r="GX152" s="91" t="n">
        <f aca="false">IF(Tasks[[#This Row],[_RemFrom]]=0,0,Tasks[[#This Row],[Finish]])</f>
        <v>0</v>
      </c>
      <c r="GY152" s="90" t="b">
        <f aca="false">IF(Tasks[[#This Row],[Task Name]]="",FALSE(),OR(NOT(BaselineSet),N(Tasks[[#This Row],[Baseline Start]])&gt;0))</f>
        <v>0</v>
      </c>
      <c r="GZ15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92" t="str">
        <f aca="false">IF(Tasks[[#This Row],[_IsLeaf]]=1,Tasks[[#This Row],[_Row]],"")</f>
        <v/>
      </c>
      <c r="HD152" s="92" t="str">
        <f aca="false">IFERROR(INDEX(Tasks[UID],SMALL(Tasks[_PickKey],Tasks[[#This Row],[_Row]]))&amp;" "&amp;INDEX(Tasks[Task Name],SMALL(Tasks[_PickKey],Tasks[[#This Row],[_Row]])),"")</f>
        <v/>
      </c>
      <c r="HE152" s="43" t="str">
        <f aca="false">IF(Tasks[[#This Row],[Task Name]]="","",IF(Tasks[[#This Row],[_IsSummary]],NETWORKDAYS.INTL(Tasks[[#This Row],[Start]],Tasks[[#This Row],[Finish]],WorkWeek,Holidays),N(Tasks[[#This Row],[_Days]])))</f>
        <v/>
      </c>
      <c r="HF152" s="43" t="n">
        <f aca="false">IF(Tasks[[#This Row],[Expected]]="",0,((Tasks[[#This Row],[Pessimistic]]-Tasks[[#This Row],[Optimistic]])/6)^2)</f>
        <v>0</v>
      </c>
      <c r="HG152" s="43" t="n">
        <f aca="false">IF(Tasks[[#This Row],[Expected]]="",0,Tasks[[#This Row],[Expected]]-N(Tasks[[#This Row],[_Days]]))</f>
        <v>0</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4"/>
      <c r="U153" s="23"/>
      <c r="V153" s="84"/>
      <c r="W153" s="23"/>
      <c r="X153" s="84"/>
      <c r="Y153" s="23"/>
      <c r="Z153" s="84"/>
      <c r="AA153" s="23"/>
      <c r="AB153" s="23"/>
      <c r="AC153" s="7"/>
      <c r="AD153" s="7"/>
      <c r="AE153" s="63" t="str">
        <f aca="false">IF(Tasks[[#This Row],[Task Name]]="","",IF(Tasks[[#This Row],[_IsSummary]],MIN(INDEX(Tasks[_ShownFcstStart],Tasks[[#This Row],[_Row]]+1):INDEX(Tasks[_ShownFcstStart],Tasks[[#This Row],[_Row]]+Tasks[[#This Row],[_Descendants]])),Tasks[[#This Row],[_ShownFcstStart]]))</f>
        <v/>
      </c>
      <c r="AF153" s="63"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3" s="7"/>
      <c r="AK153" s="22"/>
      <c r="AL153" s="23"/>
      <c r="AM153" s="7"/>
      <c r="AN153" s="47"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3" t="str">
        <f aca="false">IF(Tasks[[#This Row],[Task Name]]="","",IF(N(Tasks[[#This Row],[Baseline Start]])&gt;0,Tasks[[#This Row],[Baseline Start]],Tasks[[#This Row],[_CalcStart]]))</f>
        <v/>
      </c>
      <c r="AR153" s="63" t="str">
        <f aca="false">IF(Tasks[[#This Row],[Task Name]]="","",IF(N(Tasks[[#This Row],[Baseline Finish]])&gt;0,Tasks[[#This Row],[Baseline Finish]],Tasks[[#This Row],[_CalcFinish]]))</f>
        <v/>
      </c>
      <c r="AS153" s="47" t="str">
        <f aca="false">IF(Tasks[[#This Row],[Task Name]]="","",IF(Tasks[[#This Row],[Start]]&gt;=Tasks[[#This Row],[Planned Start]],NETWORKDAYS.INTL(Tasks[[#This Row],[Planned Start]],Tasks[[#This Row],[Start]],WorkWeek,Holidays)-1,1-NETWORKDAYS.INTL(Tasks[[#This Row],[Start]],Tasks[[#This Row],[Planned Start]],WorkWeek,Holidays)))</f>
        <v/>
      </c>
      <c r="AT153" s="63" t="str">
        <f aca="false">IF(Tasks[[#This Row],[Task Name]]="","",IF(Tasks[[#This Row],[_IsSummary]],MIN(INDEX(Tasks[_LeafLateStart],Tasks[[#This Row],[_Row]]+1):INDEX(Tasks[_LeafLateStart],Tasks[[#This Row],[_Row]]+Tasks[[#This Row],[_Descendants]])),Tasks[[#This Row],[_LeafLateStart]]))</f>
        <v/>
      </c>
      <c r="AU153" s="63" t="str">
        <f aca="false">IF(Tasks[[#This Row],[Task Name]]="","",IF(Tasks[[#This Row],[_IsSummary]],MAX(INDEX(Tasks[_LeafLateFinish],Tasks[[#This Row],[_Row]]+1):INDEX(Tasks[_LeafLateFinish],Tasks[[#This Row],[_Row]]+Tasks[[#This Row],[_Descendants]])),Tasks[[#This Row],[_LeafLateFinish]]))</f>
        <v/>
      </c>
      <c r="AV153" s="47"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5"/>
      <c r="BA1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6"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7"/>
      <c r="BJ153" s="22"/>
      <c r="BK153" s="47" t="str">
        <f aca="false">IF(OR(Tasks[[#This Row],[Task Name]]="",Tasks[[#This Row],[Baseline Duration]]=""),"",Tasks[[#This Row],[_SpanDays]]-N(Tasks[[#This Row],[Baseline Duration]]))</f>
        <v/>
      </c>
      <c r="BL153" s="86" t="str">
        <f aca="false">IF(OR(Tasks[[#This Row],[Task Name]]="",Tasks[[#This Row],[Baseline Work]]=""),"",Tasks[[#This Row],[Work]]-N(Tasks[[#This Row],[Baseline Work]]))</f>
        <v/>
      </c>
      <c r="BM153" s="63" t="str">
        <f aca="false">IF(Tasks[[#This Row],[Task Name]]="","",IF(OR(TakeBaseline="Yes",N(Tasks[[#This Row],[Baseline Start]])=0),Tasks[[#This Row],[Start]],Tasks[[#This Row],[Baseline Start]]))</f>
        <v/>
      </c>
      <c r="BN153" s="63" t="str">
        <f aca="false">IF(Tasks[[#This Row],[Task Name]]="","",IF(OR(TakeBaseline="Yes",N(Tasks[[#This Row],[Baseline Finish]])=0),Tasks[[#This Row],[Finish]],Tasks[[#This Row],[Baseline Finish]]))</f>
        <v/>
      </c>
      <c r="BO153" s="21" t="str">
        <f aca="false">IF(Tasks[[#This Row],[Task Name]]="","",IF(OR(TakeBaseline="Yes",N(Tasks[[#This Row],[Baseline Duration]])=0),Tasks[[#This Row],[_SpanDays]],Tasks[[#This Row],[Baseline Duration]]))</f>
        <v/>
      </c>
      <c r="BP153" s="86" t="str">
        <f aca="false">IF(Tasks[[#This Row],[Task Name]]="","",IF(OR(TakeBaseline="Yes",N(Tasks[[#This Row],[Baseline Work]])=0),Tasks[[#This Row],[Work]],Tasks[[#This Row],[Baseline Work]]))</f>
        <v/>
      </c>
      <c r="BQ153" s="7"/>
      <c r="BR153" s="7"/>
      <c r="BS153" s="22"/>
      <c r="BT153" s="88"/>
      <c r="BU153" s="23"/>
      <c r="BV153" s="23"/>
      <c r="BW153" s="23"/>
      <c r="BX153" s="89" t="str">
        <f aca="false">IF(AND(Tasks[[#This Row],[_IsLeaf]]=1,ISNUMBER(Tasks[[#This Row],[Optimistic]]),ISNUMBER(Tasks[[#This Row],[Pessimistic]])),ROUND((Tasks[[#This Row],[Optimistic]]+4*N(Tasks[[#This Row],[_Days]])+Tasks[[#This Row],[Pessimistic]])/6,1),"")</f>
        <v/>
      </c>
      <c r="BY153" s="87"/>
      <c r="BZ153" s="87"/>
      <c r="CA153" s="22"/>
      <c r="CB153" s="43" t="str">
        <f aca="false">IF(Tasks[[#This Row],[Task Name]]="","",MAX(1,N(Tasks[[#This Row],[Level]])))</f>
        <v/>
      </c>
      <c r="CC153" s="43" t="n">
        <f aca="false">ROW()-ROW(Tasks[[#Headers],[ID]])</f>
        <v>148</v>
      </c>
      <c r="CD153" s="43" t="n">
        <f aca="false">IF(OR(Tasks[[#This Row],[Task Name]]="",Tasks[[#This Row],[_Level]]&lt;=1),0,IFERROR(LOOKUP(2,1/(Tasks[[#Headers],[_Level]]:Tasks[[#This Row],[_Level]]=Tasks[[#This Row],[_Level]]-1),ROW(Tasks[[#Headers],[_Level]]:Tasks[[#This Row],[_Level]])),0))</f>
        <v>0</v>
      </c>
      <c r="CE153" s="43" t="n">
        <f aca="false">IFERROR(N(INDEX(Tasks[_Level],Tasks[[#This Row],[_Row]]+1)),0)</f>
        <v>0</v>
      </c>
      <c r="CF153" s="90" t="b">
        <f aca="false">AND(Tasks[[#This Row],[Task Name]]&lt;&gt;"",Tasks[[#This Row],[_NextLevel]]&gt;Tasks[[#This Row],[_Level]])</f>
        <v>0</v>
      </c>
      <c r="CG153" s="43" t="n">
        <f aca="false">IF(Tasks[[#This Row],[_IsSummary]],COUNTIF(Tasks[WBS],Tasks[[#This Row],[WBS]]&amp;".*"),0)</f>
        <v>0</v>
      </c>
      <c r="CH153" s="43" t="n">
        <f aca="false">IF(AND(Tasks[[#This Row],[Task Name]]&lt;&gt;"",NOT(Tasks[[#This Row],[_IsSummary]])),1,0)</f>
        <v>0</v>
      </c>
      <c r="CI153" s="43" t="n">
        <f aca="false">IF(N(Tasks[[#This Row],[_Pred1UID]])=0,0,IFERROR(MATCH(Tasks[[#This Row],[_Pred1UID]],Tasks[UID],0),-1))</f>
        <v>0</v>
      </c>
      <c r="CJ153" s="43" t="n">
        <f aca="false">IF(N(Tasks[[#This Row],[_Pred2UID]])=0,0,IFERROR(MATCH(Tasks[[#This Row],[_Pred2UID]],Tasks[UID],0),-1))</f>
        <v>0</v>
      </c>
      <c r="CK153" s="43" t="n">
        <f aca="false">IF(N(Tasks[[#This Row],[_Pred3UID]])=0,0,IFERROR(MATCH(Tasks[[#This Row],[_Pred3UID]],Tasks[UID],0),-1))</f>
        <v>0</v>
      </c>
      <c r="CL153" s="43" t="n">
        <f aca="false">IF(N(Tasks[[#This Row],[_Pred4UID]])=0,0,IFERROR(MATCH(Tasks[[#This Row],[_Pred4UID]],Tasks[UID],0),-1))</f>
        <v>0</v>
      </c>
      <c r="CM1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3" s="91" t="n">
        <f aca="false">IF(OR(Tasks[[#This Row],[_ConstraintCode]]=2,Tasks[[#This Row],[_ConstraintCode]]=3,Tasks[[#This Row],[_ConstraintCode]]=4,Tasks[[#This Row],[_ConstraintCode]]=6),Tasks[[#This Row],[_ConstraintStart]],0)</f>
        <v>0</v>
      </c>
      <c r="CP153" s="91" t="n">
        <f aca="false">IF(OR(Tasks[[#This Row],[_ConstraintCode]]=2,Tasks[[#This Row],[_ConstraintCode]]=3,Tasks[[#This Row],[_ConstraintCode]]=5,Tasks[[#This Row],[_ConstraintCode]]=7),Tasks[[#This Row],[_ConstraintStart]],2958465)</f>
        <v>2958465</v>
      </c>
      <c r="CQ1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91" t="str">
        <f aca="false">IF(NOT(Tasks[[#This Row],[_IsLeaf]]=1),"",IF(N(Tasks[[#This Row],[_Days]])&lt;=0,Tasks[[#This Row],[_LeafCalcStart]],WORKDAY.INTL(Tasks[[#This Row],[_LeafCalcStart]],Tasks[[#This Row],[_Days]]-1,WorkWeek,Holidays)))</f>
        <v/>
      </c>
      <c r="CS1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3" t="str">
        <f aca="false">IF(Tasks[[#This Row],[_Predecessors]]="","",TRIM(MID(SUBSTITUTE(SUBSTITUTE(SUBSTITUTE(UPPER(Tasks[[#This Row],[_Predecessors]]),";",",")," ",""),",",REPT(" ",99)),1,99)))</f>
        <v/>
      </c>
      <c r="CV153" s="43" t="str">
        <f aca="false">IF(Tasks[[#This Row],[_Pred1Text]]="","",IFERROR(VALUE(LEFT(Tasks[[#This Row],[_Pred1Text]],MIN(FIND("F",Tasks[[#This Row],[_Pred1Text]]&amp;"F"),FIND("S",Tasks[[#This Row],[_Pred1Text]]&amp;"S"),FIND("+",Tasks[[#This Row],[_Pred1Text]]&amp;"+"),FIND("-",Tasks[[#This Row],[_Pred1Text]]&amp;"-"))-1)),""))</f>
        <v/>
      </c>
      <c r="CW1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3" t="str">
        <f aca="false">IF(Tasks[[#This Row],[_Pred1Text]]="","",TRIM(MID(SUBSTITUTE(SUBSTITUTE(SUBSTITUTE(UPPER(Tasks[[#This Row],[_Predecessors]]),";",",")," ",""),",",REPT(" ",99)),100,99)))</f>
        <v/>
      </c>
      <c r="CZ153" s="43" t="str">
        <f aca="false">IF(Tasks[[#This Row],[_Pred2Text]]="","",IFERROR(VALUE(LEFT(Tasks[[#This Row],[_Pred2Text]],MIN(FIND("F",Tasks[[#This Row],[_Pred2Text]]&amp;"F"),FIND("S",Tasks[[#This Row],[_Pred2Text]]&amp;"S"),FIND("+",Tasks[[#This Row],[_Pred2Text]]&amp;"+"),FIND("-",Tasks[[#This Row],[_Pred2Text]]&amp;"-"))-1)),""))</f>
        <v/>
      </c>
      <c r="DA1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3" t="str">
        <f aca="false">IF(Tasks[[#This Row],[_Pred2Text]]="","",TRIM(MID(SUBSTITUTE(SUBSTITUTE(SUBSTITUTE(UPPER(Tasks[[#This Row],[_Predecessors]]),";",",")," ",""),",",REPT(" ",99)),199,99)))</f>
        <v/>
      </c>
      <c r="DD153" s="43" t="str">
        <f aca="false">IF(Tasks[[#This Row],[_Pred3Text]]="","",IFERROR(VALUE(LEFT(Tasks[[#This Row],[_Pred3Text]],MIN(FIND("F",Tasks[[#This Row],[_Pred3Text]]&amp;"F"),FIND("S",Tasks[[#This Row],[_Pred3Text]]&amp;"S"),FIND("+",Tasks[[#This Row],[_Pred3Text]]&amp;"+"),FIND("-",Tasks[[#This Row],[_Pred3Text]]&amp;"-"))-1)),""))</f>
        <v/>
      </c>
      <c r="DE1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3" t="str">
        <f aca="false">IF(Tasks[[#This Row],[_Pred3Text]]="","",TRIM(MID(SUBSTITUTE(SUBSTITUTE(SUBSTITUTE(UPPER(Tasks[[#This Row],[_Predecessors]]),";",",")," ",""),",",REPT(" ",99)),298,99)))</f>
        <v/>
      </c>
      <c r="DH153" s="43" t="str">
        <f aca="false">IF(Tasks[[#This Row],[_Pred4Text]]="","",IFERROR(VALUE(LEFT(Tasks[[#This Row],[_Pred4Text]],MIN(FIND("F",Tasks[[#This Row],[_Pred4Text]]&amp;"F"),FIND("S",Tasks[[#This Row],[_Pred4Text]]&amp;"S"),FIND("+",Tasks[[#This Row],[_Pred4Text]]&amp;"+"),FIND("-",Tasks[[#This Row],[_Pred4Text]]&amp;"-"))-1)),""))</f>
        <v/>
      </c>
      <c r="DI1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3" t="str">
        <f aca="false">IF(OR(Tasks[[#This Row],[Task Name]]="",Tasks[[#This Row],[_Resources]]=""),"",TRIM(MID(SUBSTITUTE(Tasks[[#This Row],[_Resources]],",",REPT(" ",99)),1,99)))</f>
        <v/>
      </c>
      <c r="DL153" s="43" t="str">
        <f aca="false">IF(Tasks[[#This Row],[_Res1Text]]="","",TRIM(MID(SUBSTITUTE(Tasks[[#This Row],[_Resources]],",",REPT(" ",99)),100,99)))</f>
        <v/>
      </c>
      <c r="DM153" s="43" t="str">
        <f aca="false">IF(Tasks[[#This Row],[_Res2Text]]="","",TRIM(MID(SUBSTITUTE(Tasks[[#This Row],[_Resources]],",",REPT(" ",99)),199,99)))</f>
        <v/>
      </c>
      <c r="DN153" s="43" t="str">
        <f aca="false">IF(Tasks[[#This Row],[_Res3Text]]="","",TRIM(MID(SUBSTITUTE(Tasks[[#This Row],[_Resources]],",",REPT(" ",99)),298,99)))</f>
        <v/>
      </c>
      <c r="DO153" s="43" t="n">
        <f aca="false">IF(Tasks[[#This Row],[_Res1Text]]="",0,IFERROR(MATCH(TRIM(LEFT(Tasks[[#This Row],[_Res1Text]],FIND("[",Tasks[[#This Row],[_Res1Text]]&amp;"[")-1)),res_Name,0),IFERROR(MATCH(TRIM(LEFT(Tasks[[#This Row],[_Res1Text]],FIND("[",Tasks[[#This Row],[_Res1Text]]&amp;"[")-1)),res_Initials,0),0)))</f>
        <v>0</v>
      </c>
      <c r="DP153" s="43" t="n">
        <f aca="false">IF(Tasks[[#This Row],[_Res2Text]]="",0,IFERROR(MATCH(TRIM(LEFT(Tasks[[#This Row],[_Res2Text]],FIND("[",Tasks[[#This Row],[_Res2Text]]&amp;"[")-1)),res_Name,0),IFERROR(MATCH(TRIM(LEFT(Tasks[[#This Row],[_Res2Text]],FIND("[",Tasks[[#This Row],[_Res2Text]]&amp;"[")-1)),res_Initials,0),0)))</f>
        <v>0</v>
      </c>
      <c r="DQ153" s="43" t="n">
        <f aca="false">IF(Tasks[[#This Row],[_Res3Text]]="",0,IFERROR(MATCH(TRIM(LEFT(Tasks[[#This Row],[_Res3Text]],FIND("[",Tasks[[#This Row],[_Res3Text]]&amp;"[")-1)),res_Name,0),IFERROR(MATCH(TRIM(LEFT(Tasks[[#This Row],[_Res3Text]],FIND("[",Tasks[[#This Row],[_Res3Text]]&amp;"[")-1)),res_Initials,0),0)))</f>
        <v>0</v>
      </c>
      <c r="DR153" s="43" t="n">
        <f aca="false">IF(Tasks[[#This Row],[_Res4Text]]="",0,IFERROR(MATCH(TRIM(LEFT(Tasks[[#This Row],[_Res4Text]],FIND("[",Tasks[[#This Row],[_Res4Text]]&amp;"[")-1)),res_Name,0),IFERROR(MATCH(TRIM(LEFT(Tasks[[#This Row],[_Res4Text]],FIND("[",Tasks[[#This Row],[_Res4Text]]&amp;"[")-1)),res_Initials,0),0)))</f>
        <v>0</v>
      </c>
      <c r="DS153" s="43" t="str">
        <f aca="false">IF(Tasks[[#This Row],[_Res1Text]]="","",IF(Tasks[[#This Row],[_Res1Row]]&gt;0,INDEX(res_Name,Tasks[[#This Row],[_Res1Row]]),TRIM(LEFT(Tasks[[#This Row],[_Res1Text]],FIND("[",Tasks[[#This Row],[_Res1Text]]&amp;"[")-1))))</f>
        <v/>
      </c>
      <c r="DT1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3" t="n">
        <f aca="false">IF(NOT(Tasks[[#This Row],[_IsLeaf]]=1),0,(Tasks[[#This Row],[_Resource1]]&lt;&gt;"")+(Tasks[[#This Row],[_Res2]]&lt;&gt;"")+(Tasks[[#This Row],[_Res3]]&lt;&gt;"")+(Tasks[[#This Row],[_Res4]]&lt;&gt;""))</f>
        <v>0</v>
      </c>
      <c r="DV153" s="43" t="str">
        <f aca="false">IF(Tasks[[#This Row],[_Res2Text]]="","",IF(Tasks[[#This Row],[_Res2Row]]&gt;0,INDEX(res_Name,Tasks[[#This Row],[_Res2Row]]),TRIM(LEFT(Tasks[[#This Row],[_Res2Text]],FIND("[",Tasks[[#This Row],[_Res2Text]]&amp;"[")-1))))</f>
        <v/>
      </c>
      <c r="DW1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3" t="n">
        <f aca="false">IF(OR(NOT(Tasks[[#This Row],[_IsLeaf]]=1),Tasks[[#This Row],[_Res2Row]]=0),0,N(Tasks[[#This Row],[_Days]])*HoursPerDay*IF(Tasks[[#This Row],[_Res2Units]]="",DefaultUnits,Tasks[[#This Row],[_Res2Units]]))</f>
        <v>0</v>
      </c>
      <c r="DY153" s="43" t="n">
        <f aca="false">IF(AND(AND(Tasks[[#This Row],[_IsLeaf]]=1,Tasks[[#This Row],[_LeafTotalWork]]&gt;0),Tasks[[#This Row],[_Res2Work]]&gt;0),Tasks[[#This Row],[_Res2Work]]/(Tasks[[#This Row],[_FinishWorkday]]-Tasks[[#This Row],[_StartWorkday]]+1),0)</f>
        <v>0</v>
      </c>
      <c r="DZ153" s="43" t="n">
        <f aca="false">Tasks[[#This Row],[_Res2WorkPerWD]]*MAX(0,Tasks[[#This Row],[_StartWorkday]]-1)</f>
        <v>0</v>
      </c>
      <c r="EA153" s="43" t="n">
        <f aca="false">Tasks[[#This Row],[_Res2Work]]*Tasks[[#This Row],[_LeafProgress]]</f>
        <v>0</v>
      </c>
      <c r="EB153" s="43" t="str">
        <f aca="false">IF(Tasks[[#This Row],[_Res3Text]]="","",IF(Tasks[[#This Row],[_Res3Row]]&gt;0,INDEX(res_Name,Tasks[[#This Row],[_Res3Row]]),TRIM(LEFT(Tasks[[#This Row],[_Res3Text]],FIND("[",Tasks[[#This Row],[_Res3Text]]&amp;"[")-1))))</f>
        <v/>
      </c>
      <c r="EC1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3" t="n">
        <f aca="false">IF(OR(NOT(Tasks[[#This Row],[_IsLeaf]]=1),Tasks[[#This Row],[_Res3Row]]=0),0,N(Tasks[[#This Row],[_Days]])*HoursPerDay*IF(Tasks[[#This Row],[_Res3Units]]="",DefaultUnits,Tasks[[#This Row],[_Res3Units]]))</f>
        <v>0</v>
      </c>
      <c r="EE153" s="43" t="n">
        <f aca="false">IF(AND(AND(Tasks[[#This Row],[_IsLeaf]]=1,Tasks[[#This Row],[_LeafTotalWork]]&gt;0),Tasks[[#This Row],[_Res3Work]]&gt;0),Tasks[[#This Row],[_Res3Work]]/(Tasks[[#This Row],[_FinishWorkday]]-Tasks[[#This Row],[_StartWorkday]]+1),0)</f>
        <v>0</v>
      </c>
      <c r="EF153" s="43" t="n">
        <f aca="false">Tasks[[#This Row],[_Res3WorkPerWD]]*MAX(0,Tasks[[#This Row],[_StartWorkday]]-1)</f>
        <v>0</v>
      </c>
      <c r="EG153" s="43" t="n">
        <f aca="false">Tasks[[#This Row],[_Res3Work]]*Tasks[[#This Row],[_LeafProgress]]</f>
        <v>0</v>
      </c>
      <c r="EH153" s="43" t="str">
        <f aca="false">IF(Tasks[[#This Row],[_Res4Text]]="","",IF(Tasks[[#This Row],[_Res4Row]]&gt;0,INDEX(res_Name,Tasks[[#This Row],[_Res4Row]]),TRIM(LEFT(Tasks[[#This Row],[_Res4Text]],FIND("[",Tasks[[#This Row],[_Res4Text]]&amp;"[")-1))))</f>
        <v/>
      </c>
      <c r="EI1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3" t="n">
        <f aca="false">IF(OR(NOT(Tasks[[#This Row],[_IsLeaf]]=1),Tasks[[#This Row],[_Res4Row]]=0),0,N(Tasks[[#This Row],[_Days]])*HoursPerDay*IF(Tasks[[#This Row],[_Res4Units]]="",DefaultUnits,Tasks[[#This Row],[_Res4Units]]))</f>
        <v>0</v>
      </c>
      <c r="EK153" s="43" t="n">
        <f aca="false">IF(AND(AND(Tasks[[#This Row],[_IsLeaf]]=1,Tasks[[#This Row],[_LeafTotalWork]]&gt;0),Tasks[[#This Row],[_Res4Work]]&gt;0),Tasks[[#This Row],[_Res4Work]]/(Tasks[[#This Row],[_FinishWorkday]]-Tasks[[#This Row],[_StartWorkday]]+1),0)</f>
        <v>0</v>
      </c>
      <c r="EL153" s="43" t="n">
        <f aca="false">Tasks[[#This Row],[_Res4WorkPerWD]]*MAX(0,Tasks[[#This Row],[_StartWorkday]]-1)</f>
        <v>0</v>
      </c>
      <c r="EM153" s="43" t="n">
        <f aca="false">Tasks[[#This Row],[_Res4Work]]*Tasks[[#This Row],[_LeafProgress]]</f>
        <v>0</v>
      </c>
      <c r="EN153" s="43" t="n">
        <f aca="false">IF(ISNUMBER(Tasks[[#This Row],[% Complete]]),Tasks[[#This Row],[% Complete]],IF(Tasks[[#This Row],[Stage]]="",0,IFERROR(INDEX(stg_Pct,MATCH(Tasks[[#This Row],[Stage]],stg_Name,0)),0)))</f>
        <v>0</v>
      </c>
      <c r="EO153" s="43" t="n">
        <f aca="false">IF(NOT(Tasks[[#This Row],[_IsLeaf]]=1),0,IF(N(Tasks[[#This Row],[Actual Finish]])&gt;0,1,MIN(1,Tasks[[#This Row],[_Pct]])))</f>
        <v>0</v>
      </c>
      <c r="EP153" s="43" t="n">
        <f aca="false">IF(OR(NOT(Tasks[[#This Row],[_IsLeaf]]=1),Tasks[[#This Row],[_Res1Row]]=0),0,N(Tasks[[#This Row],[_Days]])*HoursPerDay*IF(Tasks[[#This Row],[_Units1]]="",DefaultUnits,Tasks[[#This Row],[_Units1]]))</f>
        <v>0</v>
      </c>
      <c r="EQ153" s="43" t="n">
        <f aca="false">Tasks[[#This Row],[_LeafWork]]+Tasks[[#This Row],[_Res2Work]]+Tasks[[#This Row],[_Res3Work]]+Tasks[[#This Row],[_Res4Work]]</f>
        <v>0</v>
      </c>
      <c r="ER1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3" t="n">
        <f aca="false">IF(NOT(Tasks[[#This Row],[_IsLeaf]]=1),0,MAX(_xlfn.MAXIFS(Tasks[_Row],Tasks[_Pred1UID],Tasks[[#This Row],[UID]]),_xlfn.MAXIFS(Tasks[_Row],Tasks[_Pred2UID],Tasks[[#This Row],[UID]]),_xlfn.MAXIFS(Tasks[_Row],Tasks[_Pred3UID],Tasks[[#This Row],[UID]]),_xlfn.MAXIFS(Tasks[_Row],Tasks[_Pred4UID],Tasks[[#This Row],[UID]])))</f>
        <v>0</v>
      </c>
      <c r="FA1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91" t="str">
        <f aca="false">IF(NOT(Tasks[[#This Row],[_IsLeaf]]=1),"",IF(N(Tasks[[#This Row],[_Days]])&lt;=0,Tasks[[#This Row],[_LeafLateFinish]],WORKDAY.INTL(Tasks[[#This Row],[_LeafLateFinish]],-(Tasks[[#This Row],[_Days]]-1),WorkWeek,Holidays)))</f>
        <v/>
      </c>
      <c r="FD1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3" s="90" t="b">
        <f aca="false">AND(Tasks[[#This Row],[_IsLeaf]]=1,Tasks[[#This Row],[_LeafProgress]]&lt;1,N(Tasks[[#This Row],[_LeafTotalSlack]])&lt;=CriticalSlackDays)</f>
        <v>0</v>
      </c>
      <c r="FF153" s="43" t="n">
        <f aca="false">IF(AND(Tasks[[#This Row],[_IsLeaf]]=1,Tasks[[#This Row],[_ConstraintCode]]=1,Tasks[[#This Row],[Mode]]&lt;&gt;"Manual",N(Tasks[[#This Row],[Actual Start]])=0),MAX(0,N(Tasks[[#This Row],[Free Slack]])),0)</f>
        <v>0</v>
      </c>
      <c r="FG153" s="91" t="str">
        <f aca="false">IF(NOT(Tasks[[#This Row],[_IsLeaf]]=1),"",IF(Tasks[[#This Row],[_AlapShift]]=0,Tasks[[#This Row],[_LeafCalcStart]],WORKDAY.INTL(Tasks[[#This Row],[_LeafCalcStart]],Tasks[[#This Row],[_AlapShift]],WorkWeek,Holidays)))</f>
        <v/>
      </c>
      <c r="FH153" s="91" t="str">
        <f aca="false">IF(NOT(Tasks[[#This Row],[_IsLeaf]]=1),"",IF(Tasks[[#This Row],[_AlapShift]]=0,Tasks[[#This Row],[_LeafCalcFinish]],WORKDAY.INTL(Tasks[[#This Row],[_LeafCalcFinish]],Tasks[[#This Row],[_AlapShift]],WorkWeek,Holidays)))</f>
        <v/>
      </c>
      <c r="FI153" s="91" t="str">
        <f aca="false">IF(NOT(Tasks[[#This Row],[_IsLeaf]]=1),"",IF(Tasks[[#This Row],[_AlapShift]]=0,Tasks[[#This Row],[_LeafFcstStart]],WORKDAY.INTL(Tasks[[#This Row],[_LeafFcstStart]],Tasks[[#This Row],[_AlapShift]],WorkWeek,Holidays)))</f>
        <v/>
      </c>
      <c r="FJ153" s="91" t="str">
        <f aca="false">IF(NOT(Tasks[[#This Row],[_IsLeaf]]=1),"",IF(Tasks[[#This Row],[_AlapShift]]=0,Tasks[[#This Row],[_LeafFcstFinish]],WORKDAY.INTL(Tasks[[#This Row],[_LeafFcstFinish]],Tasks[[#This Row],[_AlapShift]],WorkWeek,Holidays)))</f>
        <v/>
      </c>
      <c r="FK153" s="91" t="str">
        <f aca="false">IF(Tasks[[#This Row],[Task Name]]="","",IF(Tasks[[#This Row],[_IsSummary]],MIN(INDEX(Tasks[_ShownCalcStart],Tasks[[#This Row],[_Row]]+1):INDEX(Tasks[_ShownCalcStart],Tasks[[#This Row],[_Row]]+Tasks[[#This Row],[_Descendants]])),Tasks[[#This Row],[_ShownCalcStart]]))</f>
        <v/>
      </c>
      <c r="FL153" s="91" t="str">
        <f aca="false">IF(Tasks[[#This Row],[Task Name]]="","",IF(Tasks[[#This Row],[_IsSummary]],MAX(INDEX(Tasks[_ShownCalcFinish],Tasks[[#This Row],[_Row]]+1):INDEX(Tasks[_ShownCalcFinish],Tasks[[#This Row],[_Row]]+Tasks[[#This Row],[_Descendants]])),Tasks[[#This Row],[_ShownCalcFinish]]))</f>
        <v/>
      </c>
      <c r="FM1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3" s="43" t="n">
        <f aca="false">IF(AND(Tasks[[#This Row],[_IsLeaf]]=1,Tasks[[#This Row],[_LeafTotalWork]]&gt;0),NETWORKDAYS.INTL(ProjectStart,Tasks[[#This Row],[_ShownFcstStart]],WorkWeek,Holidays),0)</f>
        <v>0</v>
      </c>
      <c r="FZ153" s="43" t="n">
        <f aca="false">IF(AND(Tasks[[#This Row],[_IsLeaf]]=1,Tasks[[#This Row],[_LeafTotalWork]]&gt;0),MAX(Tasks[[#This Row],[_StartWorkday]],NETWORKDAYS.INTL(ProjectStart,Tasks[[#This Row],[_ShownFcstFinish]],WorkWeek,Holidays)),0)</f>
        <v>0</v>
      </c>
      <c r="GA153" s="43" t="n">
        <f aca="false">IF(AND(Tasks[[#This Row],[_IsLeaf]]=1,Tasks[[#This Row],[_LeafTotalWork]]&gt;0),Tasks[[#This Row],[_LeafWork]]/(Tasks[[#This Row],[_FinishWorkday]]-Tasks[[#This Row],[_StartWorkday]]+1),0)</f>
        <v>0</v>
      </c>
      <c r="GB153" s="43" t="n">
        <f aca="false">Tasks[[#This Row],[_WorkPerWorkday]]*(Tasks[[#This Row],[_StartWorkday]]-1)</f>
        <v>-0</v>
      </c>
      <c r="GC153" s="43" t="n">
        <f aca="false">IF(Tasks[[#This Row],[_IsLeaf]]=1,MAX(N(Tasks[[#This Row],[_Days]]),0.1),0)</f>
        <v>0</v>
      </c>
      <c r="GD153" s="43" t="n">
        <f aca="false">Tasks[[#This Row],[_WeightDur]]*Tasks[[#This Row],[_LeafProgress]]</f>
        <v>0</v>
      </c>
      <c r="GE153" s="43" t="n">
        <f aca="false">Tasks[[#This Row],[_WeightDur]]*Tasks[[#This Row],[_PlannedPct]]</f>
        <v>0</v>
      </c>
      <c r="GF1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3" t="str">
        <f aca="false">IF(AND(Tasks[[#This Row],[_IsLeaf]]=1,N(Tasks[[#This Row],[_Days]])=0,Tasks[[#This Row],[_LeafProgress]]&lt;1),Tasks[[#This Row],[_ShownFcstFinish]]+Tasks[[#This Row],[_Row]]/100000,"")</f>
        <v/>
      </c>
      <c r="GH1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3" s="43" t="str">
        <f aca="false">IF(Tasks[[#This Row],[Task Name]]="","",LEFT(Tasks[[#This Row],[WBS]],FIND(".",Tasks[[#This Row],[WBS]]&amp;".")-1))</f>
        <v/>
      </c>
      <c r="GJ153" s="43" t="str">
        <f aca="false">IF(AND(Tasks[[#This Row],[Task Name]]&lt;&gt;"",Tasks[[#This Row],[_Level]]=1),Tasks[[#This Row],[_Row]],"")</f>
        <v/>
      </c>
      <c r="GK153" s="43" t="str">
        <f aca="false">IF(AND(Tasks[[#This Row],[_IsLeaf]]=1,N(Tasks[[#This Row],[_Days]])=0),Tasks[[#This Row],[Planned Finish]]+Tasks[[#This Row],[_Row]]/100000,"")</f>
        <v/>
      </c>
      <c r="GL153" s="43" t="str">
        <f aca="false">IF(AND(Tasks[[#This Row],[_IsLeaf]]=1,Tasks[[#This Row],[_LeafProgress]]&lt;1,OR(N(Tasks[[#This Row],[Finish Var]])&gt;0,Tasks[[#This Row],[Status]]="Late Start")),MAX(0,Tasks[[#This Row],[Finish Var]])+1-Tasks[[#This Row],[_Row]]/1000000,"")</f>
        <v/>
      </c>
      <c r="GM153" s="43" t="str">
        <f aca="false">IF(AND(Tasks[[#This Row],[_IsLeaf]]=1,N(Tasks[[#This Row],[Actual Start]])=0,Tasks[[#This Row],[_ShownFcstStart]]&gt;=StatusDate,Tasks[[#This Row],[_ShownFcstStart]]&lt;=LookaheadEnd),Tasks[[#This Row],[_ShownFcstStart]]+Tasks[[#This Row],[_Row]]/100000,"")</f>
        <v/>
      </c>
      <c r="GN153" s="43" t="str">
        <f aca="false">IF(AND(Tasks[[#This Row],[_IsLeaf]]=1,Tasks[[#This Row],[_LeafProgress]]&lt;1,Tasks[[#This Row],[_ShownFcstFinish]]&gt;=StatusDate,Tasks[[#This Row],[_ShownFcstFinish]]&lt;=LookaheadEnd),Tasks[[#This Row],[_ShownFcstFinish]]+Tasks[[#This Row],[_Row]]/100000,"")</f>
        <v/>
      </c>
      <c r="GO153" s="43" t="str">
        <f aca="false">IF(Tasks[[#This Row],[_LeafCritical]],Tasks[[#This Row],[_ShownFcstStart]]+Tasks[[#This Row],[_Row]]/100000,"")</f>
        <v/>
      </c>
      <c r="GP153" s="43" t="n">
        <f aca="false">Tasks[[#This Row],[_LeafWork]]*Tasks[[#This Row],[_LeafProgress]]</f>
        <v>0</v>
      </c>
      <c r="GQ153" s="91" t="str">
        <f aca="false">IF(AND(Tasks[[#This Row],[_IsLeaf]]=1,Tasks[[#This Row],[_LeafProgress]]&gt;=1),IF(N(Tasks[[#This Row],[Actual Finish]])&gt;0,Tasks[[#This Row],[Actual Finish]],Tasks[[#This Row],[_ShownFcstFinish]]),"")</f>
        <v/>
      </c>
      <c r="GR153" s="43" t="n">
        <f aca="false">IF(Tasks[[#This Row],[_IsLeaf]]=1,N(Tasks[[#This Row],[Story Points]]),0)</f>
        <v>0</v>
      </c>
      <c r="GS153" s="43" t="str">
        <f aca="false">""</f>
        <v/>
      </c>
      <c r="GT153" s="90" t="b">
        <f aca="false">IF(Tasks[[#This Row],[Task Name]]="",FALSE(),AND(Tasks[[#This Row],[_IsLeaf]]=1,N(Tasks[[#This Row],[_Days]])=0))</f>
        <v>0</v>
      </c>
      <c r="GU153" s="91" t="n">
        <f aca="false">IF(Tasks[[#This Row],[Task Name]]="",0,IF(AND(Tasks[[#This Row],[_IsLeaf]]=1,NOT(Tasks[[#This Row],[_IsMilestone]]),N(Tasks[[#This Row],[Progress]])&gt;0),Tasks[[#This Row],[Start]],0))</f>
        <v>0</v>
      </c>
      <c r="GV153" s="91" t="n">
        <f aca="false">IF(Tasks[[#This Row],[_DoneFrom]]=0,0,IF(Tasks[[#This Row],[Progress]]&gt;=1,Tasks[[#This Row],[Finish]],MAX(Tasks[[#This Row],[_DoneFrom]],Tasks[[#This Row],[Start]]+ROUND((Tasks[[#This Row],[Finish]]-Tasks[[#This Row],[Start]]+1)*Tasks[[#This Row],[Progress]],0)-1)))</f>
        <v>0</v>
      </c>
      <c r="GW153" s="91" t="n">
        <f aca="false">IF(Tasks[[#This Row],[Task Name]]="",0,IF(OR(NOT(Tasks[[#This Row],[_IsLeaf]]=1),Tasks[[#This Row],[_IsMilestone]],N(Tasks[[#This Row],[Progress]])&gt;=1),0,IF(Tasks[[#This Row],[_DoneTo]]&gt;0,Tasks[[#This Row],[_DoneTo]]+1,Tasks[[#This Row],[Start]])))</f>
        <v>0</v>
      </c>
      <c r="GX153" s="91" t="n">
        <f aca="false">IF(Tasks[[#This Row],[_RemFrom]]=0,0,Tasks[[#This Row],[Finish]])</f>
        <v>0</v>
      </c>
      <c r="GY153" s="90" t="b">
        <f aca="false">IF(Tasks[[#This Row],[Task Name]]="",FALSE(),OR(NOT(BaselineSet),N(Tasks[[#This Row],[Baseline Start]])&gt;0))</f>
        <v>0</v>
      </c>
      <c r="GZ15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92" t="str">
        <f aca="false">IF(Tasks[[#This Row],[_IsLeaf]]=1,Tasks[[#This Row],[_Row]],"")</f>
        <v/>
      </c>
      <c r="HD153" s="92" t="str">
        <f aca="false">IFERROR(INDEX(Tasks[UID],SMALL(Tasks[_PickKey],Tasks[[#This Row],[_Row]]))&amp;" "&amp;INDEX(Tasks[Task Name],SMALL(Tasks[_PickKey],Tasks[[#This Row],[_Row]])),"")</f>
        <v/>
      </c>
      <c r="HE153" s="43" t="str">
        <f aca="false">IF(Tasks[[#This Row],[Task Name]]="","",IF(Tasks[[#This Row],[_IsSummary]],NETWORKDAYS.INTL(Tasks[[#This Row],[Start]],Tasks[[#This Row],[Finish]],WorkWeek,Holidays),N(Tasks[[#This Row],[_Days]])))</f>
        <v/>
      </c>
      <c r="HF153" s="43" t="n">
        <f aca="false">IF(Tasks[[#This Row],[Expected]]="",0,((Tasks[[#This Row],[Pessimistic]]-Tasks[[#This Row],[Optimistic]])/6)^2)</f>
        <v>0</v>
      </c>
      <c r="HG153" s="43" t="n">
        <f aca="false">IF(Tasks[[#This Row],[Expected]]="",0,Tasks[[#This Row],[Expected]]-N(Tasks[[#This Row],[_Days]]))</f>
        <v>0</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4"/>
      <c r="U154" s="23"/>
      <c r="V154" s="84"/>
      <c r="W154" s="23"/>
      <c r="X154" s="84"/>
      <c r="Y154" s="23"/>
      <c r="Z154" s="84"/>
      <c r="AA154" s="23"/>
      <c r="AB154" s="23"/>
      <c r="AC154" s="7"/>
      <c r="AD154" s="7"/>
      <c r="AE154" s="63" t="str">
        <f aca="false">IF(Tasks[[#This Row],[Task Name]]="","",IF(Tasks[[#This Row],[_IsSummary]],MIN(INDEX(Tasks[_ShownFcstStart],Tasks[[#This Row],[_Row]]+1):INDEX(Tasks[_ShownFcstStart],Tasks[[#This Row],[_Row]]+Tasks[[#This Row],[_Descendants]])),Tasks[[#This Row],[_ShownFcstStart]]))</f>
        <v/>
      </c>
      <c r="AF154" s="63"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4" s="7"/>
      <c r="AK154" s="22"/>
      <c r="AL154" s="23"/>
      <c r="AM154" s="7"/>
      <c r="AN154" s="47"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3" t="str">
        <f aca="false">IF(Tasks[[#This Row],[Task Name]]="","",IF(N(Tasks[[#This Row],[Baseline Start]])&gt;0,Tasks[[#This Row],[Baseline Start]],Tasks[[#This Row],[_CalcStart]]))</f>
        <v/>
      </c>
      <c r="AR154" s="63" t="str">
        <f aca="false">IF(Tasks[[#This Row],[Task Name]]="","",IF(N(Tasks[[#This Row],[Baseline Finish]])&gt;0,Tasks[[#This Row],[Baseline Finish]],Tasks[[#This Row],[_CalcFinish]]))</f>
        <v/>
      </c>
      <c r="AS154" s="47" t="str">
        <f aca="false">IF(Tasks[[#This Row],[Task Name]]="","",IF(Tasks[[#This Row],[Start]]&gt;=Tasks[[#This Row],[Planned Start]],NETWORKDAYS.INTL(Tasks[[#This Row],[Planned Start]],Tasks[[#This Row],[Start]],WorkWeek,Holidays)-1,1-NETWORKDAYS.INTL(Tasks[[#This Row],[Start]],Tasks[[#This Row],[Planned Start]],WorkWeek,Holidays)))</f>
        <v/>
      </c>
      <c r="AT154" s="63" t="str">
        <f aca="false">IF(Tasks[[#This Row],[Task Name]]="","",IF(Tasks[[#This Row],[_IsSummary]],MIN(INDEX(Tasks[_LeafLateStart],Tasks[[#This Row],[_Row]]+1):INDEX(Tasks[_LeafLateStart],Tasks[[#This Row],[_Row]]+Tasks[[#This Row],[_Descendants]])),Tasks[[#This Row],[_LeafLateStart]]))</f>
        <v/>
      </c>
      <c r="AU154" s="63" t="str">
        <f aca="false">IF(Tasks[[#This Row],[Task Name]]="","",IF(Tasks[[#This Row],[_IsSummary]],MAX(INDEX(Tasks[_LeafLateFinish],Tasks[[#This Row],[_Row]]+1):INDEX(Tasks[_LeafLateFinish],Tasks[[#This Row],[_Row]]+Tasks[[#This Row],[_Descendants]])),Tasks[[#This Row],[_LeafLateFinish]]))</f>
        <v/>
      </c>
      <c r="AV154" s="47"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5"/>
      <c r="BA1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6"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7"/>
      <c r="BJ154" s="22"/>
      <c r="BK154" s="47" t="str">
        <f aca="false">IF(OR(Tasks[[#This Row],[Task Name]]="",Tasks[[#This Row],[Baseline Duration]]=""),"",Tasks[[#This Row],[_SpanDays]]-N(Tasks[[#This Row],[Baseline Duration]]))</f>
        <v/>
      </c>
      <c r="BL154" s="86" t="str">
        <f aca="false">IF(OR(Tasks[[#This Row],[Task Name]]="",Tasks[[#This Row],[Baseline Work]]=""),"",Tasks[[#This Row],[Work]]-N(Tasks[[#This Row],[Baseline Work]]))</f>
        <v/>
      </c>
      <c r="BM154" s="63" t="str">
        <f aca="false">IF(Tasks[[#This Row],[Task Name]]="","",IF(OR(TakeBaseline="Yes",N(Tasks[[#This Row],[Baseline Start]])=0),Tasks[[#This Row],[Start]],Tasks[[#This Row],[Baseline Start]]))</f>
        <v/>
      </c>
      <c r="BN154" s="63" t="str">
        <f aca="false">IF(Tasks[[#This Row],[Task Name]]="","",IF(OR(TakeBaseline="Yes",N(Tasks[[#This Row],[Baseline Finish]])=0),Tasks[[#This Row],[Finish]],Tasks[[#This Row],[Baseline Finish]]))</f>
        <v/>
      </c>
      <c r="BO154" s="21" t="str">
        <f aca="false">IF(Tasks[[#This Row],[Task Name]]="","",IF(OR(TakeBaseline="Yes",N(Tasks[[#This Row],[Baseline Duration]])=0),Tasks[[#This Row],[_SpanDays]],Tasks[[#This Row],[Baseline Duration]]))</f>
        <v/>
      </c>
      <c r="BP154" s="86" t="str">
        <f aca="false">IF(Tasks[[#This Row],[Task Name]]="","",IF(OR(TakeBaseline="Yes",N(Tasks[[#This Row],[Baseline Work]])=0),Tasks[[#This Row],[Work]],Tasks[[#This Row],[Baseline Work]]))</f>
        <v/>
      </c>
      <c r="BQ154" s="7"/>
      <c r="BR154" s="7"/>
      <c r="BS154" s="22"/>
      <c r="BT154" s="88"/>
      <c r="BU154" s="23"/>
      <c r="BV154" s="23"/>
      <c r="BW154" s="23"/>
      <c r="BX154" s="89" t="str">
        <f aca="false">IF(AND(Tasks[[#This Row],[_IsLeaf]]=1,ISNUMBER(Tasks[[#This Row],[Optimistic]]),ISNUMBER(Tasks[[#This Row],[Pessimistic]])),ROUND((Tasks[[#This Row],[Optimistic]]+4*N(Tasks[[#This Row],[_Days]])+Tasks[[#This Row],[Pessimistic]])/6,1),"")</f>
        <v/>
      </c>
      <c r="BY154" s="87"/>
      <c r="BZ154" s="87"/>
      <c r="CA154" s="22"/>
      <c r="CB154" s="43" t="str">
        <f aca="false">IF(Tasks[[#This Row],[Task Name]]="","",MAX(1,N(Tasks[[#This Row],[Level]])))</f>
        <v/>
      </c>
      <c r="CC154" s="43" t="n">
        <f aca="false">ROW()-ROW(Tasks[[#Headers],[ID]])</f>
        <v>149</v>
      </c>
      <c r="CD154" s="43" t="n">
        <f aca="false">IF(OR(Tasks[[#This Row],[Task Name]]="",Tasks[[#This Row],[_Level]]&lt;=1),0,IFERROR(LOOKUP(2,1/(Tasks[[#Headers],[_Level]]:Tasks[[#This Row],[_Level]]=Tasks[[#This Row],[_Level]]-1),ROW(Tasks[[#Headers],[_Level]]:Tasks[[#This Row],[_Level]])),0))</f>
        <v>0</v>
      </c>
      <c r="CE154" s="43" t="n">
        <f aca="false">IFERROR(N(INDEX(Tasks[_Level],Tasks[[#This Row],[_Row]]+1)),0)</f>
        <v>0</v>
      </c>
      <c r="CF154" s="90" t="b">
        <f aca="false">AND(Tasks[[#This Row],[Task Name]]&lt;&gt;"",Tasks[[#This Row],[_NextLevel]]&gt;Tasks[[#This Row],[_Level]])</f>
        <v>0</v>
      </c>
      <c r="CG154" s="43" t="n">
        <f aca="false">IF(Tasks[[#This Row],[_IsSummary]],COUNTIF(Tasks[WBS],Tasks[[#This Row],[WBS]]&amp;".*"),0)</f>
        <v>0</v>
      </c>
      <c r="CH154" s="43" t="n">
        <f aca="false">IF(AND(Tasks[[#This Row],[Task Name]]&lt;&gt;"",NOT(Tasks[[#This Row],[_IsSummary]])),1,0)</f>
        <v>0</v>
      </c>
      <c r="CI154" s="43" t="n">
        <f aca="false">IF(N(Tasks[[#This Row],[_Pred1UID]])=0,0,IFERROR(MATCH(Tasks[[#This Row],[_Pred1UID]],Tasks[UID],0),-1))</f>
        <v>0</v>
      </c>
      <c r="CJ154" s="43" t="n">
        <f aca="false">IF(N(Tasks[[#This Row],[_Pred2UID]])=0,0,IFERROR(MATCH(Tasks[[#This Row],[_Pred2UID]],Tasks[UID],0),-1))</f>
        <v>0</v>
      </c>
      <c r="CK154" s="43" t="n">
        <f aca="false">IF(N(Tasks[[#This Row],[_Pred3UID]])=0,0,IFERROR(MATCH(Tasks[[#This Row],[_Pred3UID]],Tasks[UID],0),-1))</f>
        <v>0</v>
      </c>
      <c r="CL154" s="43" t="n">
        <f aca="false">IF(N(Tasks[[#This Row],[_Pred4UID]])=0,0,IFERROR(MATCH(Tasks[[#This Row],[_Pred4UID]],Tasks[UID],0),-1))</f>
        <v>0</v>
      </c>
      <c r="CM1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4" s="91" t="n">
        <f aca="false">IF(OR(Tasks[[#This Row],[_ConstraintCode]]=2,Tasks[[#This Row],[_ConstraintCode]]=3,Tasks[[#This Row],[_ConstraintCode]]=4,Tasks[[#This Row],[_ConstraintCode]]=6),Tasks[[#This Row],[_ConstraintStart]],0)</f>
        <v>0</v>
      </c>
      <c r="CP154" s="91" t="n">
        <f aca="false">IF(OR(Tasks[[#This Row],[_ConstraintCode]]=2,Tasks[[#This Row],[_ConstraintCode]]=3,Tasks[[#This Row],[_ConstraintCode]]=5,Tasks[[#This Row],[_ConstraintCode]]=7),Tasks[[#This Row],[_ConstraintStart]],2958465)</f>
        <v>2958465</v>
      </c>
      <c r="CQ1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91" t="str">
        <f aca="false">IF(NOT(Tasks[[#This Row],[_IsLeaf]]=1),"",IF(N(Tasks[[#This Row],[_Days]])&lt;=0,Tasks[[#This Row],[_LeafCalcStart]],WORKDAY.INTL(Tasks[[#This Row],[_LeafCalcStart]],Tasks[[#This Row],[_Days]]-1,WorkWeek,Holidays)))</f>
        <v/>
      </c>
      <c r="CS1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3" t="str">
        <f aca="false">IF(Tasks[[#This Row],[_Predecessors]]="","",TRIM(MID(SUBSTITUTE(SUBSTITUTE(SUBSTITUTE(UPPER(Tasks[[#This Row],[_Predecessors]]),";",",")," ",""),",",REPT(" ",99)),1,99)))</f>
        <v/>
      </c>
      <c r="CV154" s="43" t="str">
        <f aca="false">IF(Tasks[[#This Row],[_Pred1Text]]="","",IFERROR(VALUE(LEFT(Tasks[[#This Row],[_Pred1Text]],MIN(FIND("F",Tasks[[#This Row],[_Pred1Text]]&amp;"F"),FIND("S",Tasks[[#This Row],[_Pred1Text]]&amp;"S"),FIND("+",Tasks[[#This Row],[_Pred1Text]]&amp;"+"),FIND("-",Tasks[[#This Row],[_Pred1Text]]&amp;"-"))-1)),""))</f>
        <v/>
      </c>
      <c r="CW1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3" t="str">
        <f aca="false">IF(Tasks[[#This Row],[_Pred1Text]]="","",TRIM(MID(SUBSTITUTE(SUBSTITUTE(SUBSTITUTE(UPPER(Tasks[[#This Row],[_Predecessors]]),";",",")," ",""),",",REPT(" ",99)),100,99)))</f>
        <v/>
      </c>
      <c r="CZ154" s="43" t="str">
        <f aca="false">IF(Tasks[[#This Row],[_Pred2Text]]="","",IFERROR(VALUE(LEFT(Tasks[[#This Row],[_Pred2Text]],MIN(FIND("F",Tasks[[#This Row],[_Pred2Text]]&amp;"F"),FIND("S",Tasks[[#This Row],[_Pred2Text]]&amp;"S"),FIND("+",Tasks[[#This Row],[_Pred2Text]]&amp;"+"),FIND("-",Tasks[[#This Row],[_Pred2Text]]&amp;"-"))-1)),""))</f>
        <v/>
      </c>
      <c r="DA1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3" t="str">
        <f aca="false">IF(Tasks[[#This Row],[_Pred2Text]]="","",TRIM(MID(SUBSTITUTE(SUBSTITUTE(SUBSTITUTE(UPPER(Tasks[[#This Row],[_Predecessors]]),";",",")," ",""),",",REPT(" ",99)),199,99)))</f>
        <v/>
      </c>
      <c r="DD154" s="43" t="str">
        <f aca="false">IF(Tasks[[#This Row],[_Pred3Text]]="","",IFERROR(VALUE(LEFT(Tasks[[#This Row],[_Pred3Text]],MIN(FIND("F",Tasks[[#This Row],[_Pred3Text]]&amp;"F"),FIND("S",Tasks[[#This Row],[_Pred3Text]]&amp;"S"),FIND("+",Tasks[[#This Row],[_Pred3Text]]&amp;"+"),FIND("-",Tasks[[#This Row],[_Pred3Text]]&amp;"-"))-1)),""))</f>
        <v/>
      </c>
      <c r="DE1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3" t="str">
        <f aca="false">IF(Tasks[[#This Row],[_Pred3Text]]="","",TRIM(MID(SUBSTITUTE(SUBSTITUTE(SUBSTITUTE(UPPER(Tasks[[#This Row],[_Predecessors]]),";",",")," ",""),",",REPT(" ",99)),298,99)))</f>
        <v/>
      </c>
      <c r="DH154" s="43" t="str">
        <f aca="false">IF(Tasks[[#This Row],[_Pred4Text]]="","",IFERROR(VALUE(LEFT(Tasks[[#This Row],[_Pred4Text]],MIN(FIND("F",Tasks[[#This Row],[_Pred4Text]]&amp;"F"),FIND("S",Tasks[[#This Row],[_Pred4Text]]&amp;"S"),FIND("+",Tasks[[#This Row],[_Pred4Text]]&amp;"+"),FIND("-",Tasks[[#This Row],[_Pred4Text]]&amp;"-"))-1)),""))</f>
        <v/>
      </c>
      <c r="DI1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3" t="str">
        <f aca="false">IF(OR(Tasks[[#This Row],[Task Name]]="",Tasks[[#This Row],[_Resources]]=""),"",TRIM(MID(SUBSTITUTE(Tasks[[#This Row],[_Resources]],",",REPT(" ",99)),1,99)))</f>
        <v/>
      </c>
      <c r="DL154" s="43" t="str">
        <f aca="false">IF(Tasks[[#This Row],[_Res1Text]]="","",TRIM(MID(SUBSTITUTE(Tasks[[#This Row],[_Resources]],",",REPT(" ",99)),100,99)))</f>
        <v/>
      </c>
      <c r="DM154" s="43" t="str">
        <f aca="false">IF(Tasks[[#This Row],[_Res2Text]]="","",TRIM(MID(SUBSTITUTE(Tasks[[#This Row],[_Resources]],",",REPT(" ",99)),199,99)))</f>
        <v/>
      </c>
      <c r="DN154" s="43" t="str">
        <f aca="false">IF(Tasks[[#This Row],[_Res3Text]]="","",TRIM(MID(SUBSTITUTE(Tasks[[#This Row],[_Resources]],",",REPT(" ",99)),298,99)))</f>
        <v/>
      </c>
      <c r="DO154" s="43" t="n">
        <f aca="false">IF(Tasks[[#This Row],[_Res1Text]]="",0,IFERROR(MATCH(TRIM(LEFT(Tasks[[#This Row],[_Res1Text]],FIND("[",Tasks[[#This Row],[_Res1Text]]&amp;"[")-1)),res_Name,0),IFERROR(MATCH(TRIM(LEFT(Tasks[[#This Row],[_Res1Text]],FIND("[",Tasks[[#This Row],[_Res1Text]]&amp;"[")-1)),res_Initials,0),0)))</f>
        <v>0</v>
      </c>
      <c r="DP154" s="43" t="n">
        <f aca="false">IF(Tasks[[#This Row],[_Res2Text]]="",0,IFERROR(MATCH(TRIM(LEFT(Tasks[[#This Row],[_Res2Text]],FIND("[",Tasks[[#This Row],[_Res2Text]]&amp;"[")-1)),res_Name,0),IFERROR(MATCH(TRIM(LEFT(Tasks[[#This Row],[_Res2Text]],FIND("[",Tasks[[#This Row],[_Res2Text]]&amp;"[")-1)),res_Initials,0),0)))</f>
        <v>0</v>
      </c>
      <c r="DQ154" s="43" t="n">
        <f aca="false">IF(Tasks[[#This Row],[_Res3Text]]="",0,IFERROR(MATCH(TRIM(LEFT(Tasks[[#This Row],[_Res3Text]],FIND("[",Tasks[[#This Row],[_Res3Text]]&amp;"[")-1)),res_Name,0),IFERROR(MATCH(TRIM(LEFT(Tasks[[#This Row],[_Res3Text]],FIND("[",Tasks[[#This Row],[_Res3Text]]&amp;"[")-1)),res_Initials,0),0)))</f>
        <v>0</v>
      </c>
      <c r="DR154" s="43" t="n">
        <f aca="false">IF(Tasks[[#This Row],[_Res4Text]]="",0,IFERROR(MATCH(TRIM(LEFT(Tasks[[#This Row],[_Res4Text]],FIND("[",Tasks[[#This Row],[_Res4Text]]&amp;"[")-1)),res_Name,0),IFERROR(MATCH(TRIM(LEFT(Tasks[[#This Row],[_Res4Text]],FIND("[",Tasks[[#This Row],[_Res4Text]]&amp;"[")-1)),res_Initials,0),0)))</f>
        <v>0</v>
      </c>
      <c r="DS154" s="43" t="str">
        <f aca="false">IF(Tasks[[#This Row],[_Res1Text]]="","",IF(Tasks[[#This Row],[_Res1Row]]&gt;0,INDEX(res_Name,Tasks[[#This Row],[_Res1Row]]),TRIM(LEFT(Tasks[[#This Row],[_Res1Text]],FIND("[",Tasks[[#This Row],[_Res1Text]]&amp;"[")-1))))</f>
        <v/>
      </c>
      <c r="DT1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3" t="n">
        <f aca="false">IF(NOT(Tasks[[#This Row],[_IsLeaf]]=1),0,(Tasks[[#This Row],[_Resource1]]&lt;&gt;"")+(Tasks[[#This Row],[_Res2]]&lt;&gt;"")+(Tasks[[#This Row],[_Res3]]&lt;&gt;"")+(Tasks[[#This Row],[_Res4]]&lt;&gt;""))</f>
        <v>0</v>
      </c>
      <c r="DV154" s="43" t="str">
        <f aca="false">IF(Tasks[[#This Row],[_Res2Text]]="","",IF(Tasks[[#This Row],[_Res2Row]]&gt;0,INDEX(res_Name,Tasks[[#This Row],[_Res2Row]]),TRIM(LEFT(Tasks[[#This Row],[_Res2Text]],FIND("[",Tasks[[#This Row],[_Res2Text]]&amp;"[")-1))))</f>
        <v/>
      </c>
      <c r="DW1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3" t="n">
        <f aca="false">IF(OR(NOT(Tasks[[#This Row],[_IsLeaf]]=1),Tasks[[#This Row],[_Res2Row]]=0),0,N(Tasks[[#This Row],[_Days]])*HoursPerDay*IF(Tasks[[#This Row],[_Res2Units]]="",DefaultUnits,Tasks[[#This Row],[_Res2Units]]))</f>
        <v>0</v>
      </c>
      <c r="DY154" s="43" t="n">
        <f aca="false">IF(AND(AND(Tasks[[#This Row],[_IsLeaf]]=1,Tasks[[#This Row],[_LeafTotalWork]]&gt;0),Tasks[[#This Row],[_Res2Work]]&gt;0),Tasks[[#This Row],[_Res2Work]]/(Tasks[[#This Row],[_FinishWorkday]]-Tasks[[#This Row],[_StartWorkday]]+1),0)</f>
        <v>0</v>
      </c>
      <c r="DZ154" s="43" t="n">
        <f aca="false">Tasks[[#This Row],[_Res2WorkPerWD]]*MAX(0,Tasks[[#This Row],[_StartWorkday]]-1)</f>
        <v>0</v>
      </c>
      <c r="EA154" s="43" t="n">
        <f aca="false">Tasks[[#This Row],[_Res2Work]]*Tasks[[#This Row],[_LeafProgress]]</f>
        <v>0</v>
      </c>
      <c r="EB154" s="43" t="str">
        <f aca="false">IF(Tasks[[#This Row],[_Res3Text]]="","",IF(Tasks[[#This Row],[_Res3Row]]&gt;0,INDEX(res_Name,Tasks[[#This Row],[_Res3Row]]),TRIM(LEFT(Tasks[[#This Row],[_Res3Text]],FIND("[",Tasks[[#This Row],[_Res3Text]]&amp;"[")-1))))</f>
        <v/>
      </c>
      <c r="EC1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3" t="n">
        <f aca="false">IF(OR(NOT(Tasks[[#This Row],[_IsLeaf]]=1),Tasks[[#This Row],[_Res3Row]]=0),0,N(Tasks[[#This Row],[_Days]])*HoursPerDay*IF(Tasks[[#This Row],[_Res3Units]]="",DefaultUnits,Tasks[[#This Row],[_Res3Units]]))</f>
        <v>0</v>
      </c>
      <c r="EE154" s="43" t="n">
        <f aca="false">IF(AND(AND(Tasks[[#This Row],[_IsLeaf]]=1,Tasks[[#This Row],[_LeafTotalWork]]&gt;0),Tasks[[#This Row],[_Res3Work]]&gt;0),Tasks[[#This Row],[_Res3Work]]/(Tasks[[#This Row],[_FinishWorkday]]-Tasks[[#This Row],[_StartWorkday]]+1),0)</f>
        <v>0</v>
      </c>
      <c r="EF154" s="43" t="n">
        <f aca="false">Tasks[[#This Row],[_Res3WorkPerWD]]*MAX(0,Tasks[[#This Row],[_StartWorkday]]-1)</f>
        <v>0</v>
      </c>
      <c r="EG154" s="43" t="n">
        <f aca="false">Tasks[[#This Row],[_Res3Work]]*Tasks[[#This Row],[_LeafProgress]]</f>
        <v>0</v>
      </c>
      <c r="EH154" s="43" t="str">
        <f aca="false">IF(Tasks[[#This Row],[_Res4Text]]="","",IF(Tasks[[#This Row],[_Res4Row]]&gt;0,INDEX(res_Name,Tasks[[#This Row],[_Res4Row]]),TRIM(LEFT(Tasks[[#This Row],[_Res4Text]],FIND("[",Tasks[[#This Row],[_Res4Text]]&amp;"[")-1))))</f>
        <v/>
      </c>
      <c r="EI1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3" t="n">
        <f aca="false">IF(OR(NOT(Tasks[[#This Row],[_IsLeaf]]=1),Tasks[[#This Row],[_Res4Row]]=0),0,N(Tasks[[#This Row],[_Days]])*HoursPerDay*IF(Tasks[[#This Row],[_Res4Units]]="",DefaultUnits,Tasks[[#This Row],[_Res4Units]]))</f>
        <v>0</v>
      </c>
      <c r="EK154" s="43" t="n">
        <f aca="false">IF(AND(AND(Tasks[[#This Row],[_IsLeaf]]=1,Tasks[[#This Row],[_LeafTotalWork]]&gt;0),Tasks[[#This Row],[_Res4Work]]&gt;0),Tasks[[#This Row],[_Res4Work]]/(Tasks[[#This Row],[_FinishWorkday]]-Tasks[[#This Row],[_StartWorkday]]+1),0)</f>
        <v>0</v>
      </c>
      <c r="EL154" s="43" t="n">
        <f aca="false">Tasks[[#This Row],[_Res4WorkPerWD]]*MAX(0,Tasks[[#This Row],[_StartWorkday]]-1)</f>
        <v>0</v>
      </c>
      <c r="EM154" s="43" t="n">
        <f aca="false">Tasks[[#This Row],[_Res4Work]]*Tasks[[#This Row],[_LeafProgress]]</f>
        <v>0</v>
      </c>
      <c r="EN154" s="43" t="n">
        <f aca="false">IF(ISNUMBER(Tasks[[#This Row],[% Complete]]),Tasks[[#This Row],[% Complete]],IF(Tasks[[#This Row],[Stage]]="",0,IFERROR(INDEX(stg_Pct,MATCH(Tasks[[#This Row],[Stage]],stg_Name,0)),0)))</f>
        <v>0</v>
      </c>
      <c r="EO154" s="43" t="n">
        <f aca="false">IF(NOT(Tasks[[#This Row],[_IsLeaf]]=1),0,IF(N(Tasks[[#This Row],[Actual Finish]])&gt;0,1,MIN(1,Tasks[[#This Row],[_Pct]])))</f>
        <v>0</v>
      </c>
      <c r="EP154" s="43" t="n">
        <f aca="false">IF(OR(NOT(Tasks[[#This Row],[_IsLeaf]]=1),Tasks[[#This Row],[_Res1Row]]=0),0,N(Tasks[[#This Row],[_Days]])*HoursPerDay*IF(Tasks[[#This Row],[_Units1]]="",DefaultUnits,Tasks[[#This Row],[_Units1]]))</f>
        <v>0</v>
      </c>
      <c r="EQ154" s="43" t="n">
        <f aca="false">Tasks[[#This Row],[_LeafWork]]+Tasks[[#This Row],[_Res2Work]]+Tasks[[#This Row],[_Res3Work]]+Tasks[[#This Row],[_Res4Work]]</f>
        <v>0</v>
      </c>
      <c r="ER1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3" t="n">
        <f aca="false">IF(NOT(Tasks[[#This Row],[_IsLeaf]]=1),0,MAX(_xlfn.MAXIFS(Tasks[_Row],Tasks[_Pred1UID],Tasks[[#This Row],[UID]]),_xlfn.MAXIFS(Tasks[_Row],Tasks[_Pred2UID],Tasks[[#This Row],[UID]]),_xlfn.MAXIFS(Tasks[_Row],Tasks[_Pred3UID],Tasks[[#This Row],[UID]]),_xlfn.MAXIFS(Tasks[_Row],Tasks[_Pred4UID],Tasks[[#This Row],[UID]])))</f>
        <v>0</v>
      </c>
      <c r="FA1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91" t="str">
        <f aca="false">IF(NOT(Tasks[[#This Row],[_IsLeaf]]=1),"",IF(N(Tasks[[#This Row],[_Days]])&lt;=0,Tasks[[#This Row],[_LeafLateFinish]],WORKDAY.INTL(Tasks[[#This Row],[_LeafLateFinish]],-(Tasks[[#This Row],[_Days]]-1),WorkWeek,Holidays)))</f>
        <v/>
      </c>
      <c r="FD1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4" s="90" t="b">
        <f aca="false">AND(Tasks[[#This Row],[_IsLeaf]]=1,Tasks[[#This Row],[_LeafProgress]]&lt;1,N(Tasks[[#This Row],[_LeafTotalSlack]])&lt;=CriticalSlackDays)</f>
        <v>0</v>
      </c>
      <c r="FF154" s="43" t="n">
        <f aca="false">IF(AND(Tasks[[#This Row],[_IsLeaf]]=1,Tasks[[#This Row],[_ConstraintCode]]=1,Tasks[[#This Row],[Mode]]&lt;&gt;"Manual",N(Tasks[[#This Row],[Actual Start]])=0),MAX(0,N(Tasks[[#This Row],[Free Slack]])),0)</f>
        <v>0</v>
      </c>
      <c r="FG154" s="91" t="str">
        <f aca="false">IF(NOT(Tasks[[#This Row],[_IsLeaf]]=1),"",IF(Tasks[[#This Row],[_AlapShift]]=0,Tasks[[#This Row],[_LeafCalcStart]],WORKDAY.INTL(Tasks[[#This Row],[_LeafCalcStart]],Tasks[[#This Row],[_AlapShift]],WorkWeek,Holidays)))</f>
        <v/>
      </c>
      <c r="FH154" s="91" t="str">
        <f aca="false">IF(NOT(Tasks[[#This Row],[_IsLeaf]]=1),"",IF(Tasks[[#This Row],[_AlapShift]]=0,Tasks[[#This Row],[_LeafCalcFinish]],WORKDAY.INTL(Tasks[[#This Row],[_LeafCalcFinish]],Tasks[[#This Row],[_AlapShift]],WorkWeek,Holidays)))</f>
        <v/>
      </c>
      <c r="FI154" s="91" t="str">
        <f aca="false">IF(NOT(Tasks[[#This Row],[_IsLeaf]]=1),"",IF(Tasks[[#This Row],[_AlapShift]]=0,Tasks[[#This Row],[_LeafFcstStart]],WORKDAY.INTL(Tasks[[#This Row],[_LeafFcstStart]],Tasks[[#This Row],[_AlapShift]],WorkWeek,Holidays)))</f>
        <v/>
      </c>
      <c r="FJ154" s="91" t="str">
        <f aca="false">IF(NOT(Tasks[[#This Row],[_IsLeaf]]=1),"",IF(Tasks[[#This Row],[_AlapShift]]=0,Tasks[[#This Row],[_LeafFcstFinish]],WORKDAY.INTL(Tasks[[#This Row],[_LeafFcstFinish]],Tasks[[#This Row],[_AlapShift]],WorkWeek,Holidays)))</f>
        <v/>
      </c>
      <c r="FK154" s="91" t="str">
        <f aca="false">IF(Tasks[[#This Row],[Task Name]]="","",IF(Tasks[[#This Row],[_IsSummary]],MIN(INDEX(Tasks[_ShownCalcStart],Tasks[[#This Row],[_Row]]+1):INDEX(Tasks[_ShownCalcStart],Tasks[[#This Row],[_Row]]+Tasks[[#This Row],[_Descendants]])),Tasks[[#This Row],[_ShownCalcStart]]))</f>
        <v/>
      </c>
      <c r="FL154" s="91" t="str">
        <f aca="false">IF(Tasks[[#This Row],[Task Name]]="","",IF(Tasks[[#This Row],[_IsSummary]],MAX(INDEX(Tasks[_ShownCalcFinish],Tasks[[#This Row],[_Row]]+1):INDEX(Tasks[_ShownCalcFinish],Tasks[[#This Row],[_Row]]+Tasks[[#This Row],[_Descendants]])),Tasks[[#This Row],[_ShownCalcFinish]]))</f>
        <v/>
      </c>
      <c r="FM1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4" s="43" t="n">
        <f aca="false">IF(AND(Tasks[[#This Row],[_IsLeaf]]=1,Tasks[[#This Row],[_LeafTotalWork]]&gt;0),NETWORKDAYS.INTL(ProjectStart,Tasks[[#This Row],[_ShownFcstStart]],WorkWeek,Holidays),0)</f>
        <v>0</v>
      </c>
      <c r="FZ154" s="43" t="n">
        <f aca="false">IF(AND(Tasks[[#This Row],[_IsLeaf]]=1,Tasks[[#This Row],[_LeafTotalWork]]&gt;0),MAX(Tasks[[#This Row],[_StartWorkday]],NETWORKDAYS.INTL(ProjectStart,Tasks[[#This Row],[_ShownFcstFinish]],WorkWeek,Holidays)),0)</f>
        <v>0</v>
      </c>
      <c r="GA154" s="43" t="n">
        <f aca="false">IF(AND(Tasks[[#This Row],[_IsLeaf]]=1,Tasks[[#This Row],[_LeafTotalWork]]&gt;0),Tasks[[#This Row],[_LeafWork]]/(Tasks[[#This Row],[_FinishWorkday]]-Tasks[[#This Row],[_StartWorkday]]+1),0)</f>
        <v>0</v>
      </c>
      <c r="GB154" s="43" t="n">
        <f aca="false">Tasks[[#This Row],[_WorkPerWorkday]]*(Tasks[[#This Row],[_StartWorkday]]-1)</f>
        <v>-0</v>
      </c>
      <c r="GC154" s="43" t="n">
        <f aca="false">IF(Tasks[[#This Row],[_IsLeaf]]=1,MAX(N(Tasks[[#This Row],[_Days]]),0.1),0)</f>
        <v>0</v>
      </c>
      <c r="GD154" s="43" t="n">
        <f aca="false">Tasks[[#This Row],[_WeightDur]]*Tasks[[#This Row],[_LeafProgress]]</f>
        <v>0</v>
      </c>
      <c r="GE154" s="43" t="n">
        <f aca="false">Tasks[[#This Row],[_WeightDur]]*Tasks[[#This Row],[_PlannedPct]]</f>
        <v>0</v>
      </c>
      <c r="GF1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3" t="str">
        <f aca="false">IF(AND(Tasks[[#This Row],[_IsLeaf]]=1,N(Tasks[[#This Row],[_Days]])=0,Tasks[[#This Row],[_LeafProgress]]&lt;1),Tasks[[#This Row],[_ShownFcstFinish]]+Tasks[[#This Row],[_Row]]/100000,"")</f>
        <v/>
      </c>
      <c r="GH1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4" s="43" t="str">
        <f aca="false">IF(Tasks[[#This Row],[Task Name]]="","",LEFT(Tasks[[#This Row],[WBS]],FIND(".",Tasks[[#This Row],[WBS]]&amp;".")-1))</f>
        <v/>
      </c>
      <c r="GJ154" s="43" t="str">
        <f aca="false">IF(AND(Tasks[[#This Row],[Task Name]]&lt;&gt;"",Tasks[[#This Row],[_Level]]=1),Tasks[[#This Row],[_Row]],"")</f>
        <v/>
      </c>
      <c r="GK154" s="43" t="str">
        <f aca="false">IF(AND(Tasks[[#This Row],[_IsLeaf]]=1,N(Tasks[[#This Row],[_Days]])=0),Tasks[[#This Row],[Planned Finish]]+Tasks[[#This Row],[_Row]]/100000,"")</f>
        <v/>
      </c>
      <c r="GL154" s="43" t="str">
        <f aca="false">IF(AND(Tasks[[#This Row],[_IsLeaf]]=1,Tasks[[#This Row],[_LeafProgress]]&lt;1,OR(N(Tasks[[#This Row],[Finish Var]])&gt;0,Tasks[[#This Row],[Status]]="Late Start")),MAX(0,Tasks[[#This Row],[Finish Var]])+1-Tasks[[#This Row],[_Row]]/1000000,"")</f>
        <v/>
      </c>
      <c r="GM154" s="43" t="str">
        <f aca="false">IF(AND(Tasks[[#This Row],[_IsLeaf]]=1,N(Tasks[[#This Row],[Actual Start]])=0,Tasks[[#This Row],[_ShownFcstStart]]&gt;=StatusDate,Tasks[[#This Row],[_ShownFcstStart]]&lt;=LookaheadEnd),Tasks[[#This Row],[_ShownFcstStart]]+Tasks[[#This Row],[_Row]]/100000,"")</f>
        <v/>
      </c>
      <c r="GN154" s="43" t="str">
        <f aca="false">IF(AND(Tasks[[#This Row],[_IsLeaf]]=1,Tasks[[#This Row],[_LeafProgress]]&lt;1,Tasks[[#This Row],[_ShownFcstFinish]]&gt;=StatusDate,Tasks[[#This Row],[_ShownFcstFinish]]&lt;=LookaheadEnd),Tasks[[#This Row],[_ShownFcstFinish]]+Tasks[[#This Row],[_Row]]/100000,"")</f>
        <v/>
      </c>
      <c r="GO154" s="43" t="str">
        <f aca="false">IF(Tasks[[#This Row],[_LeafCritical]],Tasks[[#This Row],[_ShownFcstStart]]+Tasks[[#This Row],[_Row]]/100000,"")</f>
        <v/>
      </c>
      <c r="GP154" s="43" t="n">
        <f aca="false">Tasks[[#This Row],[_LeafWork]]*Tasks[[#This Row],[_LeafProgress]]</f>
        <v>0</v>
      </c>
      <c r="GQ154" s="91" t="str">
        <f aca="false">IF(AND(Tasks[[#This Row],[_IsLeaf]]=1,Tasks[[#This Row],[_LeafProgress]]&gt;=1),IF(N(Tasks[[#This Row],[Actual Finish]])&gt;0,Tasks[[#This Row],[Actual Finish]],Tasks[[#This Row],[_ShownFcstFinish]]),"")</f>
        <v/>
      </c>
      <c r="GR154" s="43" t="n">
        <f aca="false">IF(Tasks[[#This Row],[_IsLeaf]]=1,N(Tasks[[#This Row],[Story Points]]),0)</f>
        <v>0</v>
      </c>
      <c r="GS154" s="43" t="str">
        <f aca="false">""</f>
        <v/>
      </c>
      <c r="GT154" s="90" t="b">
        <f aca="false">IF(Tasks[[#This Row],[Task Name]]="",FALSE(),AND(Tasks[[#This Row],[_IsLeaf]]=1,N(Tasks[[#This Row],[_Days]])=0))</f>
        <v>0</v>
      </c>
      <c r="GU154" s="91" t="n">
        <f aca="false">IF(Tasks[[#This Row],[Task Name]]="",0,IF(AND(Tasks[[#This Row],[_IsLeaf]]=1,NOT(Tasks[[#This Row],[_IsMilestone]]),N(Tasks[[#This Row],[Progress]])&gt;0),Tasks[[#This Row],[Start]],0))</f>
        <v>0</v>
      </c>
      <c r="GV154" s="91" t="n">
        <f aca="false">IF(Tasks[[#This Row],[_DoneFrom]]=0,0,IF(Tasks[[#This Row],[Progress]]&gt;=1,Tasks[[#This Row],[Finish]],MAX(Tasks[[#This Row],[_DoneFrom]],Tasks[[#This Row],[Start]]+ROUND((Tasks[[#This Row],[Finish]]-Tasks[[#This Row],[Start]]+1)*Tasks[[#This Row],[Progress]],0)-1)))</f>
        <v>0</v>
      </c>
      <c r="GW154" s="91" t="n">
        <f aca="false">IF(Tasks[[#This Row],[Task Name]]="",0,IF(OR(NOT(Tasks[[#This Row],[_IsLeaf]]=1),Tasks[[#This Row],[_IsMilestone]],N(Tasks[[#This Row],[Progress]])&gt;=1),0,IF(Tasks[[#This Row],[_DoneTo]]&gt;0,Tasks[[#This Row],[_DoneTo]]+1,Tasks[[#This Row],[Start]])))</f>
        <v>0</v>
      </c>
      <c r="GX154" s="91" t="n">
        <f aca="false">IF(Tasks[[#This Row],[_RemFrom]]=0,0,Tasks[[#This Row],[Finish]])</f>
        <v>0</v>
      </c>
      <c r="GY154" s="90" t="b">
        <f aca="false">IF(Tasks[[#This Row],[Task Name]]="",FALSE(),OR(NOT(BaselineSet),N(Tasks[[#This Row],[Baseline Start]])&gt;0))</f>
        <v>0</v>
      </c>
      <c r="GZ15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92" t="str">
        <f aca="false">IF(Tasks[[#This Row],[_IsLeaf]]=1,Tasks[[#This Row],[_Row]],"")</f>
        <v/>
      </c>
      <c r="HD154" s="92" t="str">
        <f aca="false">IFERROR(INDEX(Tasks[UID],SMALL(Tasks[_PickKey],Tasks[[#This Row],[_Row]]))&amp;" "&amp;INDEX(Tasks[Task Name],SMALL(Tasks[_PickKey],Tasks[[#This Row],[_Row]])),"")</f>
        <v/>
      </c>
      <c r="HE154" s="43" t="str">
        <f aca="false">IF(Tasks[[#This Row],[Task Name]]="","",IF(Tasks[[#This Row],[_IsSummary]],NETWORKDAYS.INTL(Tasks[[#This Row],[Start]],Tasks[[#This Row],[Finish]],WorkWeek,Holidays),N(Tasks[[#This Row],[_Days]])))</f>
        <v/>
      </c>
      <c r="HF154" s="43" t="n">
        <f aca="false">IF(Tasks[[#This Row],[Expected]]="",0,((Tasks[[#This Row],[Pessimistic]]-Tasks[[#This Row],[Optimistic]])/6)^2)</f>
        <v>0</v>
      </c>
      <c r="HG154" s="43" t="n">
        <f aca="false">IF(Tasks[[#This Row],[Expected]]="",0,Tasks[[#This Row],[Expected]]-N(Tasks[[#This Row],[_Days]]))</f>
        <v>0</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4"/>
      <c r="U155" s="23"/>
      <c r="V155" s="84"/>
      <c r="W155" s="23"/>
      <c r="X155" s="84"/>
      <c r="Y155" s="23"/>
      <c r="Z155" s="84"/>
      <c r="AA155" s="23"/>
      <c r="AB155" s="23"/>
      <c r="AC155" s="7"/>
      <c r="AD155" s="7"/>
      <c r="AE155" s="63" t="str">
        <f aca="false">IF(Tasks[[#This Row],[Task Name]]="","",IF(Tasks[[#This Row],[_IsSummary]],MIN(INDEX(Tasks[_ShownFcstStart],Tasks[[#This Row],[_Row]]+1):INDEX(Tasks[_ShownFcstStart],Tasks[[#This Row],[_Row]]+Tasks[[#This Row],[_Descendants]])),Tasks[[#This Row],[_ShownFcstStart]]))</f>
        <v/>
      </c>
      <c r="AF155" s="63"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5" s="7"/>
      <c r="AK155" s="22"/>
      <c r="AL155" s="23"/>
      <c r="AM155" s="7"/>
      <c r="AN155" s="47"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3" t="str">
        <f aca="false">IF(Tasks[[#This Row],[Task Name]]="","",IF(N(Tasks[[#This Row],[Baseline Start]])&gt;0,Tasks[[#This Row],[Baseline Start]],Tasks[[#This Row],[_CalcStart]]))</f>
        <v/>
      </c>
      <c r="AR155" s="63" t="str">
        <f aca="false">IF(Tasks[[#This Row],[Task Name]]="","",IF(N(Tasks[[#This Row],[Baseline Finish]])&gt;0,Tasks[[#This Row],[Baseline Finish]],Tasks[[#This Row],[_CalcFinish]]))</f>
        <v/>
      </c>
      <c r="AS155" s="47" t="str">
        <f aca="false">IF(Tasks[[#This Row],[Task Name]]="","",IF(Tasks[[#This Row],[Start]]&gt;=Tasks[[#This Row],[Planned Start]],NETWORKDAYS.INTL(Tasks[[#This Row],[Planned Start]],Tasks[[#This Row],[Start]],WorkWeek,Holidays)-1,1-NETWORKDAYS.INTL(Tasks[[#This Row],[Start]],Tasks[[#This Row],[Planned Start]],WorkWeek,Holidays)))</f>
        <v/>
      </c>
      <c r="AT155" s="63" t="str">
        <f aca="false">IF(Tasks[[#This Row],[Task Name]]="","",IF(Tasks[[#This Row],[_IsSummary]],MIN(INDEX(Tasks[_LeafLateStart],Tasks[[#This Row],[_Row]]+1):INDEX(Tasks[_LeafLateStart],Tasks[[#This Row],[_Row]]+Tasks[[#This Row],[_Descendants]])),Tasks[[#This Row],[_LeafLateStart]]))</f>
        <v/>
      </c>
      <c r="AU155" s="63" t="str">
        <f aca="false">IF(Tasks[[#This Row],[Task Name]]="","",IF(Tasks[[#This Row],[_IsSummary]],MAX(INDEX(Tasks[_LeafLateFinish],Tasks[[#This Row],[_Row]]+1):INDEX(Tasks[_LeafLateFinish],Tasks[[#This Row],[_Row]]+Tasks[[#This Row],[_Descendants]])),Tasks[[#This Row],[_LeafLateFinish]]))</f>
        <v/>
      </c>
      <c r="AV155" s="47"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5"/>
      <c r="BA1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6"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7"/>
      <c r="BJ155" s="22"/>
      <c r="BK155" s="47" t="str">
        <f aca="false">IF(OR(Tasks[[#This Row],[Task Name]]="",Tasks[[#This Row],[Baseline Duration]]=""),"",Tasks[[#This Row],[_SpanDays]]-N(Tasks[[#This Row],[Baseline Duration]]))</f>
        <v/>
      </c>
      <c r="BL155" s="86" t="str">
        <f aca="false">IF(OR(Tasks[[#This Row],[Task Name]]="",Tasks[[#This Row],[Baseline Work]]=""),"",Tasks[[#This Row],[Work]]-N(Tasks[[#This Row],[Baseline Work]]))</f>
        <v/>
      </c>
      <c r="BM155" s="63" t="str">
        <f aca="false">IF(Tasks[[#This Row],[Task Name]]="","",IF(OR(TakeBaseline="Yes",N(Tasks[[#This Row],[Baseline Start]])=0),Tasks[[#This Row],[Start]],Tasks[[#This Row],[Baseline Start]]))</f>
        <v/>
      </c>
      <c r="BN155" s="63" t="str">
        <f aca="false">IF(Tasks[[#This Row],[Task Name]]="","",IF(OR(TakeBaseline="Yes",N(Tasks[[#This Row],[Baseline Finish]])=0),Tasks[[#This Row],[Finish]],Tasks[[#This Row],[Baseline Finish]]))</f>
        <v/>
      </c>
      <c r="BO155" s="21" t="str">
        <f aca="false">IF(Tasks[[#This Row],[Task Name]]="","",IF(OR(TakeBaseline="Yes",N(Tasks[[#This Row],[Baseline Duration]])=0),Tasks[[#This Row],[_SpanDays]],Tasks[[#This Row],[Baseline Duration]]))</f>
        <v/>
      </c>
      <c r="BP155" s="86" t="str">
        <f aca="false">IF(Tasks[[#This Row],[Task Name]]="","",IF(OR(TakeBaseline="Yes",N(Tasks[[#This Row],[Baseline Work]])=0),Tasks[[#This Row],[Work]],Tasks[[#This Row],[Baseline Work]]))</f>
        <v/>
      </c>
      <c r="BQ155" s="7"/>
      <c r="BR155" s="7"/>
      <c r="BS155" s="22"/>
      <c r="BT155" s="88"/>
      <c r="BU155" s="23"/>
      <c r="BV155" s="23"/>
      <c r="BW155" s="23"/>
      <c r="BX155" s="89" t="str">
        <f aca="false">IF(AND(Tasks[[#This Row],[_IsLeaf]]=1,ISNUMBER(Tasks[[#This Row],[Optimistic]]),ISNUMBER(Tasks[[#This Row],[Pessimistic]])),ROUND((Tasks[[#This Row],[Optimistic]]+4*N(Tasks[[#This Row],[_Days]])+Tasks[[#This Row],[Pessimistic]])/6,1),"")</f>
        <v/>
      </c>
      <c r="BY155" s="87"/>
      <c r="BZ155" s="87"/>
      <c r="CA155" s="22"/>
      <c r="CB155" s="43" t="str">
        <f aca="false">IF(Tasks[[#This Row],[Task Name]]="","",MAX(1,N(Tasks[[#This Row],[Level]])))</f>
        <v/>
      </c>
      <c r="CC155" s="43" t="n">
        <f aca="false">ROW()-ROW(Tasks[[#Headers],[ID]])</f>
        <v>150</v>
      </c>
      <c r="CD155" s="43" t="n">
        <f aca="false">IF(OR(Tasks[[#This Row],[Task Name]]="",Tasks[[#This Row],[_Level]]&lt;=1),0,IFERROR(LOOKUP(2,1/(Tasks[[#Headers],[_Level]]:Tasks[[#This Row],[_Level]]=Tasks[[#This Row],[_Level]]-1),ROW(Tasks[[#Headers],[_Level]]:Tasks[[#This Row],[_Level]])),0))</f>
        <v>0</v>
      </c>
      <c r="CE155" s="43" t="n">
        <f aca="false">IFERROR(N(INDEX(Tasks[_Level],Tasks[[#This Row],[_Row]]+1)),0)</f>
        <v>0</v>
      </c>
      <c r="CF155" s="90" t="b">
        <f aca="false">AND(Tasks[[#This Row],[Task Name]]&lt;&gt;"",Tasks[[#This Row],[_NextLevel]]&gt;Tasks[[#This Row],[_Level]])</f>
        <v>0</v>
      </c>
      <c r="CG155" s="43" t="n">
        <f aca="false">IF(Tasks[[#This Row],[_IsSummary]],COUNTIF(Tasks[WBS],Tasks[[#This Row],[WBS]]&amp;".*"),0)</f>
        <v>0</v>
      </c>
      <c r="CH155" s="43" t="n">
        <f aca="false">IF(AND(Tasks[[#This Row],[Task Name]]&lt;&gt;"",NOT(Tasks[[#This Row],[_IsSummary]])),1,0)</f>
        <v>0</v>
      </c>
      <c r="CI155" s="43" t="n">
        <f aca="false">IF(N(Tasks[[#This Row],[_Pred1UID]])=0,0,IFERROR(MATCH(Tasks[[#This Row],[_Pred1UID]],Tasks[UID],0),-1))</f>
        <v>0</v>
      </c>
      <c r="CJ155" s="43" t="n">
        <f aca="false">IF(N(Tasks[[#This Row],[_Pred2UID]])=0,0,IFERROR(MATCH(Tasks[[#This Row],[_Pred2UID]],Tasks[UID],0),-1))</f>
        <v>0</v>
      </c>
      <c r="CK155" s="43" t="n">
        <f aca="false">IF(N(Tasks[[#This Row],[_Pred3UID]])=0,0,IFERROR(MATCH(Tasks[[#This Row],[_Pred3UID]],Tasks[UID],0),-1))</f>
        <v>0</v>
      </c>
      <c r="CL155" s="43" t="n">
        <f aca="false">IF(N(Tasks[[#This Row],[_Pred4UID]])=0,0,IFERROR(MATCH(Tasks[[#This Row],[_Pred4UID]],Tasks[UID],0),-1))</f>
        <v>0</v>
      </c>
      <c r="CM1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5" s="91" t="n">
        <f aca="false">IF(OR(Tasks[[#This Row],[_ConstraintCode]]=2,Tasks[[#This Row],[_ConstraintCode]]=3,Tasks[[#This Row],[_ConstraintCode]]=4,Tasks[[#This Row],[_ConstraintCode]]=6),Tasks[[#This Row],[_ConstraintStart]],0)</f>
        <v>0</v>
      </c>
      <c r="CP155" s="91" t="n">
        <f aca="false">IF(OR(Tasks[[#This Row],[_ConstraintCode]]=2,Tasks[[#This Row],[_ConstraintCode]]=3,Tasks[[#This Row],[_ConstraintCode]]=5,Tasks[[#This Row],[_ConstraintCode]]=7),Tasks[[#This Row],[_ConstraintStart]],2958465)</f>
        <v>2958465</v>
      </c>
      <c r="CQ1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91" t="str">
        <f aca="false">IF(NOT(Tasks[[#This Row],[_IsLeaf]]=1),"",IF(N(Tasks[[#This Row],[_Days]])&lt;=0,Tasks[[#This Row],[_LeafCalcStart]],WORKDAY.INTL(Tasks[[#This Row],[_LeafCalcStart]],Tasks[[#This Row],[_Days]]-1,WorkWeek,Holidays)))</f>
        <v/>
      </c>
      <c r="CS1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3" t="str">
        <f aca="false">IF(Tasks[[#This Row],[_Predecessors]]="","",TRIM(MID(SUBSTITUTE(SUBSTITUTE(SUBSTITUTE(UPPER(Tasks[[#This Row],[_Predecessors]]),";",",")," ",""),",",REPT(" ",99)),1,99)))</f>
        <v/>
      </c>
      <c r="CV155" s="43" t="str">
        <f aca="false">IF(Tasks[[#This Row],[_Pred1Text]]="","",IFERROR(VALUE(LEFT(Tasks[[#This Row],[_Pred1Text]],MIN(FIND("F",Tasks[[#This Row],[_Pred1Text]]&amp;"F"),FIND("S",Tasks[[#This Row],[_Pred1Text]]&amp;"S"),FIND("+",Tasks[[#This Row],[_Pred1Text]]&amp;"+"),FIND("-",Tasks[[#This Row],[_Pred1Text]]&amp;"-"))-1)),""))</f>
        <v/>
      </c>
      <c r="CW1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3" t="str">
        <f aca="false">IF(Tasks[[#This Row],[_Pred1Text]]="","",TRIM(MID(SUBSTITUTE(SUBSTITUTE(SUBSTITUTE(UPPER(Tasks[[#This Row],[_Predecessors]]),";",",")," ",""),",",REPT(" ",99)),100,99)))</f>
        <v/>
      </c>
      <c r="CZ155" s="43" t="str">
        <f aca="false">IF(Tasks[[#This Row],[_Pred2Text]]="","",IFERROR(VALUE(LEFT(Tasks[[#This Row],[_Pred2Text]],MIN(FIND("F",Tasks[[#This Row],[_Pred2Text]]&amp;"F"),FIND("S",Tasks[[#This Row],[_Pred2Text]]&amp;"S"),FIND("+",Tasks[[#This Row],[_Pred2Text]]&amp;"+"),FIND("-",Tasks[[#This Row],[_Pred2Text]]&amp;"-"))-1)),""))</f>
        <v/>
      </c>
      <c r="DA1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3" t="str">
        <f aca="false">IF(Tasks[[#This Row],[_Pred2Text]]="","",TRIM(MID(SUBSTITUTE(SUBSTITUTE(SUBSTITUTE(UPPER(Tasks[[#This Row],[_Predecessors]]),";",",")," ",""),",",REPT(" ",99)),199,99)))</f>
        <v/>
      </c>
      <c r="DD155" s="43" t="str">
        <f aca="false">IF(Tasks[[#This Row],[_Pred3Text]]="","",IFERROR(VALUE(LEFT(Tasks[[#This Row],[_Pred3Text]],MIN(FIND("F",Tasks[[#This Row],[_Pred3Text]]&amp;"F"),FIND("S",Tasks[[#This Row],[_Pred3Text]]&amp;"S"),FIND("+",Tasks[[#This Row],[_Pred3Text]]&amp;"+"),FIND("-",Tasks[[#This Row],[_Pred3Text]]&amp;"-"))-1)),""))</f>
        <v/>
      </c>
      <c r="DE1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3" t="str">
        <f aca="false">IF(Tasks[[#This Row],[_Pred3Text]]="","",TRIM(MID(SUBSTITUTE(SUBSTITUTE(SUBSTITUTE(UPPER(Tasks[[#This Row],[_Predecessors]]),";",",")," ",""),",",REPT(" ",99)),298,99)))</f>
        <v/>
      </c>
      <c r="DH155" s="43" t="str">
        <f aca="false">IF(Tasks[[#This Row],[_Pred4Text]]="","",IFERROR(VALUE(LEFT(Tasks[[#This Row],[_Pred4Text]],MIN(FIND("F",Tasks[[#This Row],[_Pred4Text]]&amp;"F"),FIND("S",Tasks[[#This Row],[_Pred4Text]]&amp;"S"),FIND("+",Tasks[[#This Row],[_Pred4Text]]&amp;"+"),FIND("-",Tasks[[#This Row],[_Pred4Text]]&amp;"-"))-1)),""))</f>
        <v/>
      </c>
      <c r="DI1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3" t="str">
        <f aca="false">IF(OR(Tasks[[#This Row],[Task Name]]="",Tasks[[#This Row],[_Resources]]=""),"",TRIM(MID(SUBSTITUTE(Tasks[[#This Row],[_Resources]],",",REPT(" ",99)),1,99)))</f>
        <v/>
      </c>
      <c r="DL155" s="43" t="str">
        <f aca="false">IF(Tasks[[#This Row],[_Res1Text]]="","",TRIM(MID(SUBSTITUTE(Tasks[[#This Row],[_Resources]],",",REPT(" ",99)),100,99)))</f>
        <v/>
      </c>
      <c r="DM155" s="43" t="str">
        <f aca="false">IF(Tasks[[#This Row],[_Res2Text]]="","",TRIM(MID(SUBSTITUTE(Tasks[[#This Row],[_Resources]],",",REPT(" ",99)),199,99)))</f>
        <v/>
      </c>
      <c r="DN155" s="43" t="str">
        <f aca="false">IF(Tasks[[#This Row],[_Res3Text]]="","",TRIM(MID(SUBSTITUTE(Tasks[[#This Row],[_Resources]],",",REPT(" ",99)),298,99)))</f>
        <v/>
      </c>
      <c r="DO155" s="43" t="n">
        <f aca="false">IF(Tasks[[#This Row],[_Res1Text]]="",0,IFERROR(MATCH(TRIM(LEFT(Tasks[[#This Row],[_Res1Text]],FIND("[",Tasks[[#This Row],[_Res1Text]]&amp;"[")-1)),res_Name,0),IFERROR(MATCH(TRIM(LEFT(Tasks[[#This Row],[_Res1Text]],FIND("[",Tasks[[#This Row],[_Res1Text]]&amp;"[")-1)),res_Initials,0),0)))</f>
        <v>0</v>
      </c>
      <c r="DP155" s="43" t="n">
        <f aca="false">IF(Tasks[[#This Row],[_Res2Text]]="",0,IFERROR(MATCH(TRIM(LEFT(Tasks[[#This Row],[_Res2Text]],FIND("[",Tasks[[#This Row],[_Res2Text]]&amp;"[")-1)),res_Name,0),IFERROR(MATCH(TRIM(LEFT(Tasks[[#This Row],[_Res2Text]],FIND("[",Tasks[[#This Row],[_Res2Text]]&amp;"[")-1)),res_Initials,0),0)))</f>
        <v>0</v>
      </c>
      <c r="DQ155" s="43" t="n">
        <f aca="false">IF(Tasks[[#This Row],[_Res3Text]]="",0,IFERROR(MATCH(TRIM(LEFT(Tasks[[#This Row],[_Res3Text]],FIND("[",Tasks[[#This Row],[_Res3Text]]&amp;"[")-1)),res_Name,0),IFERROR(MATCH(TRIM(LEFT(Tasks[[#This Row],[_Res3Text]],FIND("[",Tasks[[#This Row],[_Res3Text]]&amp;"[")-1)),res_Initials,0),0)))</f>
        <v>0</v>
      </c>
      <c r="DR155" s="43" t="n">
        <f aca="false">IF(Tasks[[#This Row],[_Res4Text]]="",0,IFERROR(MATCH(TRIM(LEFT(Tasks[[#This Row],[_Res4Text]],FIND("[",Tasks[[#This Row],[_Res4Text]]&amp;"[")-1)),res_Name,0),IFERROR(MATCH(TRIM(LEFT(Tasks[[#This Row],[_Res4Text]],FIND("[",Tasks[[#This Row],[_Res4Text]]&amp;"[")-1)),res_Initials,0),0)))</f>
        <v>0</v>
      </c>
      <c r="DS155" s="43" t="str">
        <f aca="false">IF(Tasks[[#This Row],[_Res1Text]]="","",IF(Tasks[[#This Row],[_Res1Row]]&gt;0,INDEX(res_Name,Tasks[[#This Row],[_Res1Row]]),TRIM(LEFT(Tasks[[#This Row],[_Res1Text]],FIND("[",Tasks[[#This Row],[_Res1Text]]&amp;"[")-1))))</f>
        <v/>
      </c>
      <c r="DT1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3" t="n">
        <f aca="false">IF(NOT(Tasks[[#This Row],[_IsLeaf]]=1),0,(Tasks[[#This Row],[_Resource1]]&lt;&gt;"")+(Tasks[[#This Row],[_Res2]]&lt;&gt;"")+(Tasks[[#This Row],[_Res3]]&lt;&gt;"")+(Tasks[[#This Row],[_Res4]]&lt;&gt;""))</f>
        <v>0</v>
      </c>
      <c r="DV155" s="43" t="str">
        <f aca="false">IF(Tasks[[#This Row],[_Res2Text]]="","",IF(Tasks[[#This Row],[_Res2Row]]&gt;0,INDEX(res_Name,Tasks[[#This Row],[_Res2Row]]),TRIM(LEFT(Tasks[[#This Row],[_Res2Text]],FIND("[",Tasks[[#This Row],[_Res2Text]]&amp;"[")-1))))</f>
        <v/>
      </c>
      <c r="DW1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3" t="n">
        <f aca="false">IF(OR(NOT(Tasks[[#This Row],[_IsLeaf]]=1),Tasks[[#This Row],[_Res2Row]]=0),0,N(Tasks[[#This Row],[_Days]])*HoursPerDay*IF(Tasks[[#This Row],[_Res2Units]]="",DefaultUnits,Tasks[[#This Row],[_Res2Units]]))</f>
        <v>0</v>
      </c>
      <c r="DY155" s="43" t="n">
        <f aca="false">IF(AND(AND(Tasks[[#This Row],[_IsLeaf]]=1,Tasks[[#This Row],[_LeafTotalWork]]&gt;0),Tasks[[#This Row],[_Res2Work]]&gt;0),Tasks[[#This Row],[_Res2Work]]/(Tasks[[#This Row],[_FinishWorkday]]-Tasks[[#This Row],[_StartWorkday]]+1),0)</f>
        <v>0</v>
      </c>
      <c r="DZ155" s="43" t="n">
        <f aca="false">Tasks[[#This Row],[_Res2WorkPerWD]]*MAX(0,Tasks[[#This Row],[_StartWorkday]]-1)</f>
        <v>0</v>
      </c>
      <c r="EA155" s="43" t="n">
        <f aca="false">Tasks[[#This Row],[_Res2Work]]*Tasks[[#This Row],[_LeafProgress]]</f>
        <v>0</v>
      </c>
      <c r="EB155" s="43" t="str">
        <f aca="false">IF(Tasks[[#This Row],[_Res3Text]]="","",IF(Tasks[[#This Row],[_Res3Row]]&gt;0,INDEX(res_Name,Tasks[[#This Row],[_Res3Row]]),TRIM(LEFT(Tasks[[#This Row],[_Res3Text]],FIND("[",Tasks[[#This Row],[_Res3Text]]&amp;"[")-1))))</f>
        <v/>
      </c>
      <c r="EC1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3" t="n">
        <f aca="false">IF(OR(NOT(Tasks[[#This Row],[_IsLeaf]]=1),Tasks[[#This Row],[_Res3Row]]=0),0,N(Tasks[[#This Row],[_Days]])*HoursPerDay*IF(Tasks[[#This Row],[_Res3Units]]="",DefaultUnits,Tasks[[#This Row],[_Res3Units]]))</f>
        <v>0</v>
      </c>
      <c r="EE155" s="43" t="n">
        <f aca="false">IF(AND(AND(Tasks[[#This Row],[_IsLeaf]]=1,Tasks[[#This Row],[_LeafTotalWork]]&gt;0),Tasks[[#This Row],[_Res3Work]]&gt;0),Tasks[[#This Row],[_Res3Work]]/(Tasks[[#This Row],[_FinishWorkday]]-Tasks[[#This Row],[_StartWorkday]]+1),0)</f>
        <v>0</v>
      </c>
      <c r="EF155" s="43" t="n">
        <f aca="false">Tasks[[#This Row],[_Res3WorkPerWD]]*MAX(0,Tasks[[#This Row],[_StartWorkday]]-1)</f>
        <v>0</v>
      </c>
      <c r="EG155" s="43" t="n">
        <f aca="false">Tasks[[#This Row],[_Res3Work]]*Tasks[[#This Row],[_LeafProgress]]</f>
        <v>0</v>
      </c>
      <c r="EH155" s="43" t="str">
        <f aca="false">IF(Tasks[[#This Row],[_Res4Text]]="","",IF(Tasks[[#This Row],[_Res4Row]]&gt;0,INDEX(res_Name,Tasks[[#This Row],[_Res4Row]]),TRIM(LEFT(Tasks[[#This Row],[_Res4Text]],FIND("[",Tasks[[#This Row],[_Res4Text]]&amp;"[")-1))))</f>
        <v/>
      </c>
      <c r="EI1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3" t="n">
        <f aca="false">IF(OR(NOT(Tasks[[#This Row],[_IsLeaf]]=1),Tasks[[#This Row],[_Res4Row]]=0),0,N(Tasks[[#This Row],[_Days]])*HoursPerDay*IF(Tasks[[#This Row],[_Res4Units]]="",DefaultUnits,Tasks[[#This Row],[_Res4Units]]))</f>
        <v>0</v>
      </c>
      <c r="EK155" s="43" t="n">
        <f aca="false">IF(AND(AND(Tasks[[#This Row],[_IsLeaf]]=1,Tasks[[#This Row],[_LeafTotalWork]]&gt;0),Tasks[[#This Row],[_Res4Work]]&gt;0),Tasks[[#This Row],[_Res4Work]]/(Tasks[[#This Row],[_FinishWorkday]]-Tasks[[#This Row],[_StartWorkday]]+1),0)</f>
        <v>0</v>
      </c>
      <c r="EL155" s="43" t="n">
        <f aca="false">Tasks[[#This Row],[_Res4WorkPerWD]]*MAX(0,Tasks[[#This Row],[_StartWorkday]]-1)</f>
        <v>0</v>
      </c>
      <c r="EM155" s="43" t="n">
        <f aca="false">Tasks[[#This Row],[_Res4Work]]*Tasks[[#This Row],[_LeafProgress]]</f>
        <v>0</v>
      </c>
      <c r="EN155" s="43" t="n">
        <f aca="false">IF(ISNUMBER(Tasks[[#This Row],[% Complete]]),Tasks[[#This Row],[% Complete]],IF(Tasks[[#This Row],[Stage]]="",0,IFERROR(INDEX(stg_Pct,MATCH(Tasks[[#This Row],[Stage]],stg_Name,0)),0)))</f>
        <v>0</v>
      </c>
      <c r="EO155" s="43" t="n">
        <f aca="false">IF(NOT(Tasks[[#This Row],[_IsLeaf]]=1),0,IF(N(Tasks[[#This Row],[Actual Finish]])&gt;0,1,MIN(1,Tasks[[#This Row],[_Pct]])))</f>
        <v>0</v>
      </c>
      <c r="EP155" s="43" t="n">
        <f aca="false">IF(OR(NOT(Tasks[[#This Row],[_IsLeaf]]=1),Tasks[[#This Row],[_Res1Row]]=0),0,N(Tasks[[#This Row],[_Days]])*HoursPerDay*IF(Tasks[[#This Row],[_Units1]]="",DefaultUnits,Tasks[[#This Row],[_Units1]]))</f>
        <v>0</v>
      </c>
      <c r="EQ155" s="43" t="n">
        <f aca="false">Tasks[[#This Row],[_LeafWork]]+Tasks[[#This Row],[_Res2Work]]+Tasks[[#This Row],[_Res3Work]]+Tasks[[#This Row],[_Res4Work]]</f>
        <v>0</v>
      </c>
      <c r="ER1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3" t="n">
        <f aca="false">IF(NOT(Tasks[[#This Row],[_IsLeaf]]=1),0,MAX(_xlfn.MAXIFS(Tasks[_Row],Tasks[_Pred1UID],Tasks[[#This Row],[UID]]),_xlfn.MAXIFS(Tasks[_Row],Tasks[_Pred2UID],Tasks[[#This Row],[UID]]),_xlfn.MAXIFS(Tasks[_Row],Tasks[_Pred3UID],Tasks[[#This Row],[UID]]),_xlfn.MAXIFS(Tasks[_Row],Tasks[_Pred4UID],Tasks[[#This Row],[UID]])))</f>
        <v>0</v>
      </c>
      <c r="FA1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91" t="str">
        <f aca="false">IF(NOT(Tasks[[#This Row],[_IsLeaf]]=1),"",IF(N(Tasks[[#This Row],[_Days]])&lt;=0,Tasks[[#This Row],[_LeafLateFinish]],WORKDAY.INTL(Tasks[[#This Row],[_LeafLateFinish]],-(Tasks[[#This Row],[_Days]]-1),WorkWeek,Holidays)))</f>
        <v/>
      </c>
      <c r="FD1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5" s="90" t="b">
        <f aca="false">AND(Tasks[[#This Row],[_IsLeaf]]=1,Tasks[[#This Row],[_LeafProgress]]&lt;1,N(Tasks[[#This Row],[_LeafTotalSlack]])&lt;=CriticalSlackDays)</f>
        <v>0</v>
      </c>
      <c r="FF155" s="43" t="n">
        <f aca="false">IF(AND(Tasks[[#This Row],[_IsLeaf]]=1,Tasks[[#This Row],[_ConstraintCode]]=1,Tasks[[#This Row],[Mode]]&lt;&gt;"Manual",N(Tasks[[#This Row],[Actual Start]])=0),MAX(0,N(Tasks[[#This Row],[Free Slack]])),0)</f>
        <v>0</v>
      </c>
      <c r="FG155" s="91" t="str">
        <f aca="false">IF(NOT(Tasks[[#This Row],[_IsLeaf]]=1),"",IF(Tasks[[#This Row],[_AlapShift]]=0,Tasks[[#This Row],[_LeafCalcStart]],WORKDAY.INTL(Tasks[[#This Row],[_LeafCalcStart]],Tasks[[#This Row],[_AlapShift]],WorkWeek,Holidays)))</f>
        <v/>
      </c>
      <c r="FH155" s="91" t="str">
        <f aca="false">IF(NOT(Tasks[[#This Row],[_IsLeaf]]=1),"",IF(Tasks[[#This Row],[_AlapShift]]=0,Tasks[[#This Row],[_LeafCalcFinish]],WORKDAY.INTL(Tasks[[#This Row],[_LeafCalcFinish]],Tasks[[#This Row],[_AlapShift]],WorkWeek,Holidays)))</f>
        <v/>
      </c>
      <c r="FI155" s="91" t="str">
        <f aca="false">IF(NOT(Tasks[[#This Row],[_IsLeaf]]=1),"",IF(Tasks[[#This Row],[_AlapShift]]=0,Tasks[[#This Row],[_LeafFcstStart]],WORKDAY.INTL(Tasks[[#This Row],[_LeafFcstStart]],Tasks[[#This Row],[_AlapShift]],WorkWeek,Holidays)))</f>
        <v/>
      </c>
      <c r="FJ155" s="91" t="str">
        <f aca="false">IF(NOT(Tasks[[#This Row],[_IsLeaf]]=1),"",IF(Tasks[[#This Row],[_AlapShift]]=0,Tasks[[#This Row],[_LeafFcstFinish]],WORKDAY.INTL(Tasks[[#This Row],[_LeafFcstFinish]],Tasks[[#This Row],[_AlapShift]],WorkWeek,Holidays)))</f>
        <v/>
      </c>
      <c r="FK155" s="91" t="str">
        <f aca="false">IF(Tasks[[#This Row],[Task Name]]="","",IF(Tasks[[#This Row],[_IsSummary]],MIN(INDEX(Tasks[_ShownCalcStart],Tasks[[#This Row],[_Row]]+1):INDEX(Tasks[_ShownCalcStart],Tasks[[#This Row],[_Row]]+Tasks[[#This Row],[_Descendants]])),Tasks[[#This Row],[_ShownCalcStart]]))</f>
        <v/>
      </c>
      <c r="FL155" s="91" t="str">
        <f aca="false">IF(Tasks[[#This Row],[Task Name]]="","",IF(Tasks[[#This Row],[_IsSummary]],MAX(INDEX(Tasks[_ShownCalcFinish],Tasks[[#This Row],[_Row]]+1):INDEX(Tasks[_ShownCalcFinish],Tasks[[#This Row],[_Row]]+Tasks[[#This Row],[_Descendants]])),Tasks[[#This Row],[_ShownCalcFinish]]))</f>
        <v/>
      </c>
      <c r="FM1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5" s="43" t="n">
        <f aca="false">IF(AND(Tasks[[#This Row],[_IsLeaf]]=1,Tasks[[#This Row],[_LeafTotalWork]]&gt;0),NETWORKDAYS.INTL(ProjectStart,Tasks[[#This Row],[_ShownFcstStart]],WorkWeek,Holidays),0)</f>
        <v>0</v>
      </c>
      <c r="FZ155" s="43" t="n">
        <f aca="false">IF(AND(Tasks[[#This Row],[_IsLeaf]]=1,Tasks[[#This Row],[_LeafTotalWork]]&gt;0),MAX(Tasks[[#This Row],[_StartWorkday]],NETWORKDAYS.INTL(ProjectStart,Tasks[[#This Row],[_ShownFcstFinish]],WorkWeek,Holidays)),0)</f>
        <v>0</v>
      </c>
      <c r="GA155" s="43" t="n">
        <f aca="false">IF(AND(Tasks[[#This Row],[_IsLeaf]]=1,Tasks[[#This Row],[_LeafTotalWork]]&gt;0),Tasks[[#This Row],[_LeafWork]]/(Tasks[[#This Row],[_FinishWorkday]]-Tasks[[#This Row],[_StartWorkday]]+1),0)</f>
        <v>0</v>
      </c>
      <c r="GB155" s="43" t="n">
        <f aca="false">Tasks[[#This Row],[_WorkPerWorkday]]*(Tasks[[#This Row],[_StartWorkday]]-1)</f>
        <v>-0</v>
      </c>
      <c r="GC155" s="43" t="n">
        <f aca="false">IF(Tasks[[#This Row],[_IsLeaf]]=1,MAX(N(Tasks[[#This Row],[_Days]]),0.1),0)</f>
        <v>0</v>
      </c>
      <c r="GD155" s="43" t="n">
        <f aca="false">Tasks[[#This Row],[_WeightDur]]*Tasks[[#This Row],[_LeafProgress]]</f>
        <v>0</v>
      </c>
      <c r="GE155" s="43" t="n">
        <f aca="false">Tasks[[#This Row],[_WeightDur]]*Tasks[[#This Row],[_PlannedPct]]</f>
        <v>0</v>
      </c>
      <c r="GF1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3" t="str">
        <f aca="false">IF(AND(Tasks[[#This Row],[_IsLeaf]]=1,N(Tasks[[#This Row],[_Days]])=0,Tasks[[#This Row],[_LeafProgress]]&lt;1),Tasks[[#This Row],[_ShownFcstFinish]]+Tasks[[#This Row],[_Row]]/100000,"")</f>
        <v/>
      </c>
      <c r="GH1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5" s="43" t="str">
        <f aca="false">IF(Tasks[[#This Row],[Task Name]]="","",LEFT(Tasks[[#This Row],[WBS]],FIND(".",Tasks[[#This Row],[WBS]]&amp;".")-1))</f>
        <v/>
      </c>
      <c r="GJ155" s="43" t="str">
        <f aca="false">IF(AND(Tasks[[#This Row],[Task Name]]&lt;&gt;"",Tasks[[#This Row],[_Level]]=1),Tasks[[#This Row],[_Row]],"")</f>
        <v/>
      </c>
      <c r="GK155" s="43" t="str">
        <f aca="false">IF(AND(Tasks[[#This Row],[_IsLeaf]]=1,N(Tasks[[#This Row],[_Days]])=0),Tasks[[#This Row],[Planned Finish]]+Tasks[[#This Row],[_Row]]/100000,"")</f>
        <v/>
      </c>
      <c r="GL155" s="43" t="str">
        <f aca="false">IF(AND(Tasks[[#This Row],[_IsLeaf]]=1,Tasks[[#This Row],[_LeafProgress]]&lt;1,OR(N(Tasks[[#This Row],[Finish Var]])&gt;0,Tasks[[#This Row],[Status]]="Late Start")),MAX(0,Tasks[[#This Row],[Finish Var]])+1-Tasks[[#This Row],[_Row]]/1000000,"")</f>
        <v/>
      </c>
      <c r="GM155" s="43" t="str">
        <f aca="false">IF(AND(Tasks[[#This Row],[_IsLeaf]]=1,N(Tasks[[#This Row],[Actual Start]])=0,Tasks[[#This Row],[_ShownFcstStart]]&gt;=StatusDate,Tasks[[#This Row],[_ShownFcstStart]]&lt;=LookaheadEnd),Tasks[[#This Row],[_ShownFcstStart]]+Tasks[[#This Row],[_Row]]/100000,"")</f>
        <v/>
      </c>
      <c r="GN155" s="43" t="str">
        <f aca="false">IF(AND(Tasks[[#This Row],[_IsLeaf]]=1,Tasks[[#This Row],[_LeafProgress]]&lt;1,Tasks[[#This Row],[_ShownFcstFinish]]&gt;=StatusDate,Tasks[[#This Row],[_ShownFcstFinish]]&lt;=LookaheadEnd),Tasks[[#This Row],[_ShownFcstFinish]]+Tasks[[#This Row],[_Row]]/100000,"")</f>
        <v/>
      </c>
      <c r="GO155" s="43" t="str">
        <f aca="false">IF(Tasks[[#This Row],[_LeafCritical]],Tasks[[#This Row],[_ShownFcstStart]]+Tasks[[#This Row],[_Row]]/100000,"")</f>
        <v/>
      </c>
      <c r="GP155" s="43" t="n">
        <f aca="false">Tasks[[#This Row],[_LeafWork]]*Tasks[[#This Row],[_LeafProgress]]</f>
        <v>0</v>
      </c>
      <c r="GQ155" s="91" t="str">
        <f aca="false">IF(AND(Tasks[[#This Row],[_IsLeaf]]=1,Tasks[[#This Row],[_LeafProgress]]&gt;=1),IF(N(Tasks[[#This Row],[Actual Finish]])&gt;0,Tasks[[#This Row],[Actual Finish]],Tasks[[#This Row],[_ShownFcstFinish]]),"")</f>
        <v/>
      </c>
      <c r="GR155" s="43" t="n">
        <f aca="false">IF(Tasks[[#This Row],[_IsLeaf]]=1,N(Tasks[[#This Row],[Story Points]]),0)</f>
        <v>0</v>
      </c>
      <c r="GS155" s="43" t="str">
        <f aca="false">""</f>
        <v/>
      </c>
      <c r="GT155" s="90" t="b">
        <f aca="false">IF(Tasks[[#This Row],[Task Name]]="",FALSE(),AND(Tasks[[#This Row],[_IsLeaf]]=1,N(Tasks[[#This Row],[_Days]])=0))</f>
        <v>0</v>
      </c>
      <c r="GU155" s="91" t="n">
        <f aca="false">IF(Tasks[[#This Row],[Task Name]]="",0,IF(AND(Tasks[[#This Row],[_IsLeaf]]=1,NOT(Tasks[[#This Row],[_IsMilestone]]),N(Tasks[[#This Row],[Progress]])&gt;0),Tasks[[#This Row],[Start]],0))</f>
        <v>0</v>
      </c>
      <c r="GV155" s="91" t="n">
        <f aca="false">IF(Tasks[[#This Row],[_DoneFrom]]=0,0,IF(Tasks[[#This Row],[Progress]]&gt;=1,Tasks[[#This Row],[Finish]],MAX(Tasks[[#This Row],[_DoneFrom]],Tasks[[#This Row],[Start]]+ROUND((Tasks[[#This Row],[Finish]]-Tasks[[#This Row],[Start]]+1)*Tasks[[#This Row],[Progress]],0)-1)))</f>
        <v>0</v>
      </c>
      <c r="GW155" s="91" t="n">
        <f aca="false">IF(Tasks[[#This Row],[Task Name]]="",0,IF(OR(NOT(Tasks[[#This Row],[_IsLeaf]]=1),Tasks[[#This Row],[_IsMilestone]],N(Tasks[[#This Row],[Progress]])&gt;=1),0,IF(Tasks[[#This Row],[_DoneTo]]&gt;0,Tasks[[#This Row],[_DoneTo]]+1,Tasks[[#This Row],[Start]])))</f>
        <v>0</v>
      </c>
      <c r="GX155" s="91" t="n">
        <f aca="false">IF(Tasks[[#This Row],[_RemFrom]]=0,0,Tasks[[#This Row],[Finish]])</f>
        <v>0</v>
      </c>
      <c r="GY155" s="90" t="b">
        <f aca="false">IF(Tasks[[#This Row],[Task Name]]="",FALSE(),OR(NOT(BaselineSet),N(Tasks[[#This Row],[Baseline Start]])&gt;0))</f>
        <v>0</v>
      </c>
      <c r="GZ15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92" t="str">
        <f aca="false">IF(Tasks[[#This Row],[_IsLeaf]]=1,Tasks[[#This Row],[_Row]],"")</f>
        <v/>
      </c>
      <c r="HD155" s="92" t="str">
        <f aca="false">IFERROR(INDEX(Tasks[UID],SMALL(Tasks[_PickKey],Tasks[[#This Row],[_Row]]))&amp;" "&amp;INDEX(Tasks[Task Name],SMALL(Tasks[_PickKey],Tasks[[#This Row],[_Row]])),"")</f>
        <v/>
      </c>
      <c r="HE155" s="43" t="str">
        <f aca="false">IF(Tasks[[#This Row],[Task Name]]="","",IF(Tasks[[#This Row],[_IsSummary]],NETWORKDAYS.INTL(Tasks[[#This Row],[Start]],Tasks[[#This Row],[Finish]],WorkWeek,Holidays),N(Tasks[[#This Row],[_Days]])))</f>
        <v/>
      </c>
      <c r="HF155" s="43" t="n">
        <f aca="false">IF(Tasks[[#This Row],[Expected]]="",0,((Tasks[[#This Row],[Pessimistic]]-Tasks[[#This Row],[Optimistic]])/6)^2)</f>
        <v>0</v>
      </c>
      <c r="HG155" s="43" t="n">
        <f aca="false">IF(Tasks[[#This Row],[Expected]]="",0,Tasks[[#This Row],[Expected]]-N(Tasks[[#This Row],[_Days]]))</f>
        <v>0</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4"/>
      <c r="U156" s="23"/>
      <c r="V156" s="84"/>
      <c r="W156" s="23"/>
      <c r="X156" s="84"/>
      <c r="Y156" s="23"/>
      <c r="Z156" s="84"/>
      <c r="AA156" s="23"/>
      <c r="AB156" s="23"/>
      <c r="AC156" s="7"/>
      <c r="AD156" s="7"/>
      <c r="AE156" s="63" t="str">
        <f aca="false">IF(Tasks[[#This Row],[Task Name]]="","",IF(Tasks[[#This Row],[_IsSummary]],MIN(INDEX(Tasks[_ShownFcstStart],Tasks[[#This Row],[_Row]]+1):INDEX(Tasks[_ShownFcstStart],Tasks[[#This Row],[_Row]]+Tasks[[#This Row],[_Descendants]])),Tasks[[#This Row],[_ShownFcstStart]]))</f>
        <v/>
      </c>
      <c r="AF156" s="63"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6" s="7"/>
      <c r="AK156" s="22"/>
      <c r="AL156" s="23"/>
      <c r="AM156" s="7"/>
      <c r="AN156" s="47"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3" t="str">
        <f aca="false">IF(Tasks[[#This Row],[Task Name]]="","",IF(N(Tasks[[#This Row],[Baseline Start]])&gt;0,Tasks[[#This Row],[Baseline Start]],Tasks[[#This Row],[_CalcStart]]))</f>
        <v/>
      </c>
      <c r="AR156" s="63" t="str">
        <f aca="false">IF(Tasks[[#This Row],[Task Name]]="","",IF(N(Tasks[[#This Row],[Baseline Finish]])&gt;0,Tasks[[#This Row],[Baseline Finish]],Tasks[[#This Row],[_CalcFinish]]))</f>
        <v/>
      </c>
      <c r="AS156" s="47" t="str">
        <f aca="false">IF(Tasks[[#This Row],[Task Name]]="","",IF(Tasks[[#This Row],[Start]]&gt;=Tasks[[#This Row],[Planned Start]],NETWORKDAYS.INTL(Tasks[[#This Row],[Planned Start]],Tasks[[#This Row],[Start]],WorkWeek,Holidays)-1,1-NETWORKDAYS.INTL(Tasks[[#This Row],[Start]],Tasks[[#This Row],[Planned Start]],WorkWeek,Holidays)))</f>
        <v/>
      </c>
      <c r="AT156" s="63" t="str">
        <f aca="false">IF(Tasks[[#This Row],[Task Name]]="","",IF(Tasks[[#This Row],[_IsSummary]],MIN(INDEX(Tasks[_LeafLateStart],Tasks[[#This Row],[_Row]]+1):INDEX(Tasks[_LeafLateStart],Tasks[[#This Row],[_Row]]+Tasks[[#This Row],[_Descendants]])),Tasks[[#This Row],[_LeafLateStart]]))</f>
        <v/>
      </c>
      <c r="AU156" s="63" t="str">
        <f aca="false">IF(Tasks[[#This Row],[Task Name]]="","",IF(Tasks[[#This Row],[_IsSummary]],MAX(INDEX(Tasks[_LeafLateFinish],Tasks[[#This Row],[_Row]]+1):INDEX(Tasks[_LeafLateFinish],Tasks[[#This Row],[_Row]]+Tasks[[#This Row],[_Descendants]])),Tasks[[#This Row],[_LeafLateFinish]]))</f>
        <v/>
      </c>
      <c r="AV156" s="47"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5"/>
      <c r="BA1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6"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7"/>
      <c r="BJ156" s="22"/>
      <c r="BK156" s="47" t="str">
        <f aca="false">IF(OR(Tasks[[#This Row],[Task Name]]="",Tasks[[#This Row],[Baseline Duration]]=""),"",Tasks[[#This Row],[_SpanDays]]-N(Tasks[[#This Row],[Baseline Duration]]))</f>
        <v/>
      </c>
      <c r="BL156" s="86" t="str">
        <f aca="false">IF(OR(Tasks[[#This Row],[Task Name]]="",Tasks[[#This Row],[Baseline Work]]=""),"",Tasks[[#This Row],[Work]]-N(Tasks[[#This Row],[Baseline Work]]))</f>
        <v/>
      </c>
      <c r="BM156" s="63" t="str">
        <f aca="false">IF(Tasks[[#This Row],[Task Name]]="","",IF(OR(TakeBaseline="Yes",N(Tasks[[#This Row],[Baseline Start]])=0),Tasks[[#This Row],[Start]],Tasks[[#This Row],[Baseline Start]]))</f>
        <v/>
      </c>
      <c r="BN156" s="63" t="str">
        <f aca="false">IF(Tasks[[#This Row],[Task Name]]="","",IF(OR(TakeBaseline="Yes",N(Tasks[[#This Row],[Baseline Finish]])=0),Tasks[[#This Row],[Finish]],Tasks[[#This Row],[Baseline Finish]]))</f>
        <v/>
      </c>
      <c r="BO156" s="21" t="str">
        <f aca="false">IF(Tasks[[#This Row],[Task Name]]="","",IF(OR(TakeBaseline="Yes",N(Tasks[[#This Row],[Baseline Duration]])=0),Tasks[[#This Row],[_SpanDays]],Tasks[[#This Row],[Baseline Duration]]))</f>
        <v/>
      </c>
      <c r="BP156" s="86" t="str">
        <f aca="false">IF(Tasks[[#This Row],[Task Name]]="","",IF(OR(TakeBaseline="Yes",N(Tasks[[#This Row],[Baseline Work]])=0),Tasks[[#This Row],[Work]],Tasks[[#This Row],[Baseline Work]]))</f>
        <v/>
      </c>
      <c r="BQ156" s="7"/>
      <c r="BR156" s="7"/>
      <c r="BS156" s="22"/>
      <c r="BT156" s="88"/>
      <c r="BU156" s="23"/>
      <c r="BV156" s="23"/>
      <c r="BW156" s="23"/>
      <c r="BX156" s="89" t="str">
        <f aca="false">IF(AND(Tasks[[#This Row],[_IsLeaf]]=1,ISNUMBER(Tasks[[#This Row],[Optimistic]]),ISNUMBER(Tasks[[#This Row],[Pessimistic]])),ROUND((Tasks[[#This Row],[Optimistic]]+4*N(Tasks[[#This Row],[_Days]])+Tasks[[#This Row],[Pessimistic]])/6,1),"")</f>
        <v/>
      </c>
      <c r="BY156" s="87"/>
      <c r="BZ156" s="87"/>
      <c r="CA156" s="22"/>
      <c r="CB156" s="43" t="str">
        <f aca="false">IF(Tasks[[#This Row],[Task Name]]="","",MAX(1,N(Tasks[[#This Row],[Level]])))</f>
        <v/>
      </c>
      <c r="CC156" s="43" t="n">
        <f aca="false">ROW()-ROW(Tasks[[#Headers],[ID]])</f>
        <v>151</v>
      </c>
      <c r="CD156" s="43" t="n">
        <f aca="false">IF(OR(Tasks[[#This Row],[Task Name]]="",Tasks[[#This Row],[_Level]]&lt;=1),0,IFERROR(LOOKUP(2,1/(Tasks[[#Headers],[_Level]]:Tasks[[#This Row],[_Level]]=Tasks[[#This Row],[_Level]]-1),ROW(Tasks[[#Headers],[_Level]]:Tasks[[#This Row],[_Level]])),0))</f>
        <v>0</v>
      </c>
      <c r="CE156" s="43" t="n">
        <f aca="false">IFERROR(N(INDEX(Tasks[_Level],Tasks[[#This Row],[_Row]]+1)),0)</f>
        <v>0</v>
      </c>
      <c r="CF156" s="90" t="b">
        <f aca="false">AND(Tasks[[#This Row],[Task Name]]&lt;&gt;"",Tasks[[#This Row],[_NextLevel]]&gt;Tasks[[#This Row],[_Level]])</f>
        <v>0</v>
      </c>
      <c r="CG156" s="43" t="n">
        <f aca="false">IF(Tasks[[#This Row],[_IsSummary]],COUNTIF(Tasks[WBS],Tasks[[#This Row],[WBS]]&amp;".*"),0)</f>
        <v>0</v>
      </c>
      <c r="CH156" s="43" t="n">
        <f aca="false">IF(AND(Tasks[[#This Row],[Task Name]]&lt;&gt;"",NOT(Tasks[[#This Row],[_IsSummary]])),1,0)</f>
        <v>0</v>
      </c>
      <c r="CI156" s="43" t="n">
        <f aca="false">IF(N(Tasks[[#This Row],[_Pred1UID]])=0,0,IFERROR(MATCH(Tasks[[#This Row],[_Pred1UID]],Tasks[UID],0),-1))</f>
        <v>0</v>
      </c>
      <c r="CJ156" s="43" t="n">
        <f aca="false">IF(N(Tasks[[#This Row],[_Pred2UID]])=0,0,IFERROR(MATCH(Tasks[[#This Row],[_Pred2UID]],Tasks[UID],0),-1))</f>
        <v>0</v>
      </c>
      <c r="CK156" s="43" t="n">
        <f aca="false">IF(N(Tasks[[#This Row],[_Pred3UID]])=0,0,IFERROR(MATCH(Tasks[[#This Row],[_Pred3UID]],Tasks[UID],0),-1))</f>
        <v>0</v>
      </c>
      <c r="CL156" s="43" t="n">
        <f aca="false">IF(N(Tasks[[#This Row],[_Pred4UID]])=0,0,IFERROR(MATCH(Tasks[[#This Row],[_Pred4UID]],Tasks[UID],0),-1))</f>
        <v>0</v>
      </c>
      <c r="CM1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6" s="91" t="n">
        <f aca="false">IF(OR(Tasks[[#This Row],[_ConstraintCode]]=2,Tasks[[#This Row],[_ConstraintCode]]=3,Tasks[[#This Row],[_ConstraintCode]]=4,Tasks[[#This Row],[_ConstraintCode]]=6),Tasks[[#This Row],[_ConstraintStart]],0)</f>
        <v>0</v>
      </c>
      <c r="CP156" s="91" t="n">
        <f aca="false">IF(OR(Tasks[[#This Row],[_ConstraintCode]]=2,Tasks[[#This Row],[_ConstraintCode]]=3,Tasks[[#This Row],[_ConstraintCode]]=5,Tasks[[#This Row],[_ConstraintCode]]=7),Tasks[[#This Row],[_ConstraintStart]],2958465)</f>
        <v>2958465</v>
      </c>
      <c r="CQ1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91" t="str">
        <f aca="false">IF(NOT(Tasks[[#This Row],[_IsLeaf]]=1),"",IF(N(Tasks[[#This Row],[_Days]])&lt;=0,Tasks[[#This Row],[_LeafCalcStart]],WORKDAY.INTL(Tasks[[#This Row],[_LeafCalcStart]],Tasks[[#This Row],[_Days]]-1,WorkWeek,Holidays)))</f>
        <v/>
      </c>
      <c r="CS1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3" t="str">
        <f aca="false">IF(Tasks[[#This Row],[_Predecessors]]="","",TRIM(MID(SUBSTITUTE(SUBSTITUTE(SUBSTITUTE(UPPER(Tasks[[#This Row],[_Predecessors]]),";",",")," ",""),",",REPT(" ",99)),1,99)))</f>
        <v/>
      </c>
      <c r="CV156" s="43" t="str">
        <f aca="false">IF(Tasks[[#This Row],[_Pred1Text]]="","",IFERROR(VALUE(LEFT(Tasks[[#This Row],[_Pred1Text]],MIN(FIND("F",Tasks[[#This Row],[_Pred1Text]]&amp;"F"),FIND("S",Tasks[[#This Row],[_Pred1Text]]&amp;"S"),FIND("+",Tasks[[#This Row],[_Pred1Text]]&amp;"+"),FIND("-",Tasks[[#This Row],[_Pred1Text]]&amp;"-"))-1)),""))</f>
        <v/>
      </c>
      <c r="CW1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3" t="str">
        <f aca="false">IF(Tasks[[#This Row],[_Pred1Text]]="","",TRIM(MID(SUBSTITUTE(SUBSTITUTE(SUBSTITUTE(UPPER(Tasks[[#This Row],[_Predecessors]]),";",",")," ",""),",",REPT(" ",99)),100,99)))</f>
        <v/>
      </c>
      <c r="CZ156" s="43" t="str">
        <f aca="false">IF(Tasks[[#This Row],[_Pred2Text]]="","",IFERROR(VALUE(LEFT(Tasks[[#This Row],[_Pred2Text]],MIN(FIND("F",Tasks[[#This Row],[_Pred2Text]]&amp;"F"),FIND("S",Tasks[[#This Row],[_Pred2Text]]&amp;"S"),FIND("+",Tasks[[#This Row],[_Pred2Text]]&amp;"+"),FIND("-",Tasks[[#This Row],[_Pred2Text]]&amp;"-"))-1)),""))</f>
        <v/>
      </c>
      <c r="DA1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3" t="str">
        <f aca="false">IF(Tasks[[#This Row],[_Pred2Text]]="","",TRIM(MID(SUBSTITUTE(SUBSTITUTE(SUBSTITUTE(UPPER(Tasks[[#This Row],[_Predecessors]]),";",",")," ",""),",",REPT(" ",99)),199,99)))</f>
        <v/>
      </c>
      <c r="DD156" s="43" t="str">
        <f aca="false">IF(Tasks[[#This Row],[_Pred3Text]]="","",IFERROR(VALUE(LEFT(Tasks[[#This Row],[_Pred3Text]],MIN(FIND("F",Tasks[[#This Row],[_Pred3Text]]&amp;"F"),FIND("S",Tasks[[#This Row],[_Pred3Text]]&amp;"S"),FIND("+",Tasks[[#This Row],[_Pred3Text]]&amp;"+"),FIND("-",Tasks[[#This Row],[_Pred3Text]]&amp;"-"))-1)),""))</f>
        <v/>
      </c>
      <c r="DE1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3" t="str">
        <f aca="false">IF(Tasks[[#This Row],[_Pred3Text]]="","",TRIM(MID(SUBSTITUTE(SUBSTITUTE(SUBSTITUTE(UPPER(Tasks[[#This Row],[_Predecessors]]),";",",")," ",""),",",REPT(" ",99)),298,99)))</f>
        <v/>
      </c>
      <c r="DH156" s="43" t="str">
        <f aca="false">IF(Tasks[[#This Row],[_Pred4Text]]="","",IFERROR(VALUE(LEFT(Tasks[[#This Row],[_Pred4Text]],MIN(FIND("F",Tasks[[#This Row],[_Pred4Text]]&amp;"F"),FIND("S",Tasks[[#This Row],[_Pred4Text]]&amp;"S"),FIND("+",Tasks[[#This Row],[_Pred4Text]]&amp;"+"),FIND("-",Tasks[[#This Row],[_Pred4Text]]&amp;"-"))-1)),""))</f>
        <v/>
      </c>
      <c r="DI1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3" t="str">
        <f aca="false">IF(OR(Tasks[[#This Row],[Task Name]]="",Tasks[[#This Row],[_Resources]]=""),"",TRIM(MID(SUBSTITUTE(Tasks[[#This Row],[_Resources]],",",REPT(" ",99)),1,99)))</f>
        <v/>
      </c>
      <c r="DL156" s="43" t="str">
        <f aca="false">IF(Tasks[[#This Row],[_Res1Text]]="","",TRIM(MID(SUBSTITUTE(Tasks[[#This Row],[_Resources]],",",REPT(" ",99)),100,99)))</f>
        <v/>
      </c>
      <c r="DM156" s="43" t="str">
        <f aca="false">IF(Tasks[[#This Row],[_Res2Text]]="","",TRIM(MID(SUBSTITUTE(Tasks[[#This Row],[_Resources]],",",REPT(" ",99)),199,99)))</f>
        <v/>
      </c>
      <c r="DN156" s="43" t="str">
        <f aca="false">IF(Tasks[[#This Row],[_Res3Text]]="","",TRIM(MID(SUBSTITUTE(Tasks[[#This Row],[_Resources]],",",REPT(" ",99)),298,99)))</f>
        <v/>
      </c>
      <c r="DO156" s="43" t="n">
        <f aca="false">IF(Tasks[[#This Row],[_Res1Text]]="",0,IFERROR(MATCH(TRIM(LEFT(Tasks[[#This Row],[_Res1Text]],FIND("[",Tasks[[#This Row],[_Res1Text]]&amp;"[")-1)),res_Name,0),IFERROR(MATCH(TRIM(LEFT(Tasks[[#This Row],[_Res1Text]],FIND("[",Tasks[[#This Row],[_Res1Text]]&amp;"[")-1)),res_Initials,0),0)))</f>
        <v>0</v>
      </c>
      <c r="DP156" s="43" t="n">
        <f aca="false">IF(Tasks[[#This Row],[_Res2Text]]="",0,IFERROR(MATCH(TRIM(LEFT(Tasks[[#This Row],[_Res2Text]],FIND("[",Tasks[[#This Row],[_Res2Text]]&amp;"[")-1)),res_Name,0),IFERROR(MATCH(TRIM(LEFT(Tasks[[#This Row],[_Res2Text]],FIND("[",Tasks[[#This Row],[_Res2Text]]&amp;"[")-1)),res_Initials,0),0)))</f>
        <v>0</v>
      </c>
      <c r="DQ156" s="43" t="n">
        <f aca="false">IF(Tasks[[#This Row],[_Res3Text]]="",0,IFERROR(MATCH(TRIM(LEFT(Tasks[[#This Row],[_Res3Text]],FIND("[",Tasks[[#This Row],[_Res3Text]]&amp;"[")-1)),res_Name,0),IFERROR(MATCH(TRIM(LEFT(Tasks[[#This Row],[_Res3Text]],FIND("[",Tasks[[#This Row],[_Res3Text]]&amp;"[")-1)),res_Initials,0),0)))</f>
        <v>0</v>
      </c>
      <c r="DR156" s="43" t="n">
        <f aca="false">IF(Tasks[[#This Row],[_Res4Text]]="",0,IFERROR(MATCH(TRIM(LEFT(Tasks[[#This Row],[_Res4Text]],FIND("[",Tasks[[#This Row],[_Res4Text]]&amp;"[")-1)),res_Name,0),IFERROR(MATCH(TRIM(LEFT(Tasks[[#This Row],[_Res4Text]],FIND("[",Tasks[[#This Row],[_Res4Text]]&amp;"[")-1)),res_Initials,0),0)))</f>
        <v>0</v>
      </c>
      <c r="DS156" s="43" t="str">
        <f aca="false">IF(Tasks[[#This Row],[_Res1Text]]="","",IF(Tasks[[#This Row],[_Res1Row]]&gt;0,INDEX(res_Name,Tasks[[#This Row],[_Res1Row]]),TRIM(LEFT(Tasks[[#This Row],[_Res1Text]],FIND("[",Tasks[[#This Row],[_Res1Text]]&amp;"[")-1))))</f>
        <v/>
      </c>
      <c r="DT1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3" t="n">
        <f aca="false">IF(NOT(Tasks[[#This Row],[_IsLeaf]]=1),0,(Tasks[[#This Row],[_Resource1]]&lt;&gt;"")+(Tasks[[#This Row],[_Res2]]&lt;&gt;"")+(Tasks[[#This Row],[_Res3]]&lt;&gt;"")+(Tasks[[#This Row],[_Res4]]&lt;&gt;""))</f>
        <v>0</v>
      </c>
      <c r="DV156" s="43" t="str">
        <f aca="false">IF(Tasks[[#This Row],[_Res2Text]]="","",IF(Tasks[[#This Row],[_Res2Row]]&gt;0,INDEX(res_Name,Tasks[[#This Row],[_Res2Row]]),TRIM(LEFT(Tasks[[#This Row],[_Res2Text]],FIND("[",Tasks[[#This Row],[_Res2Text]]&amp;"[")-1))))</f>
        <v/>
      </c>
      <c r="DW1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3" t="n">
        <f aca="false">IF(OR(NOT(Tasks[[#This Row],[_IsLeaf]]=1),Tasks[[#This Row],[_Res2Row]]=0),0,N(Tasks[[#This Row],[_Days]])*HoursPerDay*IF(Tasks[[#This Row],[_Res2Units]]="",DefaultUnits,Tasks[[#This Row],[_Res2Units]]))</f>
        <v>0</v>
      </c>
      <c r="DY156" s="43" t="n">
        <f aca="false">IF(AND(AND(Tasks[[#This Row],[_IsLeaf]]=1,Tasks[[#This Row],[_LeafTotalWork]]&gt;0),Tasks[[#This Row],[_Res2Work]]&gt;0),Tasks[[#This Row],[_Res2Work]]/(Tasks[[#This Row],[_FinishWorkday]]-Tasks[[#This Row],[_StartWorkday]]+1),0)</f>
        <v>0</v>
      </c>
      <c r="DZ156" s="43" t="n">
        <f aca="false">Tasks[[#This Row],[_Res2WorkPerWD]]*MAX(0,Tasks[[#This Row],[_StartWorkday]]-1)</f>
        <v>0</v>
      </c>
      <c r="EA156" s="43" t="n">
        <f aca="false">Tasks[[#This Row],[_Res2Work]]*Tasks[[#This Row],[_LeafProgress]]</f>
        <v>0</v>
      </c>
      <c r="EB156" s="43" t="str">
        <f aca="false">IF(Tasks[[#This Row],[_Res3Text]]="","",IF(Tasks[[#This Row],[_Res3Row]]&gt;0,INDEX(res_Name,Tasks[[#This Row],[_Res3Row]]),TRIM(LEFT(Tasks[[#This Row],[_Res3Text]],FIND("[",Tasks[[#This Row],[_Res3Text]]&amp;"[")-1))))</f>
        <v/>
      </c>
      <c r="EC1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3" t="n">
        <f aca="false">IF(OR(NOT(Tasks[[#This Row],[_IsLeaf]]=1),Tasks[[#This Row],[_Res3Row]]=0),0,N(Tasks[[#This Row],[_Days]])*HoursPerDay*IF(Tasks[[#This Row],[_Res3Units]]="",DefaultUnits,Tasks[[#This Row],[_Res3Units]]))</f>
        <v>0</v>
      </c>
      <c r="EE156" s="43" t="n">
        <f aca="false">IF(AND(AND(Tasks[[#This Row],[_IsLeaf]]=1,Tasks[[#This Row],[_LeafTotalWork]]&gt;0),Tasks[[#This Row],[_Res3Work]]&gt;0),Tasks[[#This Row],[_Res3Work]]/(Tasks[[#This Row],[_FinishWorkday]]-Tasks[[#This Row],[_StartWorkday]]+1),0)</f>
        <v>0</v>
      </c>
      <c r="EF156" s="43" t="n">
        <f aca="false">Tasks[[#This Row],[_Res3WorkPerWD]]*MAX(0,Tasks[[#This Row],[_StartWorkday]]-1)</f>
        <v>0</v>
      </c>
      <c r="EG156" s="43" t="n">
        <f aca="false">Tasks[[#This Row],[_Res3Work]]*Tasks[[#This Row],[_LeafProgress]]</f>
        <v>0</v>
      </c>
      <c r="EH156" s="43" t="str">
        <f aca="false">IF(Tasks[[#This Row],[_Res4Text]]="","",IF(Tasks[[#This Row],[_Res4Row]]&gt;0,INDEX(res_Name,Tasks[[#This Row],[_Res4Row]]),TRIM(LEFT(Tasks[[#This Row],[_Res4Text]],FIND("[",Tasks[[#This Row],[_Res4Text]]&amp;"[")-1))))</f>
        <v/>
      </c>
      <c r="EI1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3" t="n">
        <f aca="false">IF(OR(NOT(Tasks[[#This Row],[_IsLeaf]]=1),Tasks[[#This Row],[_Res4Row]]=0),0,N(Tasks[[#This Row],[_Days]])*HoursPerDay*IF(Tasks[[#This Row],[_Res4Units]]="",DefaultUnits,Tasks[[#This Row],[_Res4Units]]))</f>
        <v>0</v>
      </c>
      <c r="EK156" s="43" t="n">
        <f aca="false">IF(AND(AND(Tasks[[#This Row],[_IsLeaf]]=1,Tasks[[#This Row],[_LeafTotalWork]]&gt;0),Tasks[[#This Row],[_Res4Work]]&gt;0),Tasks[[#This Row],[_Res4Work]]/(Tasks[[#This Row],[_FinishWorkday]]-Tasks[[#This Row],[_StartWorkday]]+1),0)</f>
        <v>0</v>
      </c>
      <c r="EL156" s="43" t="n">
        <f aca="false">Tasks[[#This Row],[_Res4WorkPerWD]]*MAX(0,Tasks[[#This Row],[_StartWorkday]]-1)</f>
        <v>0</v>
      </c>
      <c r="EM156" s="43" t="n">
        <f aca="false">Tasks[[#This Row],[_Res4Work]]*Tasks[[#This Row],[_LeafProgress]]</f>
        <v>0</v>
      </c>
      <c r="EN156" s="43" t="n">
        <f aca="false">IF(ISNUMBER(Tasks[[#This Row],[% Complete]]),Tasks[[#This Row],[% Complete]],IF(Tasks[[#This Row],[Stage]]="",0,IFERROR(INDEX(stg_Pct,MATCH(Tasks[[#This Row],[Stage]],stg_Name,0)),0)))</f>
        <v>0</v>
      </c>
      <c r="EO156" s="43" t="n">
        <f aca="false">IF(NOT(Tasks[[#This Row],[_IsLeaf]]=1),0,IF(N(Tasks[[#This Row],[Actual Finish]])&gt;0,1,MIN(1,Tasks[[#This Row],[_Pct]])))</f>
        <v>0</v>
      </c>
      <c r="EP156" s="43" t="n">
        <f aca="false">IF(OR(NOT(Tasks[[#This Row],[_IsLeaf]]=1),Tasks[[#This Row],[_Res1Row]]=0),0,N(Tasks[[#This Row],[_Days]])*HoursPerDay*IF(Tasks[[#This Row],[_Units1]]="",DefaultUnits,Tasks[[#This Row],[_Units1]]))</f>
        <v>0</v>
      </c>
      <c r="EQ156" s="43" t="n">
        <f aca="false">Tasks[[#This Row],[_LeafWork]]+Tasks[[#This Row],[_Res2Work]]+Tasks[[#This Row],[_Res3Work]]+Tasks[[#This Row],[_Res4Work]]</f>
        <v>0</v>
      </c>
      <c r="ER1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3" t="n">
        <f aca="false">IF(NOT(Tasks[[#This Row],[_IsLeaf]]=1),0,MAX(_xlfn.MAXIFS(Tasks[_Row],Tasks[_Pred1UID],Tasks[[#This Row],[UID]]),_xlfn.MAXIFS(Tasks[_Row],Tasks[_Pred2UID],Tasks[[#This Row],[UID]]),_xlfn.MAXIFS(Tasks[_Row],Tasks[_Pred3UID],Tasks[[#This Row],[UID]]),_xlfn.MAXIFS(Tasks[_Row],Tasks[_Pred4UID],Tasks[[#This Row],[UID]])))</f>
        <v>0</v>
      </c>
      <c r="FA1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91" t="str">
        <f aca="false">IF(NOT(Tasks[[#This Row],[_IsLeaf]]=1),"",IF(N(Tasks[[#This Row],[_Days]])&lt;=0,Tasks[[#This Row],[_LeafLateFinish]],WORKDAY.INTL(Tasks[[#This Row],[_LeafLateFinish]],-(Tasks[[#This Row],[_Days]]-1),WorkWeek,Holidays)))</f>
        <v/>
      </c>
      <c r="FD1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6" s="90" t="b">
        <f aca="false">AND(Tasks[[#This Row],[_IsLeaf]]=1,Tasks[[#This Row],[_LeafProgress]]&lt;1,N(Tasks[[#This Row],[_LeafTotalSlack]])&lt;=CriticalSlackDays)</f>
        <v>0</v>
      </c>
      <c r="FF156" s="43" t="n">
        <f aca="false">IF(AND(Tasks[[#This Row],[_IsLeaf]]=1,Tasks[[#This Row],[_ConstraintCode]]=1,Tasks[[#This Row],[Mode]]&lt;&gt;"Manual",N(Tasks[[#This Row],[Actual Start]])=0),MAX(0,N(Tasks[[#This Row],[Free Slack]])),0)</f>
        <v>0</v>
      </c>
      <c r="FG156" s="91" t="str">
        <f aca="false">IF(NOT(Tasks[[#This Row],[_IsLeaf]]=1),"",IF(Tasks[[#This Row],[_AlapShift]]=0,Tasks[[#This Row],[_LeafCalcStart]],WORKDAY.INTL(Tasks[[#This Row],[_LeafCalcStart]],Tasks[[#This Row],[_AlapShift]],WorkWeek,Holidays)))</f>
        <v/>
      </c>
      <c r="FH156" s="91" t="str">
        <f aca="false">IF(NOT(Tasks[[#This Row],[_IsLeaf]]=1),"",IF(Tasks[[#This Row],[_AlapShift]]=0,Tasks[[#This Row],[_LeafCalcFinish]],WORKDAY.INTL(Tasks[[#This Row],[_LeafCalcFinish]],Tasks[[#This Row],[_AlapShift]],WorkWeek,Holidays)))</f>
        <v/>
      </c>
      <c r="FI156" s="91" t="str">
        <f aca="false">IF(NOT(Tasks[[#This Row],[_IsLeaf]]=1),"",IF(Tasks[[#This Row],[_AlapShift]]=0,Tasks[[#This Row],[_LeafFcstStart]],WORKDAY.INTL(Tasks[[#This Row],[_LeafFcstStart]],Tasks[[#This Row],[_AlapShift]],WorkWeek,Holidays)))</f>
        <v/>
      </c>
      <c r="FJ156" s="91" t="str">
        <f aca="false">IF(NOT(Tasks[[#This Row],[_IsLeaf]]=1),"",IF(Tasks[[#This Row],[_AlapShift]]=0,Tasks[[#This Row],[_LeafFcstFinish]],WORKDAY.INTL(Tasks[[#This Row],[_LeafFcstFinish]],Tasks[[#This Row],[_AlapShift]],WorkWeek,Holidays)))</f>
        <v/>
      </c>
      <c r="FK156" s="91" t="str">
        <f aca="false">IF(Tasks[[#This Row],[Task Name]]="","",IF(Tasks[[#This Row],[_IsSummary]],MIN(INDEX(Tasks[_ShownCalcStart],Tasks[[#This Row],[_Row]]+1):INDEX(Tasks[_ShownCalcStart],Tasks[[#This Row],[_Row]]+Tasks[[#This Row],[_Descendants]])),Tasks[[#This Row],[_ShownCalcStart]]))</f>
        <v/>
      </c>
      <c r="FL156" s="91" t="str">
        <f aca="false">IF(Tasks[[#This Row],[Task Name]]="","",IF(Tasks[[#This Row],[_IsSummary]],MAX(INDEX(Tasks[_ShownCalcFinish],Tasks[[#This Row],[_Row]]+1):INDEX(Tasks[_ShownCalcFinish],Tasks[[#This Row],[_Row]]+Tasks[[#This Row],[_Descendants]])),Tasks[[#This Row],[_ShownCalcFinish]]))</f>
        <v/>
      </c>
      <c r="FM1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6" s="43" t="n">
        <f aca="false">IF(AND(Tasks[[#This Row],[_IsLeaf]]=1,Tasks[[#This Row],[_LeafTotalWork]]&gt;0),NETWORKDAYS.INTL(ProjectStart,Tasks[[#This Row],[_ShownFcstStart]],WorkWeek,Holidays),0)</f>
        <v>0</v>
      </c>
      <c r="FZ156" s="43" t="n">
        <f aca="false">IF(AND(Tasks[[#This Row],[_IsLeaf]]=1,Tasks[[#This Row],[_LeafTotalWork]]&gt;0),MAX(Tasks[[#This Row],[_StartWorkday]],NETWORKDAYS.INTL(ProjectStart,Tasks[[#This Row],[_ShownFcstFinish]],WorkWeek,Holidays)),0)</f>
        <v>0</v>
      </c>
      <c r="GA156" s="43" t="n">
        <f aca="false">IF(AND(Tasks[[#This Row],[_IsLeaf]]=1,Tasks[[#This Row],[_LeafTotalWork]]&gt;0),Tasks[[#This Row],[_LeafWork]]/(Tasks[[#This Row],[_FinishWorkday]]-Tasks[[#This Row],[_StartWorkday]]+1),0)</f>
        <v>0</v>
      </c>
      <c r="GB156" s="43" t="n">
        <f aca="false">Tasks[[#This Row],[_WorkPerWorkday]]*(Tasks[[#This Row],[_StartWorkday]]-1)</f>
        <v>-0</v>
      </c>
      <c r="GC156" s="43" t="n">
        <f aca="false">IF(Tasks[[#This Row],[_IsLeaf]]=1,MAX(N(Tasks[[#This Row],[_Days]]),0.1),0)</f>
        <v>0</v>
      </c>
      <c r="GD156" s="43" t="n">
        <f aca="false">Tasks[[#This Row],[_WeightDur]]*Tasks[[#This Row],[_LeafProgress]]</f>
        <v>0</v>
      </c>
      <c r="GE156" s="43" t="n">
        <f aca="false">Tasks[[#This Row],[_WeightDur]]*Tasks[[#This Row],[_PlannedPct]]</f>
        <v>0</v>
      </c>
      <c r="GF1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3" t="str">
        <f aca="false">IF(AND(Tasks[[#This Row],[_IsLeaf]]=1,N(Tasks[[#This Row],[_Days]])=0,Tasks[[#This Row],[_LeafProgress]]&lt;1),Tasks[[#This Row],[_ShownFcstFinish]]+Tasks[[#This Row],[_Row]]/100000,"")</f>
        <v/>
      </c>
      <c r="GH1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6" s="43" t="str">
        <f aca="false">IF(Tasks[[#This Row],[Task Name]]="","",LEFT(Tasks[[#This Row],[WBS]],FIND(".",Tasks[[#This Row],[WBS]]&amp;".")-1))</f>
        <v/>
      </c>
      <c r="GJ156" s="43" t="str">
        <f aca="false">IF(AND(Tasks[[#This Row],[Task Name]]&lt;&gt;"",Tasks[[#This Row],[_Level]]=1),Tasks[[#This Row],[_Row]],"")</f>
        <v/>
      </c>
      <c r="GK156" s="43" t="str">
        <f aca="false">IF(AND(Tasks[[#This Row],[_IsLeaf]]=1,N(Tasks[[#This Row],[_Days]])=0),Tasks[[#This Row],[Planned Finish]]+Tasks[[#This Row],[_Row]]/100000,"")</f>
        <v/>
      </c>
      <c r="GL156" s="43" t="str">
        <f aca="false">IF(AND(Tasks[[#This Row],[_IsLeaf]]=1,Tasks[[#This Row],[_LeafProgress]]&lt;1,OR(N(Tasks[[#This Row],[Finish Var]])&gt;0,Tasks[[#This Row],[Status]]="Late Start")),MAX(0,Tasks[[#This Row],[Finish Var]])+1-Tasks[[#This Row],[_Row]]/1000000,"")</f>
        <v/>
      </c>
      <c r="GM156" s="43" t="str">
        <f aca="false">IF(AND(Tasks[[#This Row],[_IsLeaf]]=1,N(Tasks[[#This Row],[Actual Start]])=0,Tasks[[#This Row],[_ShownFcstStart]]&gt;=StatusDate,Tasks[[#This Row],[_ShownFcstStart]]&lt;=LookaheadEnd),Tasks[[#This Row],[_ShownFcstStart]]+Tasks[[#This Row],[_Row]]/100000,"")</f>
        <v/>
      </c>
      <c r="GN156" s="43" t="str">
        <f aca="false">IF(AND(Tasks[[#This Row],[_IsLeaf]]=1,Tasks[[#This Row],[_LeafProgress]]&lt;1,Tasks[[#This Row],[_ShownFcstFinish]]&gt;=StatusDate,Tasks[[#This Row],[_ShownFcstFinish]]&lt;=LookaheadEnd),Tasks[[#This Row],[_ShownFcstFinish]]+Tasks[[#This Row],[_Row]]/100000,"")</f>
        <v/>
      </c>
      <c r="GO156" s="43" t="str">
        <f aca="false">IF(Tasks[[#This Row],[_LeafCritical]],Tasks[[#This Row],[_ShownFcstStart]]+Tasks[[#This Row],[_Row]]/100000,"")</f>
        <v/>
      </c>
      <c r="GP156" s="43" t="n">
        <f aca="false">Tasks[[#This Row],[_LeafWork]]*Tasks[[#This Row],[_LeafProgress]]</f>
        <v>0</v>
      </c>
      <c r="GQ156" s="91" t="str">
        <f aca="false">IF(AND(Tasks[[#This Row],[_IsLeaf]]=1,Tasks[[#This Row],[_LeafProgress]]&gt;=1),IF(N(Tasks[[#This Row],[Actual Finish]])&gt;0,Tasks[[#This Row],[Actual Finish]],Tasks[[#This Row],[_ShownFcstFinish]]),"")</f>
        <v/>
      </c>
      <c r="GR156" s="43" t="n">
        <f aca="false">IF(Tasks[[#This Row],[_IsLeaf]]=1,N(Tasks[[#This Row],[Story Points]]),0)</f>
        <v>0</v>
      </c>
      <c r="GS156" s="43" t="str">
        <f aca="false">""</f>
        <v/>
      </c>
      <c r="GT156" s="90" t="b">
        <f aca="false">IF(Tasks[[#This Row],[Task Name]]="",FALSE(),AND(Tasks[[#This Row],[_IsLeaf]]=1,N(Tasks[[#This Row],[_Days]])=0))</f>
        <v>0</v>
      </c>
      <c r="GU156" s="91" t="n">
        <f aca="false">IF(Tasks[[#This Row],[Task Name]]="",0,IF(AND(Tasks[[#This Row],[_IsLeaf]]=1,NOT(Tasks[[#This Row],[_IsMilestone]]),N(Tasks[[#This Row],[Progress]])&gt;0),Tasks[[#This Row],[Start]],0))</f>
        <v>0</v>
      </c>
      <c r="GV156" s="91" t="n">
        <f aca="false">IF(Tasks[[#This Row],[_DoneFrom]]=0,0,IF(Tasks[[#This Row],[Progress]]&gt;=1,Tasks[[#This Row],[Finish]],MAX(Tasks[[#This Row],[_DoneFrom]],Tasks[[#This Row],[Start]]+ROUND((Tasks[[#This Row],[Finish]]-Tasks[[#This Row],[Start]]+1)*Tasks[[#This Row],[Progress]],0)-1)))</f>
        <v>0</v>
      </c>
      <c r="GW156" s="91" t="n">
        <f aca="false">IF(Tasks[[#This Row],[Task Name]]="",0,IF(OR(NOT(Tasks[[#This Row],[_IsLeaf]]=1),Tasks[[#This Row],[_IsMilestone]],N(Tasks[[#This Row],[Progress]])&gt;=1),0,IF(Tasks[[#This Row],[_DoneTo]]&gt;0,Tasks[[#This Row],[_DoneTo]]+1,Tasks[[#This Row],[Start]])))</f>
        <v>0</v>
      </c>
      <c r="GX156" s="91" t="n">
        <f aca="false">IF(Tasks[[#This Row],[_RemFrom]]=0,0,Tasks[[#This Row],[Finish]])</f>
        <v>0</v>
      </c>
      <c r="GY156" s="90" t="b">
        <f aca="false">IF(Tasks[[#This Row],[Task Name]]="",FALSE(),OR(NOT(BaselineSet),N(Tasks[[#This Row],[Baseline Start]])&gt;0))</f>
        <v>0</v>
      </c>
      <c r="GZ15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92" t="str">
        <f aca="false">IF(Tasks[[#This Row],[_IsLeaf]]=1,Tasks[[#This Row],[_Row]],"")</f>
        <v/>
      </c>
      <c r="HD156" s="92" t="str">
        <f aca="false">IFERROR(INDEX(Tasks[UID],SMALL(Tasks[_PickKey],Tasks[[#This Row],[_Row]]))&amp;" "&amp;INDEX(Tasks[Task Name],SMALL(Tasks[_PickKey],Tasks[[#This Row],[_Row]])),"")</f>
        <v/>
      </c>
      <c r="HE156" s="43" t="str">
        <f aca="false">IF(Tasks[[#This Row],[Task Name]]="","",IF(Tasks[[#This Row],[_IsSummary]],NETWORKDAYS.INTL(Tasks[[#This Row],[Start]],Tasks[[#This Row],[Finish]],WorkWeek,Holidays),N(Tasks[[#This Row],[_Days]])))</f>
        <v/>
      </c>
      <c r="HF156" s="43" t="n">
        <f aca="false">IF(Tasks[[#This Row],[Expected]]="",0,((Tasks[[#This Row],[Pessimistic]]-Tasks[[#This Row],[Optimistic]])/6)^2)</f>
        <v>0</v>
      </c>
      <c r="HG156" s="43" t="n">
        <f aca="false">IF(Tasks[[#This Row],[Expected]]="",0,Tasks[[#This Row],[Expected]]-N(Tasks[[#This Row],[_Days]]))</f>
        <v>0</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4"/>
      <c r="U157" s="23"/>
      <c r="V157" s="84"/>
      <c r="W157" s="23"/>
      <c r="X157" s="84"/>
      <c r="Y157" s="23"/>
      <c r="Z157" s="84"/>
      <c r="AA157" s="23"/>
      <c r="AB157" s="23"/>
      <c r="AC157" s="7"/>
      <c r="AD157" s="7"/>
      <c r="AE157" s="63" t="str">
        <f aca="false">IF(Tasks[[#This Row],[Task Name]]="","",IF(Tasks[[#This Row],[_IsSummary]],MIN(INDEX(Tasks[_ShownFcstStart],Tasks[[#This Row],[_Row]]+1):INDEX(Tasks[_ShownFcstStart],Tasks[[#This Row],[_Row]]+Tasks[[#This Row],[_Descendants]])),Tasks[[#This Row],[_ShownFcstStart]]))</f>
        <v/>
      </c>
      <c r="AF157" s="63"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7" s="7"/>
      <c r="AK157" s="22"/>
      <c r="AL157" s="23"/>
      <c r="AM157" s="7"/>
      <c r="AN157" s="47"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3" t="str">
        <f aca="false">IF(Tasks[[#This Row],[Task Name]]="","",IF(N(Tasks[[#This Row],[Baseline Start]])&gt;0,Tasks[[#This Row],[Baseline Start]],Tasks[[#This Row],[_CalcStart]]))</f>
        <v/>
      </c>
      <c r="AR157" s="63" t="str">
        <f aca="false">IF(Tasks[[#This Row],[Task Name]]="","",IF(N(Tasks[[#This Row],[Baseline Finish]])&gt;0,Tasks[[#This Row],[Baseline Finish]],Tasks[[#This Row],[_CalcFinish]]))</f>
        <v/>
      </c>
      <c r="AS157" s="47" t="str">
        <f aca="false">IF(Tasks[[#This Row],[Task Name]]="","",IF(Tasks[[#This Row],[Start]]&gt;=Tasks[[#This Row],[Planned Start]],NETWORKDAYS.INTL(Tasks[[#This Row],[Planned Start]],Tasks[[#This Row],[Start]],WorkWeek,Holidays)-1,1-NETWORKDAYS.INTL(Tasks[[#This Row],[Start]],Tasks[[#This Row],[Planned Start]],WorkWeek,Holidays)))</f>
        <v/>
      </c>
      <c r="AT157" s="63" t="str">
        <f aca="false">IF(Tasks[[#This Row],[Task Name]]="","",IF(Tasks[[#This Row],[_IsSummary]],MIN(INDEX(Tasks[_LeafLateStart],Tasks[[#This Row],[_Row]]+1):INDEX(Tasks[_LeafLateStart],Tasks[[#This Row],[_Row]]+Tasks[[#This Row],[_Descendants]])),Tasks[[#This Row],[_LeafLateStart]]))</f>
        <v/>
      </c>
      <c r="AU157" s="63" t="str">
        <f aca="false">IF(Tasks[[#This Row],[Task Name]]="","",IF(Tasks[[#This Row],[_IsSummary]],MAX(INDEX(Tasks[_LeafLateFinish],Tasks[[#This Row],[_Row]]+1):INDEX(Tasks[_LeafLateFinish],Tasks[[#This Row],[_Row]]+Tasks[[#This Row],[_Descendants]])),Tasks[[#This Row],[_LeafLateFinish]]))</f>
        <v/>
      </c>
      <c r="AV157" s="47"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5"/>
      <c r="BA1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6"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7"/>
      <c r="BJ157" s="22"/>
      <c r="BK157" s="47" t="str">
        <f aca="false">IF(OR(Tasks[[#This Row],[Task Name]]="",Tasks[[#This Row],[Baseline Duration]]=""),"",Tasks[[#This Row],[_SpanDays]]-N(Tasks[[#This Row],[Baseline Duration]]))</f>
        <v/>
      </c>
      <c r="BL157" s="86" t="str">
        <f aca="false">IF(OR(Tasks[[#This Row],[Task Name]]="",Tasks[[#This Row],[Baseline Work]]=""),"",Tasks[[#This Row],[Work]]-N(Tasks[[#This Row],[Baseline Work]]))</f>
        <v/>
      </c>
      <c r="BM157" s="63" t="str">
        <f aca="false">IF(Tasks[[#This Row],[Task Name]]="","",IF(OR(TakeBaseline="Yes",N(Tasks[[#This Row],[Baseline Start]])=0),Tasks[[#This Row],[Start]],Tasks[[#This Row],[Baseline Start]]))</f>
        <v/>
      </c>
      <c r="BN157" s="63" t="str">
        <f aca="false">IF(Tasks[[#This Row],[Task Name]]="","",IF(OR(TakeBaseline="Yes",N(Tasks[[#This Row],[Baseline Finish]])=0),Tasks[[#This Row],[Finish]],Tasks[[#This Row],[Baseline Finish]]))</f>
        <v/>
      </c>
      <c r="BO157" s="21" t="str">
        <f aca="false">IF(Tasks[[#This Row],[Task Name]]="","",IF(OR(TakeBaseline="Yes",N(Tasks[[#This Row],[Baseline Duration]])=0),Tasks[[#This Row],[_SpanDays]],Tasks[[#This Row],[Baseline Duration]]))</f>
        <v/>
      </c>
      <c r="BP157" s="86" t="str">
        <f aca="false">IF(Tasks[[#This Row],[Task Name]]="","",IF(OR(TakeBaseline="Yes",N(Tasks[[#This Row],[Baseline Work]])=0),Tasks[[#This Row],[Work]],Tasks[[#This Row],[Baseline Work]]))</f>
        <v/>
      </c>
      <c r="BQ157" s="7"/>
      <c r="BR157" s="7"/>
      <c r="BS157" s="22"/>
      <c r="BT157" s="88"/>
      <c r="BU157" s="23"/>
      <c r="BV157" s="23"/>
      <c r="BW157" s="23"/>
      <c r="BX157" s="89" t="str">
        <f aca="false">IF(AND(Tasks[[#This Row],[_IsLeaf]]=1,ISNUMBER(Tasks[[#This Row],[Optimistic]]),ISNUMBER(Tasks[[#This Row],[Pessimistic]])),ROUND((Tasks[[#This Row],[Optimistic]]+4*N(Tasks[[#This Row],[_Days]])+Tasks[[#This Row],[Pessimistic]])/6,1),"")</f>
        <v/>
      </c>
      <c r="BY157" s="87"/>
      <c r="BZ157" s="87"/>
      <c r="CA157" s="22"/>
      <c r="CB157" s="43" t="str">
        <f aca="false">IF(Tasks[[#This Row],[Task Name]]="","",MAX(1,N(Tasks[[#This Row],[Level]])))</f>
        <v/>
      </c>
      <c r="CC157" s="43" t="n">
        <f aca="false">ROW()-ROW(Tasks[[#Headers],[ID]])</f>
        <v>152</v>
      </c>
      <c r="CD157" s="43" t="n">
        <f aca="false">IF(OR(Tasks[[#This Row],[Task Name]]="",Tasks[[#This Row],[_Level]]&lt;=1),0,IFERROR(LOOKUP(2,1/(Tasks[[#Headers],[_Level]]:Tasks[[#This Row],[_Level]]=Tasks[[#This Row],[_Level]]-1),ROW(Tasks[[#Headers],[_Level]]:Tasks[[#This Row],[_Level]])),0))</f>
        <v>0</v>
      </c>
      <c r="CE157" s="43" t="n">
        <f aca="false">IFERROR(N(INDEX(Tasks[_Level],Tasks[[#This Row],[_Row]]+1)),0)</f>
        <v>0</v>
      </c>
      <c r="CF157" s="90" t="b">
        <f aca="false">AND(Tasks[[#This Row],[Task Name]]&lt;&gt;"",Tasks[[#This Row],[_NextLevel]]&gt;Tasks[[#This Row],[_Level]])</f>
        <v>0</v>
      </c>
      <c r="CG157" s="43" t="n">
        <f aca="false">IF(Tasks[[#This Row],[_IsSummary]],COUNTIF(Tasks[WBS],Tasks[[#This Row],[WBS]]&amp;".*"),0)</f>
        <v>0</v>
      </c>
      <c r="CH157" s="43" t="n">
        <f aca="false">IF(AND(Tasks[[#This Row],[Task Name]]&lt;&gt;"",NOT(Tasks[[#This Row],[_IsSummary]])),1,0)</f>
        <v>0</v>
      </c>
      <c r="CI157" s="43" t="n">
        <f aca="false">IF(N(Tasks[[#This Row],[_Pred1UID]])=0,0,IFERROR(MATCH(Tasks[[#This Row],[_Pred1UID]],Tasks[UID],0),-1))</f>
        <v>0</v>
      </c>
      <c r="CJ157" s="43" t="n">
        <f aca="false">IF(N(Tasks[[#This Row],[_Pred2UID]])=0,0,IFERROR(MATCH(Tasks[[#This Row],[_Pred2UID]],Tasks[UID],0),-1))</f>
        <v>0</v>
      </c>
      <c r="CK157" s="43" t="n">
        <f aca="false">IF(N(Tasks[[#This Row],[_Pred3UID]])=0,0,IFERROR(MATCH(Tasks[[#This Row],[_Pred3UID]],Tasks[UID],0),-1))</f>
        <v>0</v>
      </c>
      <c r="CL157" s="43" t="n">
        <f aca="false">IF(N(Tasks[[#This Row],[_Pred4UID]])=0,0,IFERROR(MATCH(Tasks[[#This Row],[_Pred4UID]],Tasks[UID],0),-1))</f>
        <v>0</v>
      </c>
      <c r="CM1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7" s="91" t="n">
        <f aca="false">IF(OR(Tasks[[#This Row],[_ConstraintCode]]=2,Tasks[[#This Row],[_ConstraintCode]]=3,Tasks[[#This Row],[_ConstraintCode]]=4,Tasks[[#This Row],[_ConstraintCode]]=6),Tasks[[#This Row],[_ConstraintStart]],0)</f>
        <v>0</v>
      </c>
      <c r="CP157" s="91" t="n">
        <f aca="false">IF(OR(Tasks[[#This Row],[_ConstraintCode]]=2,Tasks[[#This Row],[_ConstraintCode]]=3,Tasks[[#This Row],[_ConstraintCode]]=5,Tasks[[#This Row],[_ConstraintCode]]=7),Tasks[[#This Row],[_ConstraintStart]],2958465)</f>
        <v>2958465</v>
      </c>
      <c r="CQ1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91" t="str">
        <f aca="false">IF(NOT(Tasks[[#This Row],[_IsLeaf]]=1),"",IF(N(Tasks[[#This Row],[_Days]])&lt;=0,Tasks[[#This Row],[_LeafCalcStart]],WORKDAY.INTL(Tasks[[#This Row],[_LeafCalcStart]],Tasks[[#This Row],[_Days]]-1,WorkWeek,Holidays)))</f>
        <v/>
      </c>
      <c r="CS1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3" t="str">
        <f aca="false">IF(Tasks[[#This Row],[_Predecessors]]="","",TRIM(MID(SUBSTITUTE(SUBSTITUTE(SUBSTITUTE(UPPER(Tasks[[#This Row],[_Predecessors]]),";",",")," ",""),",",REPT(" ",99)),1,99)))</f>
        <v/>
      </c>
      <c r="CV157" s="43" t="str">
        <f aca="false">IF(Tasks[[#This Row],[_Pred1Text]]="","",IFERROR(VALUE(LEFT(Tasks[[#This Row],[_Pred1Text]],MIN(FIND("F",Tasks[[#This Row],[_Pred1Text]]&amp;"F"),FIND("S",Tasks[[#This Row],[_Pred1Text]]&amp;"S"),FIND("+",Tasks[[#This Row],[_Pred1Text]]&amp;"+"),FIND("-",Tasks[[#This Row],[_Pred1Text]]&amp;"-"))-1)),""))</f>
        <v/>
      </c>
      <c r="CW1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3" t="str">
        <f aca="false">IF(Tasks[[#This Row],[_Pred1Text]]="","",TRIM(MID(SUBSTITUTE(SUBSTITUTE(SUBSTITUTE(UPPER(Tasks[[#This Row],[_Predecessors]]),";",",")," ",""),",",REPT(" ",99)),100,99)))</f>
        <v/>
      </c>
      <c r="CZ157" s="43" t="str">
        <f aca="false">IF(Tasks[[#This Row],[_Pred2Text]]="","",IFERROR(VALUE(LEFT(Tasks[[#This Row],[_Pred2Text]],MIN(FIND("F",Tasks[[#This Row],[_Pred2Text]]&amp;"F"),FIND("S",Tasks[[#This Row],[_Pred2Text]]&amp;"S"),FIND("+",Tasks[[#This Row],[_Pred2Text]]&amp;"+"),FIND("-",Tasks[[#This Row],[_Pred2Text]]&amp;"-"))-1)),""))</f>
        <v/>
      </c>
      <c r="DA1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3" t="str">
        <f aca="false">IF(Tasks[[#This Row],[_Pred2Text]]="","",TRIM(MID(SUBSTITUTE(SUBSTITUTE(SUBSTITUTE(UPPER(Tasks[[#This Row],[_Predecessors]]),";",",")," ",""),",",REPT(" ",99)),199,99)))</f>
        <v/>
      </c>
      <c r="DD157" s="43" t="str">
        <f aca="false">IF(Tasks[[#This Row],[_Pred3Text]]="","",IFERROR(VALUE(LEFT(Tasks[[#This Row],[_Pred3Text]],MIN(FIND("F",Tasks[[#This Row],[_Pred3Text]]&amp;"F"),FIND("S",Tasks[[#This Row],[_Pred3Text]]&amp;"S"),FIND("+",Tasks[[#This Row],[_Pred3Text]]&amp;"+"),FIND("-",Tasks[[#This Row],[_Pred3Text]]&amp;"-"))-1)),""))</f>
        <v/>
      </c>
      <c r="DE1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3" t="str">
        <f aca="false">IF(Tasks[[#This Row],[_Pred3Text]]="","",TRIM(MID(SUBSTITUTE(SUBSTITUTE(SUBSTITUTE(UPPER(Tasks[[#This Row],[_Predecessors]]),";",",")," ",""),",",REPT(" ",99)),298,99)))</f>
        <v/>
      </c>
      <c r="DH157" s="43" t="str">
        <f aca="false">IF(Tasks[[#This Row],[_Pred4Text]]="","",IFERROR(VALUE(LEFT(Tasks[[#This Row],[_Pred4Text]],MIN(FIND("F",Tasks[[#This Row],[_Pred4Text]]&amp;"F"),FIND("S",Tasks[[#This Row],[_Pred4Text]]&amp;"S"),FIND("+",Tasks[[#This Row],[_Pred4Text]]&amp;"+"),FIND("-",Tasks[[#This Row],[_Pred4Text]]&amp;"-"))-1)),""))</f>
        <v/>
      </c>
      <c r="DI1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3" t="str">
        <f aca="false">IF(OR(Tasks[[#This Row],[Task Name]]="",Tasks[[#This Row],[_Resources]]=""),"",TRIM(MID(SUBSTITUTE(Tasks[[#This Row],[_Resources]],",",REPT(" ",99)),1,99)))</f>
        <v/>
      </c>
      <c r="DL157" s="43" t="str">
        <f aca="false">IF(Tasks[[#This Row],[_Res1Text]]="","",TRIM(MID(SUBSTITUTE(Tasks[[#This Row],[_Resources]],",",REPT(" ",99)),100,99)))</f>
        <v/>
      </c>
      <c r="DM157" s="43" t="str">
        <f aca="false">IF(Tasks[[#This Row],[_Res2Text]]="","",TRIM(MID(SUBSTITUTE(Tasks[[#This Row],[_Resources]],",",REPT(" ",99)),199,99)))</f>
        <v/>
      </c>
      <c r="DN157" s="43" t="str">
        <f aca="false">IF(Tasks[[#This Row],[_Res3Text]]="","",TRIM(MID(SUBSTITUTE(Tasks[[#This Row],[_Resources]],",",REPT(" ",99)),298,99)))</f>
        <v/>
      </c>
      <c r="DO157" s="43" t="n">
        <f aca="false">IF(Tasks[[#This Row],[_Res1Text]]="",0,IFERROR(MATCH(TRIM(LEFT(Tasks[[#This Row],[_Res1Text]],FIND("[",Tasks[[#This Row],[_Res1Text]]&amp;"[")-1)),res_Name,0),IFERROR(MATCH(TRIM(LEFT(Tasks[[#This Row],[_Res1Text]],FIND("[",Tasks[[#This Row],[_Res1Text]]&amp;"[")-1)),res_Initials,0),0)))</f>
        <v>0</v>
      </c>
      <c r="DP157" s="43" t="n">
        <f aca="false">IF(Tasks[[#This Row],[_Res2Text]]="",0,IFERROR(MATCH(TRIM(LEFT(Tasks[[#This Row],[_Res2Text]],FIND("[",Tasks[[#This Row],[_Res2Text]]&amp;"[")-1)),res_Name,0),IFERROR(MATCH(TRIM(LEFT(Tasks[[#This Row],[_Res2Text]],FIND("[",Tasks[[#This Row],[_Res2Text]]&amp;"[")-1)),res_Initials,0),0)))</f>
        <v>0</v>
      </c>
      <c r="DQ157" s="43" t="n">
        <f aca="false">IF(Tasks[[#This Row],[_Res3Text]]="",0,IFERROR(MATCH(TRIM(LEFT(Tasks[[#This Row],[_Res3Text]],FIND("[",Tasks[[#This Row],[_Res3Text]]&amp;"[")-1)),res_Name,0),IFERROR(MATCH(TRIM(LEFT(Tasks[[#This Row],[_Res3Text]],FIND("[",Tasks[[#This Row],[_Res3Text]]&amp;"[")-1)),res_Initials,0),0)))</f>
        <v>0</v>
      </c>
      <c r="DR157" s="43" t="n">
        <f aca="false">IF(Tasks[[#This Row],[_Res4Text]]="",0,IFERROR(MATCH(TRIM(LEFT(Tasks[[#This Row],[_Res4Text]],FIND("[",Tasks[[#This Row],[_Res4Text]]&amp;"[")-1)),res_Name,0),IFERROR(MATCH(TRIM(LEFT(Tasks[[#This Row],[_Res4Text]],FIND("[",Tasks[[#This Row],[_Res4Text]]&amp;"[")-1)),res_Initials,0),0)))</f>
        <v>0</v>
      </c>
      <c r="DS157" s="43" t="str">
        <f aca="false">IF(Tasks[[#This Row],[_Res1Text]]="","",IF(Tasks[[#This Row],[_Res1Row]]&gt;0,INDEX(res_Name,Tasks[[#This Row],[_Res1Row]]),TRIM(LEFT(Tasks[[#This Row],[_Res1Text]],FIND("[",Tasks[[#This Row],[_Res1Text]]&amp;"[")-1))))</f>
        <v/>
      </c>
      <c r="DT1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3" t="n">
        <f aca="false">IF(NOT(Tasks[[#This Row],[_IsLeaf]]=1),0,(Tasks[[#This Row],[_Resource1]]&lt;&gt;"")+(Tasks[[#This Row],[_Res2]]&lt;&gt;"")+(Tasks[[#This Row],[_Res3]]&lt;&gt;"")+(Tasks[[#This Row],[_Res4]]&lt;&gt;""))</f>
        <v>0</v>
      </c>
      <c r="DV157" s="43" t="str">
        <f aca="false">IF(Tasks[[#This Row],[_Res2Text]]="","",IF(Tasks[[#This Row],[_Res2Row]]&gt;0,INDEX(res_Name,Tasks[[#This Row],[_Res2Row]]),TRIM(LEFT(Tasks[[#This Row],[_Res2Text]],FIND("[",Tasks[[#This Row],[_Res2Text]]&amp;"[")-1))))</f>
        <v/>
      </c>
      <c r="DW1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3" t="n">
        <f aca="false">IF(OR(NOT(Tasks[[#This Row],[_IsLeaf]]=1),Tasks[[#This Row],[_Res2Row]]=0),0,N(Tasks[[#This Row],[_Days]])*HoursPerDay*IF(Tasks[[#This Row],[_Res2Units]]="",DefaultUnits,Tasks[[#This Row],[_Res2Units]]))</f>
        <v>0</v>
      </c>
      <c r="DY157" s="43" t="n">
        <f aca="false">IF(AND(AND(Tasks[[#This Row],[_IsLeaf]]=1,Tasks[[#This Row],[_LeafTotalWork]]&gt;0),Tasks[[#This Row],[_Res2Work]]&gt;0),Tasks[[#This Row],[_Res2Work]]/(Tasks[[#This Row],[_FinishWorkday]]-Tasks[[#This Row],[_StartWorkday]]+1),0)</f>
        <v>0</v>
      </c>
      <c r="DZ157" s="43" t="n">
        <f aca="false">Tasks[[#This Row],[_Res2WorkPerWD]]*MAX(0,Tasks[[#This Row],[_StartWorkday]]-1)</f>
        <v>0</v>
      </c>
      <c r="EA157" s="43" t="n">
        <f aca="false">Tasks[[#This Row],[_Res2Work]]*Tasks[[#This Row],[_LeafProgress]]</f>
        <v>0</v>
      </c>
      <c r="EB157" s="43" t="str">
        <f aca="false">IF(Tasks[[#This Row],[_Res3Text]]="","",IF(Tasks[[#This Row],[_Res3Row]]&gt;0,INDEX(res_Name,Tasks[[#This Row],[_Res3Row]]),TRIM(LEFT(Tasks[[#This Row],[_Res3Text]],FIND("[",Tasks[[#This Row],[_Res3Text]]&amp;"[")-1))))</f>
        <v/>
      </c>
      <c r="EC1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3" t="n">
        <f aca="false">IF(OR(NOT(Tasks[[#This Row],[_IsLeaf]]=1),Tasks[[#This Row],[_Res3Row]]=0),0,N(Tasks[[#This Row],[_Days]])*HoursPerDay*IF(Tasks[[#This Row],[_Res3Units]]="",DefaultUnits,Tasks[[#This Row],[_Res3Units]]))</f>
        <v>0</v>
      </c>
      <c r="EE157" s="43" t="n">
        <f aca="false">IF(AND(AND(Tasks[[#This Row],[_IsLeaf]]=1,Tasks[[#This Row],[_LeafTotalWork]]&gt;0),Tasks[[#This Row],[_Res3Work]]&gt;0),Tasks[[#This Row],[_Res3Work]]/(Tasks[[#This Row],[_FinishWorkday]]-Tasks[[#This Row],[_StartWorkday]]+1),0)</f>
        <v>0</v>
      </c>
      <c r="EF157" s="43" t="n">
        <f aca="false">Tasks[[#This Row],[_Res3WorkPerWD]]*MAX(0,Tasks[[#This Row],[_StartWorkday]]-1)</f>
        <v>0</v>
      </c>
      <c r="EG157" s="43" t="n">
        <f aca="false">Tasks[[#This Row],[_Res3Work]]*Tasks[[#This Row],[_LeafProgress]]</f>
        <v>0</v>
      </c>
      <c r="EH157" s="43" t="str">
        <f aca="false">IF(Tasks[[#This Row],[_Res4Text]]="","",IF(Tasks[[#This Row],[_Res4Row]]&gt;0,INDEX(res_Name,Tasks[[#This Row],[_Res4Row]]),TRIM(LEFT(Tasks[[#This Row],[_Res4Text]],FIND("[",Tasks[[#This Row],[_Res4Text]]&amp;"[")-1))))</f>
        <v/>
      </c>
      <c r="EI1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3" t="n">
        <f aca="false">IF(OR(NOT(Tasks[[#This Row],[_IsLeaf]]=1),Tasks[[#This Row],[_Res4Row]]=0),0,N(Tasks[[#This Row],[_Days]])*HoursPerDay*IF(Tasks[[#This Row],[_Res4Units]]="",DefaultUnits,Tasks[[#This Row],[_Res4Units]]))</f>
        <v>0</v>
      </c>
      <c r="EK157" s="43" t="n">
        <f aca="false">IF(AND(AND(Tasks[[#This Row],[_IsLeaf]]=1,Tasks[[#This Row],[_LeafTotalWork]]&gt;0),Tasks[[#This Row],[_Res4Work]]&gt;0),Tasks[[#This Row],[_Res4Work]]/(Tasks[[#This Row],[_FinishWorkday]]-Tasks[[#This Row],[_StartWorkday]]+1),0)</f>
        <v>0</v>
      </c>
      <c r="EL157" s="43" t="n">
        <f aca="false">Tasks[[#This Row],[_Res4WorkPerWD]]*MAX(0,Tasks[[#This Row],[_StartWorkday]]-1)</f>
        <v>0</v>
      </c>
      <c r="EM157" s="43" t="n">
        <f aca="false">Tasks[[#This Row],[_Res4Work]]*Tasks[[#This Row],[_LeafProgress]]</f>
        <v>0</v>
      </c>
      <c r="EN157" s="43" t="n">
        <f aca="false">IF(ISNUMBER(Tasks[[#This Row],[% Complete]]),Tasks[[#This Row],[% Complete]],IF(Tasks[[#This Row],[Stage]]="",0,IFERROR(INDEX(stg_Pct,MATCH(Tasks[[#This Row],[Stage]],stg_Name,0)),0)))</f>
        <v>0</v>
      </c>
      <c r="EO157" s="43" t="n">
        <f aca="false">IF(NOT(Tasks[[#This Row],[_IsLeaf]]=1),0,IF(N(Tasks[[#This Row],[Actual Finish]])&gt;0,1,MIN(1,Tasks[[#This Row],[_Pct]])))</f>
        <v>0</v>
      </c>
      <c r="EP157" s="43" t="n">
        <f aca="false">IF(OR(NOT(Tasks[[#This Row],[_IsLeaf]]=1),Tasks[[#This Row],[_Res1Row]]=0),0,N(Tasks[[#This Row],[_Days]])*HoursPerDay*IF(Tasks[[#This Row],[_Units1]]="",DefaultUnits,Tasks[[#This Row],[_Units1]]))</f>
        <v>0</v>
      </c>
      <c r="EQ157" s="43" t="n">
        <f aca="false">Tasks[[#This Row],[_LeafWork]]+Tasks[[#This Row],[_Res2Work]]+Tasks[[#This Row],[_Res3Work]]+Tasks[[#This Row],[_Res4Work]]</f>
        <v>0</v>
      </c>
      <c r="ER1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3" t="n">
        <f aca="false">IF(NOT(Tasks[[#This Row],[_IsLeaf]]=1),0,MAX(_xlfn.MAXIFS(Tasks[_Row],Tasks[_Pred1UID],Tasks[[#This Row],[UID]]),_xlfn.MAXIFS(Tasks[_Row],Tasks[_Pred2UID],Tasks[[#This Row],[UID]]),_xlfn.MAXIFS(Tasks[_Row],Tasks[_Pred3UID],Tasks[[#This Row],[UID]]),_xlfn.MAXIFS(Tasks[_Row],Tasks[_Pred4UID],Tasks[[#This Row],[UID]])))</f>
        <v>0</v>
      </c>
      <c r="FA1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91" t="str">
        <f aca="false">IF(NOT(Tasks[[#This Row],[_IsLeaf]]=1),"",IF(N(Tasks[[#This Row],[_Days]])&lt;=0,Tasks[[#This Row],[_LeafLateFinish]],WORKDAY.INTL(Tasks[[#This Row],[_LeafLateFinish]],-(Tasks[[#This Row],[_Days]]-1),WorkWeek,Holidays)))</f>
        <v/>
      </c>
      <c r="FD1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7" s="90" t="b">
        <f aca="false">AND(Tasks[[#This Row],[_IsLeaf]]=1,Tasks[[#This Row],[_LeafProgress]]&lt;1,N(Tasks[[#This Row],[_LeafTotalSlack]])&lt;=CriticalSlackDays)</f>
        <v>0</v>
      </c>
      <c r="FF157" s="43" t="n">
        <f aca="false">IF(AND(Tasks[[#This Row],[_IsLeaf]]=1,Tasks[[#This Row],[_ConstraintCode]]=1,Tasks[[#This Row],[Mode]]&lt;&gt;"Manual",N(Tasks[[#This Row],[Actual Start]])=0),MAX(0,N(Tasks[[#This Row],[Free Slack]])),0)</f>
        <v>0</v>
      </c>
      <c r="FG157" s="91" t="str">
        <f aca="false">IF(NOT(Tasks[[#This Row],[_IsLeaf]]=1),"",IF(Tasks[[#This Row],[_AlapShift]]=0,Tasks[[#This Row],[_LeafCalcStart]],WORKDAY.INTL(Tasks[[#This Row],[_LeafCalcStart]],Tasks[[#This Row],[_AlapShift]],WorkWeek,Holidays)))</f>
        <v/>
      </c>
      <c r="FH157" s="91" t="str">
        <f aca="false">IF(NOT(Tasks[[#This Row],[_IsLeaf]]=1),"",IF(Tasks[[#This Row],[_AlapShift]]=0,Tasks[[#This Row],[_LeafCalcFinish]],WORKDAY.INTL(Tasks[[#This Row],[_LeafCalcFinish]],Tasks[[#This Row],[_AlapShift]],WorkWeek,Holidays)))</f>
        <v/>
      </c>
      <c r="FI157" s="91" t="str">
        <f aca="false">IF(NOT(Tasks[[#This Row],[_IsLeaf]]=1),"",IF(Tasks[[#This Row],[_AlapShift]]=0,Tasks[[#This Row],[_LeafFcstStart]],WORKDAY.INTL(Tasks[[#This Row],[_LeafFcstStart]],Tasks[[#This Row],[_AlapShift]],WorkWeek,Holidays)))</f>
        <v/>
      </c>
      <c r="FJ157" s="91" t="str">
        <f aca="false">IF(NOT(Tasks[[#This Row],[_IsLeaf]]=1),"",IF(Tasks[[#This Row],[_AlapShift]]=0,Tasks[[#This Row],[_LeafFcstFinish]],WORKDAY.INTL(Tasks[[#This Row],[_LeafFcstFinish]],Tasks[[#This Row],[_AlapShift]],WorkWeek,Holidays)))</f>
        <v/>
      </c>
      <c r="FK157" s="91" t="str">
        <f aca="false">IF(Tasks[[#This Row],[Task Name]]="","",IF(Tasks[[#This Row],[_IsSummary]],MIN(INDEX(Tasks[_ShownCalcStart],Tasks[[#This Row],[_Row]]+1):INDEX(Tasks[_ShownCalcStart],Tasks[[#This Row],[_Row]]+Tasks[[#This Row],[_Descendants]])),Tasks[[#This Row],[_ShownCalcStart]]))</f>
        <v/>
      </c>
      <c r="FL157" s="91" t="str">
        <f aca="false">IF(Tasks[[#This Row],[Task Name]]="","",IF(Tasks[[#This Row],[_IsSummary]],MAX(INDEX(Tasks[_ShownCalcFinish],Tasks[[#This Row],[_Row]]+1):INDEX(Tasks[_ShownCalcFinish],Tasks[[#This Row],[_Row]]+Tasks[[#This Row],[_Descendants]])),Tasks[[#This Row],[_ShownCalcFinish]]))</f>
        <v/>
      </c>
      <c r="FM1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7" s="43" t="n">
        <f aca="false">IF(AND(Tasks[[#This Row],[_IsLeaf]]=1,Tasks[[#This Row],[_LeafTotalWork]]&gt;0),NETWORKDAYS.INTL(ProjectStart,Tasks[[#This Row],[_ShownFcstStart]],WorkWeek,Holidays),0)</f>
        <v>0</v>
      </c>
      <c r="FZ157" s="43" t="n">
        <f aca="false">IF(AND(Tasks[[#This Row],[_IsLeaf]]=1,Tasks[[#This Row],[_LeafTotalWork]]&gt;0),MAX(Tasks[[#This Row],[_StartWorkday]],NETWORKDAYS.INTL(ProjectStart,Tasks[[#This Row],[_ShownFcstFinish]],WorkWeek,Holidays)),0)</f>
        <v>0</v>
      </c>
      <c r="GA157" s="43" t="n">
        <f aca="false">IF(AND(Tasks[[#This Row],[_IsLeaf]]=1,Tasks[[#This Row],[_LeafTotalWork]]&gt;0),Tasks[[#This Row],[_LeafWork]]/(Tasks[[#This Row],[_FinishWorkday]]-Tasks[[#This Row],[_StartWorkday]]+1),0)</f>
        <v>0</v>
      </c>
      <c r="GB157" s="43" t="n">
        <f aca="false">Tasks[[#This Row],[_WorkPerWorkday]]*(Tasks[[#This Row],[_StartWorkday]]-1)</f>
        <v>-0</v>
      </c>
      <c r="GC157" s="43" t="n">
        <f aca="false">IF(Tasks[[#This Row],[_IsLeaf]]=1,MAX(N(Tasks[[#This Row],[_Days]]),0.1),0)</f>
        <v>0</v>
      </c>
      <c r="GD157" s="43" t="n">
        <f aca="false">Tasks[[#This Row],[_WeightDur]]*Tasks[[#This Row],[_LeafProgress]]</f>
        <v>0</v>
      </c>
      <c r="GE157" s="43" t="n">
        <f aca="false">Tasks[[#This Row],[_WeightDur]]*Tasks[[#This Row],[_PlannedPct]]</f>
        <v>0</v>
      </c>
      <c r="GF1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3" t="str">
        <f aca="false">IF(AND(Tasks[[#This Row],[_IsLeaf]]=1,N(Tasks[[#This Row],[_Days]])=0,Tasks[[#This Row],[_LeafProgress]]&lt;1),Tasks[[#This Row],[_ShownFcstFinish]]+Tasks[[#This Row],[_Row]]/100000,"")</f>
        <v/>
      </c>
      <c r="GH1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7" s="43" t="str">
        <f aca="false">IF(Tasks[[#This Row],[Task Name]]="","",LEFT(Tasks[[#This Row],[WBS]],FIND(".",Tasks[[#This Row],[WBS]]&amp;".")-1))</f>
        <v/>
      </c>
      <c r="GJ157" s="43" t="str">
        <f aca="false">IF(AND(Tasks[[#This Row],[Task Name]]&lt;&gt;"",Tasks[[#This Row],[_Level]]=1),Tasks[[#This Row],[_Row]],"")</f>
        <v/>
      </c>
      <c r="GK157" s="43" t="str">
        <f aca="false">IF(AND(Tasks[[#This Row],[_IsLeaf]]=1,N(Tasks[[#This Row],[_Days]])=0),Tasks[[#This Row],[Planned Finish]]+Tasks[[#This Row],[_Row]]/100000,"")</f>
        <v/>
      </c>
      <c r="GL157" s="43" t="str">
        <f aca="false">IF(AND(Tasks[[#This Row],[_IsLeaf]]=1,Tasks[[#This Row],[_LeafProgress]]&lt;1,OR(N(Tasks[[#This Row],[Finish Var]])&gt;0,Tasks[[#This Row],[Status]]="Late Start")),MAX(0,Tasks[[#This Row],[Finish Var]])+1-Tasks[[#This Row],[_Row]]/1000000,"")</f>
        <v/>
      </c>
      <c r="GM157" s="43" t="str">
        <f aca="false">IF(AND(Tasks[[#This Row],[_IsLeaf]]=1,N(Tasks[[#This Row],[Actual Start]])=0,Tasks[[#This Row],[_ShownFcstStart]]&gt;=StatusDate,Tasks[[#This Row],[_ShownFcstStart]]&lt;=LookaheadEnd),Tasks[[#This Row],[_ShownFcstStart]]+Tasks[[#This Row],[_Row]]/100000,"")</f>
        <v/>
      </c>
      <c r="GN157" s="43" t="str">
        <f aca="false">IF(AND(Tasks[[#This Row],[_IsLeaf]]=1,Tasks[[#This Row],[_LeafProgress]]&lt;1,Tasks[[#This Row],[_ShownFcstFinish]]&gt;=StatusDate,Tasks[[#This Row],[_ShownFcstFinish]]&lt;=LookaheadEnd),Tasks[[#This Row],[_ShownFcstFinish]]+Tasks[[#This Row],[_Row]]/100000,"")</f>
        <v/>
      </c>
      <c r="GO157" s="43" t="str">
        <f aca="false">IF(Tasks[[#This Row],[_LeafCritical]],Tasks[[#This Row],[_ShownFcstStart]]+Tasks[[#This Row],[_Row]]/100000,"")</f>
        <v/>
      </c>
      <c r="GP157" s="43" t="n">
        <f aca="false">Tasks[[#This Row],[_LeafWork]]*Tasks[[#This Row],[_LeafProgress]]</f>
        <v>0</v>
      </c>
      <c r="GQ157" s="91" t="str">
        <f aca="false">IF(AND(Tasks[[#This Row],[_IsLeaf]]=1,Tasks[[#This Row],[_LeafProgress]]&gt;=1),IF(N(Tasks[[#This Row],[Actual Finish]])&gt;0,Tasks[[#This Row],[Actual Finish]],Tasks[[#This Row],[_ShownFcstFinish]]),"")</f>
        <v/>
      </c>
      <c r="GR157" s="43" t="n">
        <f aca="false">IF(Tasks[[#This Row],[_IsLeaf]]=1,N(Tasks[[#This Row],[Story Points]]),0)</f>
        <v>0</v>
      </c>
      <c r="GS157" s="43" t="str">
        <f aca="false">""</f>
        <v/>
      </c>
      <c r="GT157" s="90" t="b">
        <f aca="false">IF(Tasks[[#This Row],[Task Name]]="",FALSE(),AND(Tasks[[#This Row],[_IsLeaf]]=1,N(Tasks[[#This Row],[_Days]])=0))</f>
        <v>0</v>
      </c>
      <c r="GU157" s="91" t="n">
        <f aca="false">IF(Tasks[[#This Row],[Task Name]]="",0,IF(AND(Tasks[[#This Row],[_IsLeaf]]=1,NOT(Tasks[[#This Row],[_IsMilestone]]),N(Tasks[[#This Row],[Progress]])&gt;0),Tasks[[#This Row],[Start]],0))</f>
        <v>0</v>
      </c>
      <c r="GV157" s="91" t="n">
        <f aca="false">IF(Tasks[[#This Row],[_DoneFrom]]=0,0,IF(Tasks[[#This Row],[Progress]]&gt;=1,Tasks[[#This Row],[Finish]],MAX(Tasks[[#This Row],[_DoneFrom]],Tasks[[#This Row],[Start]]+ROUND((Tasks[[#This Row],[Finish]]-Tasks[[#This Row],[Start]]+1)*Tasks[[#This Row],[Progress]],0)-1)))</f>
        <v>0</v>
      </c>
      <c r="GW157" s="91" t="n">
        <f aca="false">IF(Tasks[[#This Row],[Task Name]]="",0,IF(OR(NOT(Tasks[[#This Row],[_IsLeaf]]=1),Tasks[[#This Row],[_IsMilestone]],N(Tasks[[#This Row],[Progress]])&gt;=1),0,IF(Tasks[[#This Row],[_DoneTo]]&gt;0,Tasks[[#This Row],[_DoneTo]]+1,Tasks[[#This Row],[Start]])))</f>
        <v>0</v>
      </c>
      <c r="GX157" s="91" t="n">
        <f aca="false">IF(Tasks[[#This Row],[_RemFrom]]=0,0,Tasks[[#This Row],[Finish]])</f>
        <v>0</v>
      </c>
      <c r="GY157" s="90" t="b">
        <f aca="false">IF(Tasks[[#This Row],[Task Name]]="",FALSE(),OR(NOT(BaselineSet),N(Tasks[[#This Row],[Baseline Start]])&gt;0))</f>
        <v>0</v>
      </c>
      <c r="GZ15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92" t="str">
        <f aca="false">IF(Tasks[[#This Row],[_IsLeaf]]=1,Tasks[[#This Row],[_Row]],"")</f>
        <v/>
      </c>
      <c r="HD157" s="92" t="str">
        <f aca="false">IFERROR(INDEX(Tasks[UID],SMALL(Tasks[_PickKey],Tasks[[#This Row],[_Row]]))&amp;" "&amp;INDEX(Tasks[Task Name],SMALL(Tasks[_PickKey],Tasks[[#This Row],[_Row]])),"")</f>
        <v/>
      </c>
      <c r="HE157" s="43" t="str">
        <f aca="false">IF(Tasks[[#This Row],[Task Name]]="","",IF(Tasks[[#This Row],[_IsSummary]],NETWORKDAYS.INTL(Tasks[[#This Row],[Start]],Tasks[[#This Row],[Finish]],WorkWeek,Holidays),N(Tasks[[#This Row],[_Days]])))</f>
        <v/>
      </c>
      <c r="HF157" s="43" t="n">
        <f aca="false">IF(Tasks[[#This Row],[Expected]]="",0,((Tasks[[#This Row],[Pessimistic]]-Tasks[[#This Row],[Optimistic]])/6)^2)</f>
        <v>0</v>
      </c>
      <c r="HG157" s="43" t="n">
        <f aca="false">IF(Tasks[[#This Row],[Expected]]="",0,Tasks[[#This Row],[Expected]]-N(Tasks[[#This Row],[_Days]]))</f>
        <v>0</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4"/>
      <c r="U158" s="23"/>
      <c r="V158" s="84"/>
      <c r="W158" s="23"/>
      <c r="X158" s="84"/>
      <c r="Y158" s="23"/>
      <c r="Z158" s="84"/>
      <c r="AA158" s="23"/>
      <c r="AB158" s="23"/>
      <c r="AC158" s="7"/>
      <c r="AD158" s="7"/>
      <c r="AE158" s="63" t="str">
        <f aca="false">IF(Tasks[[#This Row],[Task Name]]="","",IF(Tasks[[#This Row],[_IsSummary]],MIN(INDEX(Tasks[_ShownFcstStart],Tasks[[#This Row],[_Row]]+1):INDEX(Tasks[_ShownFcstStart],Tasks[[#This Row],[_Row]]+Tasks[[#This Row],[_Descendants]])),Tasks[[#This Row],[_ShownFcstStart]]))</f>
        <v/>
      </c>
      <c r="AF158" s="63"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8" s="7"/>
      <c r="AK158" s="22"/>
      <c r="AL158" s="23"/>
      <c r="AM158" s="7"/>
      <c r="AN158" s="47"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3" t="str">
        <f aca="false">IF(Tasks[[#This Row],[Task Name]]="","",IF(N(Tasks[[#This Row],[Baseline Start]])&gt;0,Tasks[[#This Row],[Baseline Start]],Tasks[[#This Row],[_CalcStart]]))</f>
        <v/>
      </c>
      <c r="AR158" s="63" t="str">
        <f aca="false">IF(Tasks[[#This Row],[Task Name]]="","",IF(N(Tasks[[#This Row],[Baseline Finish]])&gt;0,Tasks[[#This Row],[Baseline Finish]],Tasks[[#This Row],[_CalcFinish]]))</f>
        <v/>
      </c>
      <c r="AS158" s="47" t="str">
        <f aca="false">IF(Tasks[[#This Row],[Task Name]]="","",IF(Tasks[[#This Row],[Start]]&gt;=Tasks[[#This Row],[Planned Start]],NETWORKDAYS.INTL(Tasks[[#This Row],[Planned Start]],Tasks[[#This Row],[Start]],WorkWeek,Holidays)-1,1-NETWORKDAYS.INTL(Tasks[[#This Row],[Start]],Tasks[[#This Row],[Planned Start]],WorkWeek,Holidays)))</f>
        <v/>
      </c>
      <c r="AT158" s="63" t="str">
        <f aca="false">IF(Tasks[[#This Row],[Task Name]]="","",IF(Tasks[[#This Row],[_IsSummary]],MIN(INDEX(Tasks[_LeafLateStart],Tasks[[#This Row],[_Row]]+1):INDEX(Tasks[_LeafLateStart],Tasks[[#This Row],[_Row]]+Tasks[[#This Row],[_Descendants]])),Tasks[[#This Row],[_LeafLateStart]]))</f>
        <v/>
      </c>
      <c r="AU158" s="63" t="str">
        <f aca="false">IF(Tasks[[#This Row],[Task Name]]="","",IF(Tasks[[#This Row],[_IsSummary]],MAX(INDEX(Tasks[_LeafLateFinish],Tasks[[#This Row],[_Row]]+1):INDEX(Tasks[_LeafLateFinish],Tasks[[#This Row],[_Row]]+Tasks[[#This Row],[_Descendants]])),Tasks[[#This Row],[_LeafLateFinish]]))</f>
        <v/>
      </c>
      <c r="AV158" s="47"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5"/>
      <c r="BA1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6"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7"/>
      <c r="BJ158" s="22"/>
      <c r="BK158" s="47" t="str">
        <f aca="false">IF(OR(Tasks[[#This Row],[Task Name]]="",Tasks[[#This Row],[Baseline Duration]]=""),"",Tasks[[#This Row],[_SpanDays]]-N(Tasks[[#This Row],[Baseline Duration]]))</f>
        <v/>
      </c>
      <c r="BL158" s="86" t="str">
        <f aca="false">IF(OR(Tasks[[#This Row],[Task Name]]="",Tasks[[#This Row],[Baseline Work]]=""),"",Tasks[[#This Row],[Work]]-N(Tasks[[#This Row],[Baseline Work]]))</f>
        <v/>
      </c>
      <c r="BM158" s="63" t="str">
        <f aca="false">IF(Tasks[[#This Row],[Task Name]]="","",IF(OR(TakeBaseline="Yes",N(Tasks[[#This Row],[Baseline Start]])=0),Tasks[[#This Row],[Start]],Tasks[[#This Row],[Baseline Start]]))</f>
        <v/>
      </c>
      <c r="BN158" s="63" t="str">
        <f aca="false">IF(Tasks[[#This Row],[Task Name]]="","",IF(OR(TakeBaseline="Yes",N(Tasks[[#This Row],[Baseline Finish]])=0),Tasks[[#This Row],[Finish]],Tasks[[#This Row],[Baseline Finish]]))</f>
        <v/>
      </c>
      <c r="BO158" s="21" t="str">
        <f aca="false">IF(Tasks[[#This Row],[Task Name]]="","",IF(OR(TakeBaseline="Yes",N(Tasks[[#This Row],[Baseline Duration]])=0),Tasks[[#This Row],[_SpanDays]],Tasks[[#This Row],[Baseline Duration]]))</f>
        <v/>
      </c>
      <c r="BP158" s="86" t="str">
        <f aca="false">IF(Tasks[[#This Row],[Task Name]]="","",IF(OR(TakeBaseline="Yes",N(Tasks[[#This Row],[Baseline Work]])=0),Tasks[[#This Row],[Work]],Tasks[[#This Row],[Baseline Work]]))</f>
        <v/>
      </c>
      <c r="BQ158" s="7"/>
      <c r="BR158" s="7"/>
      <c r="BS158" s="22"/>
      <c r="BT158" s="88"/>
      <c r="BU158" s="23"/>
      <c r="BV158" s="23"/>
      <c r="BW158" s="23"/>
      <c r="BX158" s="89" t="str">
        <f aca="false">IF(AND(Tasks[[#This Row],[_IsLeaf]]=1,ISNUMBER(Tasks[[#This Row],[Optimistic]]),ISNUMBER(Tasks[[#This Row],[Pessimistic]])),ROUND((Tasks[[#This Row],[Optimistic]]+4*N(Tasks[[#This Row],[_Days]])+Tasks[[#This Row],[Pessimistic]])/6,1),"")</f>
        <v/>
      </c>
      <c r="BY158" s="87"/>
      <c r="BZ158" s="87"/>
      <c r="CA158" s="22"/>
      <c r="CB158" s="43" t="str">
        <f aca="false">IF(Tasks[[#This Row],[Task Name]]="","",MAX(1,N(Tasks[[#This Row],[Level]])))</f>
        <v/>
      </c>
      <c r="CC158" s="43" t="n">
        <f aca="false">ROW()-ROW(Tasks[[#Headers],[ID]])</f>
        <v>153</v>
      </c>
      <c r="CD158" s="43" t="n">
        <f aca="false">IF(OR(Tasks[[#This Row],[Task Name]]="",Tasks[[#This Row],[_Level]]&lt;=1),0,IFERROR(LOOKUP(2,1/(Tasks[[#Headers],[_Level]]:Tasks[[#This Row],[_Level]]=Tasks[[#This Row],[_Level]]-1),ROW(Tasks[[#Headers],[_Level]]:Tasks[[#This Row],[_Level]])),0))</f>
        <v>0</v>
      </c>
      <c r="CE158" s="43" t="n">
        <f aca="false">IFERROR(N(INDEX(Tasks[_Level],Tasks[[#This Row],[_Row]]+1)),0)</f>
        <v>0</v>
      </c>
      <c r="CF158" s="90" t="b">
        <f aca="false">AND(Tasks[[#This Row],[Task Name]]&lt;&gt;"",Tasks[[#This Row],[_NextLevel]]&gt;Tasks[[#This Row],[_Level]])</f>
        <v>0</v>
      </c>
      <c r="CG158" s="43" t="n">
        <f aca="false">IF(Tasks[[#This Row],[_IsSummary]],COUNTIF(Tasks[WBS],Tasks[[#This Row],[WBS]]&amp;".*"),0)</f>
        <v>0</v>
      </c>
      <c r="CH158" s="43" t="n">
        <f aca="false">IF(AND(Tasks[[#This Row],[Task Name]]&lt;&gt;"",NOT(Tasks[[#This Row],[_IsSummary]])),1,0)</f>
        <v>0</v>
      </c>
      <c r="CI158" s="43" t="n">
        <f aca="false">IF(N(Tasks[[#This Row],[_Pred1UID]])=0,0,IFERROR(MATCH(Tasks[[#This Row],[_Pred1UID]],Tasks[UID],0),-1))</f>
        <v>0</v>
      </c>
      <c r="CJ158" s="43" t="n">
        <f aca="false">IF(N(Tasks[[#This Row],[_Pred2UID]])=0,0,IFERROR(MATCH(Tasks[[#This Row],[_Pred2UID]],Tasks[UID],0),-1))</f>
        <v>0</v>
      </c>
      <c r="CK158" s="43" t="n">
        <f aca="false">IF(N(Tasks[[#This Row],[_Pred3UID]])=0,0,IFERROR(MATCH(Tasks[[#This Row],[_Pred3UID]],Tasks[UID],0),-1))</f>
        <v>0</v>
      </c>
      <c r="CL158" s="43" t="n">
        <f aca="false">IF(N(Tasks[[#This Row],[_Pred4UID]])=0,0,IFERROR(MATCH(Tasks[[#This Row],[_Pred4UID]],Tasks[UID],0),-1))</f>
        <v>0</v>
      </c>
      <c r="CM1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8" s="91" t="n">
        <f aca="false">IF(OR(Tasks[[#This Row],[_ConstraintCode]]=2,Tasks[[#This Row],[_ConstraintCode]]=3,Tasks[[#This Row],[_ConstraintCode]]=4,Tasks[[#This Row],[_ConstraintCode]]=6),Tasks[[#This Row],[_ConstraintStart]],0)</f>
        <v>0</v>
      </c>
      <c r="CP158" s="91" t="n">
        <f aca="false">IF(OR(Tasks[[#This Row],[_ConstraintCode]]=2,Tasks[[#This Row],[_ConstraintCode]]=3,Tasks[[#This Row],[_ConstraintCode]]=5,Tasks[[#This Row],[_ConstraintCode]]=7),Tasks[[#This Row],[_ConstraintStart]],2958465)</f>
        <v>2958465</v>
      </c>
      <c r="CQ1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91" t="str">
        <f aca="false">IF(NOT(Tasks[[#This Row],[_IsLeaf]]=1),"",IF(N(Tasks[[#This Row],[_Days]])&lt;=0,Tasks[[#This Row],[_LeafCalcStart]],WORKDAY.INTL(Tasks[[#This Row],[_LeafCalcStart]],Tasks[[#This Row],[_Days]]-1,WorkWeek,Holidays)))</f>
        <v/>
      </c>
      <c r="CS1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3" t="str">
        <f aca="false">IF(Tasks[[#This Row],[_Predecessors]]="","",TRIM(MID(SUBSTITUTE(SUBSTITUTE(SUBSTITUTE(UPPER(Tasks[[#This Row],[_Predecessors]]),";",",")," ",""),",",REPT(" ",99)),1,99)))</f>
        <v/>
      </c>
      <c r="CV158" s="43" t="str">
        <f aca="false">IF(Tasks[[#This Row],[_Pred1Text]]="","",IFERROR(VALUE(LEFT(Tasks[[#This Row],[_Pred1Text]],MIN(FIND("F",Tasks[[#This Row],[_Pred1Text]]&amp;"F"),FIND("S",Tasks[[#This Row],[_Pred1Text]]&amp;"S"),FIND("+",Tasks[[#This Row],[_Pred1Text]]&amp;"+"),FIND("-",Tasks[[#This Row],[_Pred1Text]]&amp;"-"))-1)),""))</f>
        <v/>
      </c>
      <c r="CW1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3" t="str">
        <f aca="false">IF(Tasks[[#This Row],[_Pred1Text]]="","",TRIM(MID(SUBSTITUTE(SUBSTITUTE(SUBSTITUTE(UPPER(Tasks[[#This Row],[_Predecessors]]),";",",")," ",""),",",REPT(" ",99)),100,99)))</f>
        <v/>
      </c>
      <c r="CZ158" s="43" t="str">
        <f aca="false">IF(Tasks[[#This Row],[_Pred2Text]]="","",IFERROR(VALUE(LEFT(Tasks[[#This Row],[_Pred2Text]],MIN(FIND("F",Tasks[[#This Row],[_Pred2Text]]&amp;"F"),FIND("S",Tasks[[#This Row],[_Pred2Text]]&amp;"S"),FIND("+",Tasks[[#This Row],[_Pred2Text]]&amp;"+"),FIND("-",Tasks[[#This Row],[_Pred2Text]]&amp;"-"))-1)),""))</f>
        <v/>
      </c>
      <c r="DA1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3" t="str">
        <f aca="false">IF(Tasks[[#This Row],[_Pred2Text]]="","",TRIM(MID(SUBSTITUTE(SUBSTITUTE(SUBSTITUTE(UPPER(Tasks[[#This Row],[_Predecessors]]),";",",")," ",""),",",REPT(" ",99)),199,99)))</f>
        <v/>
      </c>
      <c r="DD158" s="43" t="str">
        <f aca="false">IF(Tasks[[#This Row],[_Pred3Text]]="","",IFERROR(VALUE(LEFT(Tasks[[#This Row],[_Pred3Text]],MIN(FIND("F",Tasks[[#This Row],[_Pred3Text]]&amp;"F"),FIND("S",Tasks[[#This Row],[_Pred3Text]]&amp;"S"),FIND("+",Tasks[[#This Row],[_Pred3Text]]&amp;"+"),FIND("-",Tasks[[#This Row],[_Pred3Text]]&amp;"-"))-1)),""))</f>
        <v/>
      </c>
      <c r="DE1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3" t="str">
        <f aca="false">IF(Tasks[[#This Row],[_Pred3Text]]="","",TRIM(MID(SUBSTITUTE(SUBSTITUTE(SUBSTITUTE(UPPER(Tasks[[#This Row],[_Predecessors]]),";",",")," ",""),",",REPT(" ",99)),298,99)))</f>
        <v/>
      </c>
      <c r="DH158" s="43" t="str">
        <f aca="false">IF(Tasks[[#This Row],[_Pred4Text]]="","",IFERROR(VALUE(LEFT(Tasks[[#This Row],[_Pred4Text]],MIN(FIND("F",Tasks[[#This Row],[_Pred4Text]]&amp;"F"),FIND("S",Tasks[[#This Row],[_Pred4Text]]&amp;"S"),FIND("+",Tasks[[#This Row],[_Pred4Text]]&amp;"+"),FIND("-",Tasks[[#This Row],[_Pred4Text]]&amp;"-"))-1)),""))</f>
        <v/>
      </c>
      <c r="DI1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3" t="str">
        <f aca="false">IF(OR(Tasks[[#This Row],[Task Name]]="",Tasks[[#This Row],[_Resources]]=""),"",TRIM(MID(SUBSTITUTE(Tasks[[#This Row],[_Resources]],",",REPT(" ",99)),1,99)))</f>
        <v/>
      </c>
      <c r="DL158" s="43" t="str">
        <f aca="false">IF(Tasks[[#This Row],[_Res1Text]]="","",TRIM(MID(SUBSTITUTE(Tasks[[#This Row],[_Resources]],",",REPT(" ",99)),100,99)))</f>
        <v/>
      </c>
      <c r="DM158" s="43" t="str">
        <f aca="false">IF(Tasks[[#This Row],[_Res2Text]]="","",TRIM(MID(SUBSTITUTE(Tasks[[#This Row],[_Resources]],",",REPT(" ",99)),199,99)))</f>
        <v/>
      </c>
      <c r="DN158" s="43" t="str">
        <f aca="false">IF(Tasks[[#This Row],[_Res3Text]]="","",TRIM(MID(SUBSTITUTE(Tasks[[#This Row],[_Resources]],",",REPT(" ",99)),298,99)))</f>
        <v/>
      </c>
      <c r="DO158" s="43" t="n">
        <f aca="false">IF(Tasks[[#This Row],[_Res1Text]]="",0,IFERROR(MATCH(TRIM(LEFT(Tasks[[#This Row],[_Res1Text]],FIND("[",Tasks[[#This Row],[_Res1Text]]&amp;"[")-1)),res_Name,0),IFERROR(MATCH(TRIM(LEFT(Tasks[[#This Row],[_Res1Text]],FIND("[",Tasks[[#This Row],[_Res1Text]]&amp;"[")-1)),res_Initials,0),0)))</f>
        <v>0</v>
      </c>
      <c r="DP158" s="43" t="n">
        <f aca="false">IF(Tasks[[#This Row],[_Res2Text]]="",0,IFERROR(MATCH(TRIM(LEFT(Tasks[[#This Row],[_Res2Text]],FIND("[",Tasks[[#This Row],[_Res2Text]]&amp;"[")-1)),res_Name,0),IFERROR(MATCH(TRIM(LEFT(Tasks[[#This Row],[_Res2Text]],FIND("[",Tasks[[#This Row],[_Res2Text]]&amp;"[")-1)),res_Initials,0),0)))</f>
        <v>0</v>
      </c>
      <c r="DQ158" s="43" t="n">
        <f aca="false">IF(Tasks[[#This Row],[_Res3Text]]="",0,IFERROR(MATCH(TRIM(LEFT(Tasks[[#This Row],[_Res3Text]],FIND("[",Tasks[[#This Row],[_Res3Text]]&amp;"[")-1)),res_Name,0),IFERROR(MATCH(TRIM(LEFT(Tasks[[#This Row],[_Res3Text]],FIND("[",Tasks[[#This Row],[_Res3Text]]&amp;"[")-1)),res_Initials,0),0)))</f>
        <v>0</v>
      </c>
      <c r="DR158" s="43" t="n">
        <f aca="false">IF(Tasks[[#This Row],[_Res4Text]]="",0,IFERROR(MATCH(TRIM(LEFT(Tasks[[#This Row],[_Res4Text]],FIND("[",Tasks[[#This Row],[_Res4Text]]&amp;"[")-1)),res_Name,0),IFERROR(MATCH(TRIM(LEFT(Tasks[[#This Row],[_Res4Text]],FIND("[",Tasks[[#This Row],[_Res4Text]]&amp;"[")-1)),res_Initials,0),0)))</f>
        <v>0</v>
      </c>
      <c r="DS158" s="43" t="str">
        <f aca="false">IF(Tasks[[#This Row],[_Res1Text]]="","",IF(Tasks[[#This Row],[_Res1Row]]&gt;0,INDEX(res_Name,Tasks[[#This Row],[_Res1Row]]),TRIM(LEFT(Tasks[[#This Row],[_Res1Text]],FIND("[",Tasks[[#This Row],[_Res1Text]]&amp;"[")-1))))</f>
        <v/>
      </c>
      <c r="DT1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3" t="n">
        <f aca="false">IF(NOT(Tasks[[#This Row],[_IsLeaf]]=1),0,(Tasks[[#This Row],[_Resource1]]&lt;&gt;"")+(Tasks[[#This Row],[_Res2]]&lt;&gt;"")+(Tasks[[#This Row],[_Res3]]&lt;&gt;"")+(Tasks[[#This Row],[_Res4]]&lt;&gt;""))</f>
        <v>0</v>
      </c>
      <c r="DV158" s="43" t="str">
        <f aca="false">IF(Tasks[[#This Row],[_Res2Text]]="","",IF(Tasks[[#This Row],[_Res2Row]]&gt;0,INDEX(res_Name,Tasks[[#This Row],[_Res2Row]]),TRIM(LEFT(Tasks[[#This Row],[_Res2Text]],FIND("[",Tasks[[#This Row],[_Res2Text]]&amp;"[")-1))))</f>
        <v/>
      </c>
      <c r="DW1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3" t="n">
        <f aca="false">IF(OR(NOT(Tasks[[#This Row],[_IsLeaf]]=1),Tasks[[#This Row],[_Res2Row]]=0),0,N(Tasks[[#This Row],[_Days]])*HoursPerDay*IF(Tasks[[#This Row],[_Res2Units]]="",DefaultUnits,Tasks[[#This Row],[_Res2Units]]))</f>
        <v>0</v>
      </c>
      <c r="DY158" s="43" t="n">
        <f aca="false">IF(AND(AND(Tasks[[#This Row],[_IsLeaf]]=1,Tasks[[#This Row],[_LeafTotalWork]]&gt;0),Tasks[[#This Row],[_Res2Work]]&gt;0),Tasks[[#This Row],[_Res2Work]]/(Tasks[[#This Row],[_FinishWorkday]]-Tasks[[#This Row],[_StartWorkday]]+1),0)</f>
        <v>0</v>
      </c>
      <c r="DZ158" s="43" t="n">
        <f aca="false">Tasks[[#This Row],[_Res2WorkPerWD]]*MAX(0,Tasks[[#This Row],[_StartWorkday]]-1)</f>
        <v>0</v>
      </c>
      <c r="EA158" s="43" t="n">
        <f aca="false">Tasks[[#This Row],[_Res2Work]]*Tasks[[#This Row],[_LeafProgress]]</f>
        <v>0</v>
      </c>
      <c r="EB158" s="43" t="str">
        <f aca="false">IF(Tasks[[#This Row],[_Res3Text]]="","",IF(Tasks[[#This Row],[_Res3Row]]&gt;0,INDEX(res_Name,Tasks[[#This Row],[_Res3Row]]),TRIM(LEFT(Tasks[[#This Row],[_Res3Text]],FIND("[",Tasks[[#This Row],[_Res3Text]]&amp;"[")-1))))</f>
        <v/>
      </c>
      <c r="EC1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3" t="n">
        <f aca="false">IF(OR(NOT(Tasks[[#This Row],[_IsLeaf]]=1),Tasks[[#This Row],[_Res3Row]]=0),0,N(Tasks[[#This Row],[_Days]])*HoursPerDay*IF(Tasks[[#This Row],[_Res3Units]]="",DefaultUnits,Tasks[[#This Row],[_Res3Units]]))</f>
        <v>0</v>
      </c>
      <c r="EE158" s="43" t="n">
        <f aca="false">IF(AND(AND(Tasks[[#This Row],[_IsLeaf]]=1,Tasks[[#This Row],[_LeafTotalWork]]&gt;0),Tasks[[#This Row],[_Res3Work]]&gt;0),Tasks[[#This Row],[_Res3Work]]/(Tasks[[#This Row],[_FinishWorkday]]-Tasks[[#This Row],[_StartWorkday]]+1),0)</f>
        <v>0</v>
      </c>
      <c r="EF158" s="43" t="n">
        <f aca="false">Tasks[[#This Row],[_Res3WorkPerWD]]*MAX(0,Tasks[[#This Row],[_StartWorkday]]-1)</f>
        <v>0</v>
      </c>
      <c r="EG158" s="43" t="n">
        <f aca="false">Tasks[[#This Row],[_Res3Work]]*Tasks[[#This Row],[_LeafProgress]]</f>
        <v>0</v>
      </c>
      <c r="EH158" s="43" t="str">
        <f aca="false">IF(Tasks[[#This Row],[_Res4Text]]="","",IF(Tasks[[#This Row],[_Res4Row]]&gt;0,INDEX(res_Name,Tasks[[#This Row],[_Res4Row]]),TRIM(LEFT(Tasks[[#This Row],[_Res4Text]],FIND("[",Tasks[[#This Row],[_Res4Text]]&amp;"[")-1))))</f>
        <v/>
      </c>
      <c r="EI1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3" t="n">
        <f aca="false">IF(OR(NOT(Tasks[[#This Row],[_IsLeaf]]=1),Tasks[[#This Row],[_Res4Row]]=0),0,N(Tasks[[#This Row],[_Days]])*HoursPerDay*IF(Tasks[[#This Row],[_Res4Units]]="",DefaultUnits,Tasks[[#This Row],[_Res4Units]]))</f>
        <v>0</v>
      </c>
      <c r="EK158" s="43" t="n">
        <f aca="false">IF(AND(AND(Tasks[[#This Row],[_IsLeaf]]=1,Tasks[[#This Row],[_LeafTotalWork]]&gt;0),Tasks[[#This Row],[_Res4Work]]&gt;0),Tasks[[#This Row],[_Res4Work]]/(Tasks[[#This Row],[_FinishWorkday]]-Tasks[[#This Row],[_StartWorkday]]+1),0)</f>
        <v>0</v>
      </c>
      <c r="EL158" s="43" t="n">
        <f aca="false">Tasks[[#This Row],[_Res4WorkPerWD]]*MAX(0,Tasks[[#This Row],[_StartWorkday]]-1)</f>
        <v>0</v>
      </c>
      <c r="EM158" s="43" t="n">
        <f aca="false">Tasks[[#This Row],[_Res4Work]]*Tasks[[#This Row],[_LeafProgress]]</f>
        <v>0</v>
      </c>
      <c r="EN158" s="43" t="n">
        <f aca="false">IF(ISNUMBER(Tasks[[#This Row],[% Complete]]),Tasks[[#This Row],[% Complete]],IF(Tasks[[#This Row],[Stage]]="",0,IFERROR(INDEX(stg_Pct,MATCH(Tasks[[#This Row],[Stage]],stg_Name,0)),0)))</f>
        <v>0</v>
      </c>
      <c r="EO158" s="43" t="n">
        <f aca="false">IF(NOT(Tasks[[#This Row],[_IsLeaf]]=1),0,IF(N(Tasks[[#This Row],[Actual Finish]])&gt;0,1,MIN(1,Tasks[[#This Row],[_Pct]])))</f>
        <v>0</v>
      </c>
      <c r="EP158" s="43" t="n">
        <f aca="false">IF(OR(NOT(Tasks[[#This Row],[_IsLeaf]]=1),Tasks[[#This Row],[_Res1Row]]=0),0,N(Tasks[[#This Row],[_Days]])*HoursPerDay*IF(Tasks[[#This Row],[_Units1]]="",DefaultUnits,Tasks[[#This Row],[_Units1]]))</f>
        <v>0</v>
      </c>
      <c r="EQ158" s="43" t="n">
        <f aca="false">Tasks[[#This Row],[_LeafWork]]+Tasks[[#This Row],[_Res2Work]]+Tasks[[#This Row],[_Res3Work]]+Tasks[[#This Row],[_Res4Work]]</f>
        <v>0</v>
      </c>
      <c r="ER1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3" t="n">
        <f aca="false">IF(NOT(Tasks[[#This Row],[_IsLeaf]]=1),0,MAX(_xlfn.MAXIFS(Tasks[_Row],Tasks[_Pred1UID],Tasks[[#This Row],[UID]]),_xlfn.MAXIFS(Tasks[_Row],Tasks[_Pred2UID],Tasks[[#This Row],[UID]]),_xlfn.MAXIFS(Tasks[_Row],Tasks[_Pred3UID],Tasks[[#This Row],[UID]]),_xlfn.MAXIFS(Tasks[_Row],Tasks[_Pred4UID],Tasks[[#This Row],[UID]])))</f>
        <v>0</v>
      </c>
      <c r="FA1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91" t="str">
        <f aca="false">IF(NOT(Tasks[[#This Row],[_IsLeaf]]=1),"",IF(N(Tasks[[#This Row],[_Days]])&lt;=0,Tasks[[#This Row],[_LeafLateFinish]],WORKDAY.INTL(Tasks[[#This Row],[_LeafLateFinish]],-(Tasks[[#This Row],[_Days]]-1),WorkWeek,Holidays)))</f>
        <v/>
      </c>
      <c r="FD1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8" s="90" t="b">
        <f aca="false">AND(Tasks[[#This Row],[_IsLeaf]]=1,Tasks[[#This Row],[_LeafProgress]]&lt;1,N(Tasks[[#This Row],[_LeafTotalSlack]])&lt;=CriticalSlackDays)</f>
        <v>0</v>
      </c>
      <c r="FF158" s="43" t="n">
        <f aca="false">IF(AND(Tasks[[#This Row],[_IsLeaf]]=1,Tasks[[#This Row],[_ConstraintCode]]=1,Tasks[[#This Row],[Mode]]&lt;&gt;"Manual",N(Tasks[[#This Row],[Actual Start]])=0),MAX(0,N(Tasks[[#This Row],[Free Slack]])),0)</f>
        <v>0</v>
      </c>
      <c r="FG158" s="91" t="str">
        <f aca="false">IF(NOT(Tasks[[#This Row],[_IsLeaf]]=1),"",IF(Tasks[[#This Row],[_AlapShift]]=0,Tasks[[#This Row],[_LeafCalcStart]],WORKDAY.INTL(Tasks[[#This Row],[_LeafCalcStart]],Tasks[[#This Row],[_AlapShift]],WorkWeek,Holidays)))</f>
        <v/>
      </c>
      <c r="FH158" s="91" t="str">
        <f aca="false">IF(NOT(Tasks[[#This Row],[_IsLeaf]]=1),"",IF(Tasks[[#This Row],[_AlapShift]]=0,Tasks[[#This Row],[_LeafCalcFinish]],WORKDAY.INTL(Tasks[[#This Row],[_LeafCalcFinish]],Tasks[[#This Row],[_AlapShift]],WorkWeek,Holidays)))</f>
        <v/>
      </c>
      <c r="FI158" s="91" t="str">
        <f aca="false">IF(NOT(Tasks[[#This Row],[_IsLeaf]]=1),"",IF(Tasks[[#This Row],[_AlapShift]]=0,Tasks[[#This Row],[_LeafFcstStart]],WORKDAY.INTL(Tasks[[#This Row],[_LeafFcstStart]],Tasks[[#This Row],[_AlapShift]],WorkWeek,Holidays)))</f>
        <v/>
      </c>
      <c r="FJ158" s="91" t="str">
        <f aca="false">IF(NOT(Tasks[[#This Row],[_IsLeaf]]=1),"",IF(Tasks[[#This Row],[_AlapShift]]=0,Tasks[[#This Row],[_LeafFcstFinish]],WORKDAY.INTL(Tasks[[#This Row],[_LeafFcstFinish]],Tasks[[#This Row],[_AlapShift]],WorkWeek,Holidays)))</f>
        <v/>
      </c>
      <c r="FK158" s="91" t="str">
        <f aca="false">IF(Tasks[[#This Row],[Task Name]]="","",IF(Tasks[[#This Row],[_IsSummary]],MIN(INDEX(Tasks[_ShownCalcStart],Tasks[[#This Row],[_Row]]+1):INDEX(Tasks[_ShownCalcStart],Tasks[[#This Row],[_Row]]+Tasks[[#This Row],[_Descendants]])),Tasks[[#This Row],[_ShownCalcStart]]))</f>
        <v/>
      </c>
      <c r="FL158" s="91" t="str">
        <f aca="false">IF(Tasks[[#This Row],[Task Name]]="","",IF(Tasks[[#This Row],[_IsSummary]],MAX(INDEX(Tasks[_ShownCalcFinish],Tasks[[#This Row],[_Row]]+1):INDEX(Tasks[_ShownCalcFinish],Tasks[[#This Row],[_Row]]+Tasks[[#This Row],[_Descendants]])),Tasks[[#This Row],[_ShownCalcFinish]]))</f>
        <v/>
      </c>
      <c r="FM1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8" s="43" t="n">
        <f aca="false">IF(AND(Tasks[[#This Row],[_IsLeaf]]=1,Tasks[[#This Row],[_LeafTotalWork]]&gt;0),NETWORKDAYS.INTL(ProjectStart,Tasks[[#This Row],[_ShownFcstStart]],WorkWeek,Holidays),0)</f>
        <v>0</v>
      </c>
      <c r="FZ158" s="43" t="n">
        <f aca="false">IF(AND(Tasks[[#This Row],[_IsLeaf]]=1,Tasks[[#This Row],[_LeafTotalWork]]&gt;0),MAX(Tasks[[#This Row],[_StartWorkday]],NETWORKDAYS.INTL(ProjectStart,Tasks[[#This Row],[_ShownFcstFinish]],WorkWeek,Holidays)),0)</f>
        <v>0</v>
      </c>
      <c r="GA158" s="43" t="n">
        <f aca="false">IF(AND(Tasks[[#This Row],[_IsLeaf]]=1,Tasks[[#This Row],[_LeafTotalWork]]&gt;0),Tasks[[#This Row],[_LeafWork]]/(Tasks[[#This Row],[_FinishWorkday]]-Tasks[[#This Row],[_StartWorkday]]+1),0)</f>
        <v>0</v>
      </c>
      <c r="GB158" s="43" t="n">
        <f aca="false">Tasks[[#This Row],[_WorkPerWorkday]]*(Tasks[[#This Row],[_StartWorkday]]-1)</f>
        <v>-0</v>
      </c>
      <c r="GC158" s="43" t="n">
        <f aca="false">IF(Tasks[[#This Row],[_IsLeaf]]=1,MAX(N(Tasks[[#This Row],[_Days]]),0.1),0)</f>
        <v>0</v>
      </c>
      <c r="GD158" s="43" t="n">
        <f aca="false">Tasks[[#This Row],[_WeightDur]]*Tasks[[#This Row],[_LeafProgress]]</f>
        <v>0</v>
      </c>
      <c r="GE158" s="43" t="n">
        <f aca="false">Tasks[[#This Row],[_WeightDur]]*Tasks[[#This Row],[_PlannedPct]]</f>
        <v>0</v>
      </c>
      <c r="GF1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3" t="str">
        <f aca="false">IF(AND(Tasks[[#This Row],[_IsLeaf]]=1,N(Tasks[[#This Row],[_Days]])=0,Tasks[[#This Row],[_LeafProgress]]&lt;1),Tasks[[#This Row],[_ShownFcstFinish]]+Tasks[[#This Row],[_Row]]/100000,"")</f>
        <v/>
      </c>
      <c r="GH1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8" s="43" t="str">
        <f aca="false">IF(Tasks[[#This Row],[Task Name]]="","",LEFT(Tasks[[#This Row],[WBS]],FIND(".",Tasks[[#This Row],[WBS]]&amp;".")-1))</f>
        <v/>
      </c>
      <c r="GJ158" s="43" t="str">
        <f aca="false">IF(AND(Tasks[[#This Row],[Task Name]]&lt;&gt;"",Tasks[[#This Row],[_Level]]=1),Tasks[[#This Row],[_Row]],"")</f>
        <v/>
      </c>
      <c r="GK158" s="43" t="str">
        <f aca="false">IF(AND(Tasks[[#This Row],[_IsLeaf]]=1,N(Tasks[[#This Row],[_Days]])=0),Tasks[[#This Row],[Planned Finish]]+Tasks[[#This Row],[_Row]]/100000,"")</f>
        <v/>
      </c>
      <c r="GL158" s="43" t="str">
        <f aca="false">IF(AND(Tasks[[#This Row],[_IsLeaf]]=1,Tasks[[#This Row],[_LeafProgress]]&lt;1,OR(N(Tasks[[#This Row],[Finish Var]])&gt;0,Tasks[[#This Row],[Status]]="Late Start")),MAX(0,Tasks[[#This Row],[Finish Var]])+1-Tasks[[#This Row],[_Row]]/1000000,"")</f>
        <v/>
      </c>
      <c r="GM158" s="43" t="str">
        <f aca="false">IF(AND(Tasks[[#This Row],[_IsLeaf]]=1,N(Tasks[[#This Row],[Actual Start]])=0,Tasks[[#This Row],[_ShownFcstStart]]&gt;=StatusDate,Tasks[[#This Row],[_ShownFcstStart]]&lt;=LookaheadEnd),Tasks[[#This Row],[_ShownFcstStart]]+Tasks[[#This Row],[_Row]]/100000,"")</f>
        <v/>
      </c>
      <c r="GN158" s="43" t="str">
        <f aca="false">IF(AND(Tasks[[#This Row],[_IsLeaf]]=1,Tasks[[#This Row],[_LeafProgress]]&lt;1,Tasks[[#This Row],[_ShownFcstFinish]]&gt;=StatusDate,Tasks[[#This Row],[_ShownFcstFinish]]&lt;=LookaheadEnd),Tasks[[#This Row],[_ShownFcstFinish]]+Tasks[[#This Row],[_Row]]/100000,"")</f>
        <v/>
      </c>
      <c r="GO158" s="43" t="str">
        <f aca="false">IF(Tasks[[#This Row],[_LeafCritical]],Tasks[[#This Row],[_ShownFcstStart]]+Tasks[[#This Row],[_Row]]/100000,"")</f>
        <v/>
      </c>
      <c r="GP158" s="43" t="n">
        <f aca="false">Tasks[[#This Row],[_LeafWork]]*Tasks[[#This Row],[_LeafProgress]]</f>
        <v>0</v>
      </c>
      <c r="GQ158" s="91" t="str">
        <f aca="false">IF(AND(Tasks[[#This Row],[_IsLeaf]]=1,Tasks[[#This Row],[_LeafProgress]]&gt;=1),IF(N(Tasks[[#This Row],[Actual Finish]])&gt;0,Tasks[[#This Row],[Actual Finish]],Tasks[[#This Row],[_ShownFcstFinish]]),"")</f>
        <v/>
      </c>
      <c r="GR158" s="43" t="n">
        <f aca="false">IF(Tasks[[#This Row],[_IsLeaf]]=1,N(Tasks[[#This Row],[Story Points]]),0)</f>
        <v>0</v>
      </c>
      <c r="GS158" s="43" t="str">
        <f aca="false">""</f>
        <v/>
      </c>
      <c r="GT158" s="90" t="b">
        <f aca="false">IF(Tasks[[#This Row],[Task Name]]="",FALSE(),AND(Tasks[[#This Row],[_IsLeaf]]=1,N(Tasks[[#This Row],[_Days]])=0))</f>
        <v>0</v>
      </c>
      <c r="GU158" s="91" t="n">
        <f aca="false">IF(Tasks[[#This Row],[Task Name]]="",0,IF(AND(Tasks[[#This Row],[_IsLeaf]]=1,NOT(Tasks[[#This Row],[_IsMilestone]]),N(Tasks[[#This Row],[Progress]])&gt;0),Tasks[[#This Row],[Start]],0))</f>
        <v>0</v>
      </c>
      <c r="GV158" s="91" t="n">
        <f aca="false">IF(Tasks[[#This Row],[_DoneFrom]]=0,0,IF(Tasks[[#This Row],[Progress]]&gt;=1,Tasks[[#This Row],[Finish]],MAX(Tasks[[#This Row],[_DoneFrom]],Tasks[[#This Row],[Start]]+ROUND((Tasks[[#This Row],[Finish]]-Tasks[[#This Row],[Start]]+1)*Tasks[[#This Row],[Progress]],0)-1)))</f>
        <v>0</v>
      </c>
      <c r="GW158" s="91" t="n">
        <f aca="false">IF(Tasks[[#This Row],[Task Name]]="",0,IF(OR(NOT(Tasks[[#This Row],[_IsLeaf]]=1),Tasks[[#This Row],[_IsMilestone]],N(Tasks[[#This Row],[Progress]])&gt;=1),0,IF(Tasks[[#This Row],[_DoneTo]]&gt;0,Tasks[[#This Row],[_DoneTo]]+1,Tasks[[#This Row],[Start]])))</f>
        <v>0</v>
      </c>
      <c r="GX158" s="91" t="n">
        <f aca="false">IF(Tasks[[#This Row],[_RemFrom]]=0,0,Tasks[[#This Row],[Finish]])</f>
        <v>0</v>
      </c>
      <c r="GY158" s="90" t="b">
        <f aca="false">IF(Tasks[[#This Row],[Task Name]]="",FALSE(),OR(NOT(BaselineSet),N(Tasks[[#This Row],[Baseline Start]])&gt;0))</f>
        <v>0</v>
      </c>
      <c r="GZ15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92" t="str">
        <f aca="false">IF(Tasks[[#This Row],[_IsLeaf]]=1,Tasks[[#This Row],[_Row]],"")</f>
        <v/>
      </c>
      <c r="HD158" s="92" t="str">
        <f aca="false">IFERROR(INDEX(Tasks[UID],SMALL(Tasks[_PickKey],Tasks[[#This Row],[_Row]]))&amp;" "&amp;INDEX(Tasks[Task Name],SMALL(Tasks[_PickKey],Tasks[[#This Row],[_Row]])),"")</f>
        <v/>
      </c>
      <c r="HE158" s="43" t="str">
        <f aca="false">IF(Tasks[[#This Row],[Task Name]]="","",IF(Tasks[[#This Row],[_IsSummary]],NETWORKDAYS.INTL(Tasks[[#This Row],[Start]],Tasks[[#This Row],[Finish]],WorkWeek,Holidays),N(Tasks[[#This Row],[_Days]])))</f>
        <v/>
      </c>
      <c r="HF158" s="43" t="n">
        <f aca="false">IF(Tasks[[#This Row],[Expected]]="",0,((Tasks[[#This Row],[Pessimistic]]-Tasks[[#This Row],[Optimistic]])/6)^2)</f>
        <v>0</v>
      </c>
      <c r="HG158" s="43" t="n">
        <f aca="false">IF(Tasks[[#This Row],[Expected]]="",0,Tasks[[#This Row],[Expected]]-N(Tasks[[#This Row],[_Days]]))</f>
        <v>0</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4"/>
      <c r="U159" s="23"/>
      <c r="V159" s="84"/>
      <c r="W159" s="23"/>
      <c r="X159" s="84"/>
      <c r="Y159" s="23"/>
      <c r="Z159" s="84"/>
      <c r="AA159" s="23"/>
      <c r="AB159" s="23"/>
      <c r="AC159" s="7"/>
      <c r="AD159" s="7"/>
      <c r="AE159" s="63" t="str">
        <f aca="false">IF(Tasks[[#This Row],[Task Name]]="","",IF(Tasks[[#This Row],[_IsSummary]],MIN(INDEX(Tasks[_ShownFcstStart],Tasks[[#This Row],[_Row]]+1):INDEX(Tasks[_ShownFcstStart],Tasks[[#This Row],[_Row]]+Tasks[[#This Row],[_Descendants]])),Tasks[[#This Row],[_ShownFcstStart]]))</f>
        <v/>
      </c>
      <c r="AF159" s="63"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9" s="7"/>
      <c r="AK159" s="22"/>
      <c r="AL159" s="23"/>
      <c r="AM159" s="7"/>
      <c r="AN159" s="47"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3" t="str">
        <f aca="false">IF(Tasks[[#This Row],[Task Name]]="","",IF(N(Tasks[[#This Row],[Baseline Start]])&gt;0,Tasks[[#This Row],[Baseline Start]],Tasks[[#This Row],[_CalcStart]]))</f>
        <v/>
      </c>
      <c r="AR159" s="63" t="str">
        <f aca="false">IF(Tasks[[#This Row],[Task Name]]="","",IF(N(Tasks[[#This Row],[Baseline Finish]])&gt;0,Tasks[[#This Row],[Baseline Finish]],Tasks[[#This Row],[_CalcFinish]]))</f>
        <v/>
      </c>
      <c r="AS159" s="47" t="str">
        <f aca="false">IF(Tasks[[#This Row],[Task Name]]="","",IF(Tasks[[#This Row],[Start]]&gt;=Tasks[[#This Row],[Planned Start]],NETWORKDAYS.INTL(Tasks[[#This Row],[Planned Start]],Tasks[[#This Row],[Start]],WorkWeek,Holidays)-1,1-NETWORKDAYS.INTL(Tasks[[#This Row],[Start]],Tasks[[#This Row],[Planned Start]],WorkWeek,Holidays)))</f>
        <v/>
      </c>
      <c r="AT159" s="63" t="str">
        <f aca="false">IF(Tasks[[#This Row],[Task Name]]="","",IF(Tasks[[#This Row],[_IsSummary]],MIN(INDEX(Tasks[_LeafLateStart],Tasks[[#This Row],[_Row]]+1):INDEX(Tasks[_LeafLateStart],Tasks[[#This Row],[_Row]]+Tasks[[#This Row],[_Descendants]])),Tasks[[#This Row],[_LeafLateStart]]))</f>
        <v/>
      </c>
      <c r="AU159" s="63" t="str">
        <f aca="false">IF(Tasks[[#This Row],[Task Name]]="","",IF(Tasks[[#This Row],[_IsSummary]],MAX(INDEX(Tasks[_LeafLateFinish],Tasks[[#This Row],[_Row]]+1):INDEX(Tasks[_LeafLateFinish],Tasks[[#This Row],[_Row]]+Tasks[[#This Row],[_Descendants]])),Tasks[[#This Row],[_LeafLateFinish]]))</f>
        <v/>
      </c>
      <c r="AV159" s="47"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5"/>
      <c r="BA1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6"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7"/>
      <c r="BJ159" s="22"/>
      <c r="BK159" s="47" t="str">
        <f aca="false">IF(OR(Tasks[[#This Row],[Task Name]]="",Tasks[[#This Row],[Baseline Duration]]=""),"",Tasks[[#This Row],[_SpanDays]]-N(Tasks[[#This Row],[Baseline Duration]]))</f>
        <v/>
      </c>
      <c r="BL159" s="86" t="str">
        <f aca="false">IF(OR(Tasks[[#This Row],[Task Name]]="",Tasks[[#This Row],[Baseline Work]]=""),"",Tasks[[#This Row],[Work]]-N(Tasks[[#This Row],[Baseline Work]]))</f>
        <v/>
      </c>
      <c r="BM159" s="63" t="str">
        <f aca="false">IF(Tasks[[#This Row],[Task Name]]="","",IF(OR(TakeBaseline="Yes",N(Tasks[[#This Row],[Baseline Start]])=0),Tasks[[#This Row],[Start]],Tasks[[#This Row],[Baseline Start]]))</f>
        <v/>
      </c>
      <c r="BN159" s="63" t="str">
        <f aca="false">IF(Tasks[[#This Row],[Task Name]]="","",IF(OR(TakeBaseline="Yes",N(Tasks[[#This Row],[Baseline Finish]])=0),Tasks[[#This Row],[Finish]],Tasks[[#This Row],[Baseline Finish]]))</f>
        <v/>
      </c>
      <c r="BO159" s="21" t="str">
        <f aca="false">IF(Tasks[[#This Row],[Task Name]]="","",IF(OR(TakeBaseline="Yes",N(Tasks[[#This Row],[Baseline Duration]])=0),Tasks[[#This Row],[_SpanDays]],Tasks[[#This Row],[Baseline Duration]]))</f>
        <v/>
      </c>
      <c r="BP159" s="86" t="str">
        <f aca="false">IF(Tasks[[#This Row],[Task Name]]="","",IF(OR(TakeBaseline="Yes",N(Tasks[[#This Row],[Baseline Work]])=0),Tasks[[#This Row],[Work]],Tasks[[#This Row],[Baseline Work]]))</f>
        <v/>
      </c>
      <c r="BQ159" s="7"/>
      <c r="BR159" s="7"/>
      <c r="BS159" s="22"/>
      <c r="BT159" s="88"/>
      <c r="BU159" s="23"/>
      <c r="BV159" s="23"/>
      <c r="BW159" s="23"/>
      <c r="BX159" s="89" t="str">
        <f aca="false">IF(AND(Tasks[[#This Row],[_IsLeaf]]=1,ISNUMBER(Tasks[[#This Row],[Optimistic]]),ISNUMBER(Tasks[[#This Row],[Pessimistic]])),ROUND((Tasks[[#This Row],[Optimistic]]+4*N(Tasks[[#This Row],[_Days]])+Tasks[[#This Row],[Pessimistic]])/6,1),"")</f>
        <v/>
      </c>
      <c r="BY159" s="87"/>
      <c r="BZ159" s="87"/>
      <c r="CA159" s="22"/>
      <c r="CB159" s="43" t="str">
        <f aca="false">IF(Tasks[[#This Row],[Task Name]]="","",MAX(1,N(Tasks[[#This Row],[Level]])))</f>
        <v/>
      </c>
      <c r="CC159" s="43" t="n">
        <f aca="false">ROW()-ROW(Tasks[[#Headers],[ID]])</f>
        <v>154</v>
      </c>
      <c r="CD159" s="43" t="n">
        <f aca="false">IF(OR(Tasks[[#This Row],[Task Name]]="",Tasks[[#This Row],[_Level]]&lt;=1),0,IFERROR(LOOKUP(2,1/(Tasks[[#Headers],[_Level]]:Tasks[[#This Row],[_Level]]=Tasks[[#This Row],[_Level]]-1),ROW(Tasks[[#Headers],[_Level]]:Tasks[[#This Row],[_Level]])),0))</f>
        <v>0</v>
      </c>
      <c r="CE159" s="43" t="n">
        <f aca="false">IFERROR(N(INDEX(Tasks[_Level],Tasks[[#This Row],[_Row]]+1)),0)</f>
        <v>0</v>
      </c>
      <c r="CF159" s="90" t="b">
        <f aca="false">AND(Tasks[[#This Row],[Task Name]]&lt;&gt;"",Tasks[[#This Row],[_NextLevel]]&gt;Tasks[[#This Row],[_Level]])</f>
        <v>0</v>
      </c>
      <c r="CG159" s="43" t="n">
        <f aca="false">IF(Tasks[[#This Row],[_IsSummary]],COUNTIF(Tasks[WBS],Tasks[[#This Row],[WBS]]&amp;".*"),0)</f>
        <v>0</v>
      </c>
      <c r="CH159" s="43" t="n">
        <f aca="false">IF(AND(Tasks[[#This Row],[Task Name]]&lt;&gt;"",NOT(Tasks[[#This Row],[_IsSummary]])),1,0)</f>
        <v>0</v>
      </c>
      <c r="CI159" s="43" t="n">
        <f aca="false">IF(N(Tasks[[#This Row],[_Pred1UID]])=0,0,IFERROR(MATCH(Tasks[[#This Row],[_Pred1UID]],Tasks[UID],0),-1))</f>
        <v>0</v>
      </c>
      <c r="CJ159" s="43" t="n">
        <f aca="false">IF(N(Tasks[[#This Row],[_Pred2UID]])=0,0,IFERROR(MATCH(Tasks[[#This Row],[_Pred2UID]],Tasks[UID],0),-1))</f>
        <v>0</v>
      </c>
      <c r="CK159" s="43" t="n">
        <f aca="false">IF(N(Tasks[[#This Row],[_Pred3UID]])=0,0,IFERROR(MATCH(Tasks[[#This Row],[_Pred3UID]],Tasks[UID],0),-1))</f>
        <v>0</v>
      </c>
      <c r="CL159" s="43" t="n">
        <f aca="false">IF(N(Tasks[[#This Row],[_Pred4UID]])=0,0,IFERROR(MATCH(Tasks[[#This Row],[_Pred4UID]],Tasks[UID],0),-1))</f>
        <v>0</v>
      </c>
      <c r="CM1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9" s="91" t="n">
        <f aca="false">IF(OR(Tasks[[#This Row],[_ConstraintCode]]=2,Tasks[[#This Row],[_ConstraintCode]]=3,Tasks[[#This Row],[_ConstraintCode]]=4,Tasks[[#This Row],[_ConstraintCode]]=6),Tasks[[#This Row],[_ConstraintStart]],0)</f>
        <v>0</v>
      </c>
      <c r="CP159" s="91" t="n">
        <f aca="false">IF(OR(Tasks[[#This Row],[_ConstraintCode]]=2,Tasks[[#This Row],[_ConstraintCode]]=3,Tasks[[#This Row],[_ConstraintCode]]=5,Tasks[[#This Row],[_ConstraintCode]]=7),Tasks[[#This Row],[_ConstraintStart]],2958465)</f>
        <v>2958465</v>
      </c>
      <c r="CQ1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91" t="str">
        <f aca="false">IF(NOT(Tasks[[#This Row],[_IsLeaf]]=1),"",IF(N(Tasks[[#This Row],[_Days]])&lt;=0,Tasks[[#This Row],[_LeafCalcStart]],WORKDAY.INTL(Tasks[[#This Row],[_LeafCalcStart]],Tasks[[#This Row],[_Days]]-1,WorkWeek,Holidays)))</f>
        <v/>
      </c>
      <c r="CS1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3" t="str">
        <f aca="false">IF(Tasks[[#This Row],[_Predecessors]]="","",TRIM(MID(SUBSTITUTE(SUBSTITUTE(SUBSTITUTE(UPPER(Tasks[[#This Row],[_Predecessors]]),";",",")," ",""),",",REPT(" ",99)),1,99)))</f>
        <v/>
      </c>
      <c r="CV159" s="43" t="str">
        <f aca="false">IF(Tasks[[#This Row],[_Pred1Text]]="","",IFERROR(VALUE(LEFT(Tasks[[#This Row],[_Pred1Text]],MIN(FIND("F",Tasks[[#This Row],[_Pred1Text]]&amp;"F"),FIND("S",Tasks[[#This Row],[_Pred1Text]]&amp;"S"),FIND("+",Tasks[[#This Row],[_Pred1Text]]&amp;"+"),FIND("-",Tasks[[#This Row],[_Pred1Text]]&amp;"-"))-1)),""))</f>
        <v/>
      </c>
      <c r="CW1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3" t="str">
        <f aca="false">IF(Tasks[[#This Row],[_Pred1Text]]="","",TRIM(MID(SUBSTITUTE(SUBSTITUTE(SUBSTITUTE(UPPER(Tasks[[#This Row],[_Predecessors]]),";",",")," ",""),",",REPT(" ",99)),100,99)))</f>
        <v/>
      </c>
      <c r="CZ159" s="43" t="str">
        <f aca="false">IF(Tasks[[#This Row],[_Pred2Text]]="","",IFERROR(VALUE(LEFT(Tasks[[#This Row],[_Pred2Text]],MIN(FIND("F",Tasks[[#This Row],[_Pred2Text]]&amp;"F"),FIND("S",Tasks[[#This Row],[_Pred2Text]]&amp;"S"),FIND("+",Tasks[[#This Row],[_Pred2Text]]&amp;"+"),FIND("-",Tasks[[#This Row],[_Pred2Text]]&amp;"-"))-1)),""))</f>
        <v/>
      </c>
      <c r="DA1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3" t="str">
        <f aca="false">IF(Tasks[[#This Row],[_Pred2Text]]="","",TRIM(MID(SUBSTITUTE(SUBSTITUTE(SUBSTITUTE(UPPER(Tasks[[#This Row],[_Predecessors]]),";",",")," ",""),",",REPT(" ",99)),199,99)))</f>
        <v/>
      </c>
      <c r="DD159" s="43" t="str">
        <f aca="false">IF(Tasks[[#This Row],[_Pred3Text]]="","",IFERROR(VALUE(LEFT(Tasks[[#This Row],[_Pred3Text]],MIN(FIND("F",Tasks[[#This Row],[_Pred3Text]]&amp;"F"),FIND("S",Tasks[[#This Row],[_Pred3Text]]&amp;"S"),FIND("+",Tasks[[#This Row],[_Pred3Text]]&amp;"+"),FIND("-",Tasks[[#This Row],[_Pred3Text]]&amp;"-"))-1)),""))</f>
        <v/>
      </c>
      <c r="DE1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3" t="str">
        <f aca="false">IF(Tasks[[#This Row],[_Pred3Text]]="","",TRIM(MID(SUBSTITUTE(SUBSTITUTE(SUBSTITUTE(UPPER(Tasks[[#This Row],[_Predecessors]]),";",",")," ",""),",",REPT(" ",99)),298,99)))</f>
        <v/>
      </c>
      <c r="DH159" s="43" t="str">
        <f aca="false">IF(Tasks[[#This Row],[_Pred4Text]]="","",IFERROR(VALUE(LEFT(Tasks[[#This Row],[_Pred4Text]],MIN(FIND("F",Tasks[[#This Row],[_Pred4Text]]&amp;"F"),FIND("S",Tasks[[#This Row],[_Pred4Text]]&amp;"S"),FIND("+",Tasks[[#This Row],[_Pred4Text]]&amp;"+"),FIND("-",Tasks[[#This Row],[_Pred4Text]]&amp;"-"))-1)),""))</f>
        <v/>
      </c>
      <c r="DI1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3" t="str">
        <f aca="false">IF(OR(Tasks[[#This Row],[Task Name]]="",Tasks[[#This Row],[_Resources]]=""),"",TRIM(MID(SUBSTITUTE(Tasks[[#This Row],[_Resources]],",",REPT(" ",99)),1,99)))</f>
        <v/>
      </c>
      <c r="DL159" s="43" t="str">
        <f aca="false">IF(Tasks[[#This Row],[_Res1Text]]="","",TRIM(MID(SUBSTITUTE(Tasks[[#This Row],[_Resources]],",",REPT(" ",99)),100,99)))</f>
        <v/>
      </c>
      <c r="DM159" s="43" t="str">
        <f aca="false">IF(Tasks[[#This Row],[_Res2Text]]="","",TRIM(MID(SUBSTITUTE(Tasks[[#This Row],[_Resources]],",",REPT(" ",99)),199,99)))</f>
        <v/>
      </c>
      <c r="DN159" s="43" t="str">
        <f aca="false">IF(Tasks[[#This Row],[_Res3Text]]="","",TRIM(MID(SUBSTITUTE(Tasks[[#This Row],[_Resources]],",",REPT(" ",99)),298,99)))</f>
        <v/>
      </c>
      <c r="DO159" s="43" t="n">
        <f aca="false">IF(Tasks[[#This Row],[_Res1Text]]="",0,IFERROR(MATCH(TRIM(LEFT(Tasks[[#This Row],[_Res1Text]],FIND("[",Tasks[[#This Row],[_Res1Text]]&amp;"[")-1)),res_Name,0),IFERROR(MATCH(TRIM(LEFT(Tasks[[#This Row],[_Res1Text]],FIND("[",Tasks[[#This Row],[_Res1Text]]&amp;"[")-1)),res_Initials,0),0)))</f>
        <v>0</v>
      </c>
      <c r="DP159" s="43" t="n">
        <f aca="false">IF(Tasks[[#This Row],[_Res2Text]]="",0,IFERROR(MATCH(TRIM(LEFT(Tasks[[#This Row],[_Res2Text]],FIND("[",Tasks[[#This Row],[_Res2Text]]&amp;"[")-1)),res_Name,0),IFERROR(MATCH(TRIM(LEFT(Tasks[[#This Row],[_Res2Text]],FIND("[",Tasks[[#This Row],[_Res2Text]]&amp;"[")-1)),res_Initials,0),0)))</f>
        <v>0</v>
      </c>
      <c r="DQ159" s="43" t="n">
        <f aca="false">IF(Tasks[[#This Row],[_Res3Text]]="",0,IFERROR(MATCH(TRIM(LEFT(Tasks[[#This Row],[_Res3Text]],FIND("[",Tasks[[#This Row],[_Res3Text]]&amp;"[")-1)),res_Name,0),IFERROR(MATCH(TRIM(LEFT(Tasks[[#This Row],[_Res3Text]],FIND("[",Tasks[[#This Row],[_Res3Text]]&amp;"[")-1)),res_Initials,0),0)))</f>
        <v>0</v>
      </c>
      <c r="DR159" s="43" t="n">
        <f aca="false">IF(Tasks[[#This Row],[_Res4Text]]="",0,IFERROR(MATCH(TRIM(LEFT(Tasks[[#This Row],[_Res4Text]],FIND("[",Tasks[[#This Row],[_Res4Text]]&amp;"[")-1)),res_Name,0),IFERROR(MATCH(TRIM(LEFT(Tasks[[#This Row],[_Res4Text]],FIND("[",Tasks[[#This Row],[_Res4Text]]&amp;"[")-1)),res_Initials,0),0)))</f>
        <v>0</v>
      </c>
      <c r="DS159" s="43" t="str">
        <f aca="false">IF(Tasks[[#This Row],[_Res1Text]]="","",IF(Tasks[[#This Row],[_Res1Row]]&gt;0,INDEX(res_Name,Tasks[[#This Row],[_Res1Row]]),TRIM(LEFT(Tasks[[#This Row],[_Res1Text]],FIND("[",Tasks[[#This Row],[_Res1Text]]&amp;"[")-1))))</f>
        <v/>
      </c>
      <c r="DT1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3" t="n">
        <f aca="false">IF(NOT(Tasks[[#This Row],[_IsLeaf]]=1),0,(Tasks[[#This Row],[_Resource1]]&lt;&gt;"")+(Tasks[[#This Row],[_Res2]]&lt;&gt;"")+(Tasks[[#This Row],[_Res3]]&lt;&gt;"")+(Tasks[[#This Row],[_Res4]]&lt;&gt;""))</f>
        <v>0</v>
      </c>
      <c r="DV159" s="43" t="str">
        <f aca="false">IF(Tasks[[#This Row],[_Res2Text]]="","",IF(Tasks[[#This Row],[_Res2Row]]&gt;0,INDEX(res_Name,Tasks[[#This Row],[_Res2Row]]),TRIM(LEFT(Tasks[[#This Row],[_Res2Text]],FIND("[",Tasks[[#This Row],[_Res2Text]]&amp;"[")-1))))</f>
        <v/>
      </c>
      <c r="DW1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3" t="n">
        <f aca="false">IF(OR(NOT(Tasks[[#This Row],[_IsLeaf]]=1),Tasks[[#This Row],[_Res2Row]]=0),0,N(Tasks[[#This Row],[_Days]])*HoursPerDay*IF(Tasks[[#This Row],[_Res2Units]]="",DefaultUnits,Tasks[[#This Row],[_Res2Units]]))</f>
        <v>0</v>
      </c>
      <c r="DY159" s="43" t="n">
        <f aca="false">IF(AND(AND(Tasks[[#This Row],[_IsLeaf]]=1,Tasks[[#This Row],[_LeafTotalWork]]&gt;0),Tasks[[#This Row],[_Res2Work]]&gt;0),Tasks[[#This Row],[_Res2Work]]/(Tasks[[#This Row],[_FinishWorkday]]-Tasks[[#This Row],[_StartWorkday]]+1),0)</f>
        <v>0</v>
      </c>
      <c r="DZ159" s="43" t="n">
        <f aca="false">Tasks[[#This Row],[_Res2WorkPerWD]]*MAX(0,Tasks[[#This Row],[_StartWorkday]]-1)</f>
        <v>0</v>
      </c>
      <c r="EA159" s="43" t="n">
        <f aca="false">Tasks[[#This Row],[_Res2Work]]*Tasks[[#This Row],[_LeafProgress]]</f>
        <v>0</v>
      </c>
      <c r="EB159" s="43" t="str">
        <f aca="false">IF(Tasks[[#This Row],[_Res3Text]]="","",IF(Tasks[[#This Row],[_Res3Row]]&gt;0,INDEX(res_Name,Tasks[[#This Row],[_Res3Row]]),TRIM(LEFT(Tasks[[#This Row],[_Res3Text]],FIND("[",Tasks[[#This Row],[_Res3Text]]&amp;"[")-1))))</f>
        <v/>
      </c>
      <c r="EC1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3" t="n">
        <f aca="false">IF(OR(NOT(Tasks[[#This Row],[_IsLeaf]]=1),Tasks[[#This Row],[_Res3Row]]=0),0,N(Tasks[[#This Row],[_Days]])*HoursPerDay*IF(Tasks[[#This Row],[_Res3Units]]="",DefaultUnits,Tasks[[#This Row],[_Res3Units]]))</f>
        <v>0</v>
      </c>
      <c r="EE159" s="43" t="n">
        <f aca="false">IF(AND(AND(Tasks[[#This Row],[_IsLeaf]]=1,Tasks[[#This Row],[_LeafTotalWork]]&gt;0),Tasks[[#This Row],[_Res3Work]]&gt;0),Tasks[[#This Row],[_Res3Work]]/(Tasks[[#This Row],[_FinishWorkday]]-Tasks[[#This Row],[_StartWorkday]]+1),0)</f>
        <v>0</v>
      </c>
      <c r="EF159" s="43" t="n">
        <f aca="false">Tasks[[#This Row],[_Res3WorkPerWD]]*MAX(0,Tasks[[#This Row],[_StartWorkday]]-1)</f>
        <v>0</v>
      </c>
      <c r="EG159" s="43" t="n">
        <f aca="false">Tasks[[#This Row],[_Res3Work]]*Tasks[[#This Row],[_LeafProgress]]</f>
        <v>0</v>
      </c>
      <c r="EH159" s="43" t="str">
        <f aca="false">IF(Tasks[[#This Row],[_Res4Text]]="","",IF(Tasks[[#This Row],[_Res4Row]]&gt;0,INDEX(res_Name,Tasks[[#This Row],[_Res4Row]]),TRIM(LEFT(Tasks[[#This Row],[_Res4Text]],FIND("[",Tasks[[#This Row],[_Res4Text]]&amp;"[")-1))))</f>
        <v/>
      </c>
      <c r="EI1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3" t="n">
        <f aca="false">IF(OR(NOT(Tasks[[#This Row],[_IsLeaf]]=1),Tasks[[#This Row],[_Res4Row]]=0),0,N(Tasks[[#This Row],[_Days]])*HoursPerDay*IF(Tasks[[#This Row],[_Res4Units]]="",DefaultUnits,Tasks[[#This Row],[_Res4Units]]))</f>
        <v>0</v>
      </c>
      <c r="EK159" s="43" t="n">
        <f aca="false">IF(AND(AND(Tasks[[#This Row],[_IsLeaf]]=1,Tasks[[#This Row],[_LeafTotalWork]]&gt;0),Tasks[[#This Row],[_Res4Work]]&gt;0),Tasks[[#This Row],[_Res4Work]]/(Tasks[[#This Row],[_FinishWorkday]]-Tasks[[#This Row],[_StartWorkday]]+1),0)</f>
        <v>0</v>
      </c>
      <c r="EL159" s="43" t="n">
        <f aca="false">Tasks[[#This Row],[_Res4WorkPerWD]]*MAX(0,Tasks[[#This Row],[_StartWorkday]]-1)</f>
        <v>0</v>
      </c>
      <c r="EM159" s="43" t="n">
        <f aca="false">Tasks[[#This Row],[_Res4Work]]*Tasks[[#This Row],[_LeafProgress]]</f>
        <v>0</v>
      </c>
      <c r="EN159" s="43" t="n">
        <f aca="false">IF(ISNUMBER(Tasks[[#This Row],[% Complete]]),Tasks[[#This Row],[% Complete]],IF(Tasks[[#This Row],[Stage]]="",0,IFERROR(INDEX(stg_Pct,MATCH(Tasks[[#This Row],[Stage]],stg_Name,0)),0)))</f>
        <v>0</v>
      </c>
      <c r="EO159" s="43" t="n">
        <f aca="false">IF(NOT(Tasks[[#This Row],[_IsLeaf]]=1),0,IF(N(Tasks[[#This Row],[Actual Finish]])&gt;0,1,MIN(1,Tasks[[#This Row],[_Pct]])))</f>
        <v>0</v>
      </c>
      <c r="EP159" s="43" t="n">
        <f aca="false">IF(OR(NOT(Tasks[[#This Row],[_IsLeaf]]=1),Tasks[[#This Row],[_Res1Row]]=0),0,N(Tasks[[#This Row],[_Days]])*HoursPerDay*IF(Tasks[[#This Row],[_Units1]]="",DefaultUnits,Tasks[[#This Row],[_Units1]]))</f>
        <v>0</v>
      </c>
      <c r="EQ159" s="43" t="n">
        <f aca="false">Tasks[[#This Row],[_LeafWork]]+Tasks[[#This Row],[_Res2Work]]+Tasks[[#This Row],[_Res3Work]]+Tasks[[#This Row],[_Res4Work]]</f>
        <v>0</v>
      </c>
      <c r="ER1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3" t="n">
        <f aca="false">IF(NOT(Tasks[[#This Row],[_IsLeaf]]=1),0,MAX(_xlfn.MAXIFS(Tasks[_Row],Tasks[_Pred1UID],Tasks[[#This Row],[UID]]),_xlfn.MAXIFS(Tasks[_Row],Tasks[_Pred2UID],Tasks[[#This Row],[UID]]),_xlfn.MAXIFS(Tasks[_Row],Tasks[_Pred3UID],Tasks[[#This Row],[UID]]),_xlfn.MAXIFS(Tasks[_Row],Tasks[_Pred4UID],Tasks[[#This Row],[UID]])))</f>
        <v>0</v>
      </c>
      <c r="FA1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91" t="str">
        <f aca="false">IF(NOT(Tasks[[#This Row],[_IsLeaf]]=1),"",IF(N(Tasks[[#This Row],[_Days]])&lt;=0,Tasks[[#This Row],[_LeafLateFinish]],WORKDAY.INTL(Tasks[[#This Row],[_LeafLateFinish]],-(Tasks[[#This Row],[_Days]]-1),WorkWeek,Holidays)))</f>
        <v/>
      </c>
      <c r="FD1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9" s="90" t="b">
        <f aca="false">AND(Tasks[[#This Row],[_IsLeaf]]=1,Tasks[[#This Row],[_LeafProgress]]&lt;1,N(Tasks[[#This Row],[_LeafTotalSlack]])&lt;=CriticalSlackDays)</f>
        <v>0</v>
      </c>
      <c r="FF159" s="43" t="n">
        <f aca="false">IF(AND(Tasks[[#This Row],[_IsLeaf]]=1,Tasks[[#This Row],[_ConstraintCode]]=1,Tasks[[#This Row],[Mode]]&lt;&gt;"Manual",N(Tasks[[#This Row],[Actual Start]])=0),MAX(0,N(Tasks[[#This Row],[Free Slack]])),0)</f>
        <v>0</v>
      </c>
      <c r="FG159" s="91" t="str">
        <f aca="false">IF(NOT(Tasks[[#This Row],[_IsLeaf]]=1),"",IF(Tasks[[#This Row],[_AlapShift]]=0,Tasks[[#This Row],[_LeafCalcStart]],WORKDAY.INTL(Tasks[[#This Row],[_LeafCalcStart]],Tasks[[#This Row],[_AlapShift]],WorkWeek,Holidays)))</f>
        <v/>
      </c>
      <c r="FH159" s="91" t="str">
        <f aca="false">IF(NOT(Tasks[[#This Row],[_IsLeaf]]=1),"",IF(Tasks[[#This Row],[_AlapShift]]=0,Tasks[[#This Row],[_LeafCalcFinish]],WORKDAY.INTL(Tasks[[#This Row],[_LeafCalcFinish]],Tasks[[#This Row],[_AlapShift]],WorkWeek,Holidays)))</f>
        <v/>
      </c>
      <c r="FI159" s="91" t="str">
        <f aca="false">IF(NOT(Tasks[[#This Row],[_IsLeaf]]=1),"",IF(Tasks[[#This Row],[_AlapShift]]=0,Tasks[[#This Row],[_LeafFcstStart]],WORKDAY.INTL(Tasks[[#This Row],[_LeafFcstStart]],Tasks[[#This Row],[_AlapShift]],WorkWeek,Holidays)))</f>
        <v/>
      </c>
      <c r="FJ159" s="91" t="str">
        <f aca="false">IF(NOT(Tasks[[#This Row],[_IsLeaf]]=1),"",IF(Tasks[[#This Row],[_AlapShift]]=0,Tasks[[#This Row],[_LeafFcstFinish]],WORKDAY.INTL(Tasks[[#This Row],[_LeafFcstFinish]],Tasks[[#This Row],[_AlapShift]],WorkWeek,Holidays)))</f>
        <v/>
      </c>
      <c r="FK159" s="91" t="str">
        <f aca="false">IF(Tasks[[#This Row],[Task Name]]="","",IF(Tasks[[#This Row],[_IsSummary]],MIN(INDEX(Tasks[_ShownCalcStart],Tasks[[#This Row],[_Row]]+1):INDEX(Tasks[_ShownCalcStart],Tasks[[#This Row],[_Row]]+Tasks[[#This Row],[_Descendants]])),Tasks[[#This Row],[_ShownCalcStart]]))</f>
        <v/>
      </c>
      <c r="FL159" s="91" t="str">
        <f aca="false">IF(Tasks[[#This Row],[Task Name]]="","",IF(Tasks[[#This Row],[_IsSummary]],MAX(INDEX(Tasks[_ShownCalcFinish],Tasks[[#This Row],[_Row]]+1):INDEX(Tasks[_ShownCalcFinish],Tasks[[#This Row],[_Row]]+Tasks[[#This Row],[_Descendants]])),Tasks[[#This Row],[_ShownCalcFinish]]))</f>
        <v/>
      </c>
      <c r="FM1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9" s="43" t="n">
        <f aca="false">IF(AND(Tasks[[#This Row],[_IsLeaf]]=1,Tasks[[#This Row],[_LeafTotalWork]]&gt;0),NETWORKDAYS.INTL(ProjectStart,Tasks[[#This Row],[_ShownFcstStart]],WorkWeek,Holidays),0)</f>
        <v>0</v>
      </c>
      <c r="FZ159" s="43" t="n">
        <f aca="false">IF(AND(Tasks[[#This Row],[_IsLeaf]]=1,Tasks[[#This Row],[_LeafTotalWork]]&gt;0),MAX(Tasks[[#This Row],[_StartWorkday]],NETWORKDAYS.INTL(ProjectStart,Tasks[[#This Row],[_ShownFcstFinish]],WorkWeek,Holidays)),0)</f>
        <v>0</v>
      </c>
      <c r="GA159" s="43" t="n">
        <f aca="false">IF(AND(Tasks[[#This Row],[_IsLeaf]]=1,Tasks[[#This Row],[_LeafTotalWork]]&gt;0),Tasks[[#This Row],[_LeafWork]]/(Tasks[[#This Row],[_FinishWorkday]]-Tasks[[#This Row],[_StartWorkday]]+1),0)</f>
        <v>0</v>
      </c>
      <c r="GB159" s="43" t="n">
        <f aca="false">Tasks[[#This Row],[_WorkPerWorkday]]*(Tasks[[#This Row],[_StartWorkday]]-1)</f>
        <v>-0</v>
      </c>
      <c r="GC159" s="43" t="n">
        <f aca="false">IF(Tasks[[#This Row],[_IsLeaf]]=1,MAX(N(Tasks[[#This Row],[_Days]]),0.1),0)</f>
        <v>0</v>
      </c>
      <c r="GD159" s="43" t="n">
        <f aca="false">Tasks[[#This Row],[_WeightDur]]*Tasks[[#This Row],[_LeafProgress]]</f>
        <v>0</v>
      </c>
      <c r="GE159" s="43" t="n">
        <f aca="false">Tasks[[#This Row],[_WeightDur]]*Tasks[[#This Row],[_PlannedPct]]</f>
        <v>0</v>
      </c>
      <c r="GF1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3" t="str">
        <f aca="false">IF(AND(Tasks[[#This Row],[_IsLeaf]]=1,N(Tasks[[#This Row],[_Days]])=0,Tasks[[#This Row],[_LeafProgress]]&lt;1),Tasks[[#This Row],[_ShownFcstFinish]]+Tasks[[#This Row],[_Row]]/100000,"")</f>
        <v/>
      </c>
      <c r="GH1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9" s="43" t="str">
        <f aca="false">IF(Tasks[[#This Row],[Task Name]]="","",LEFT(Tasks[[#This Row],[WBS]],FIND(".",Tasks[[#This Row],[WBS]]&amp;".")-1))</f>
        <v/>
      </c>
      <c r="GJ159" s="43" t="str">
        <f aca="false">IF(AND(Tasks[[#This Row],[Task Name]]&lt;&gt;"",Tasks[[#This Row],[_Level]]=1),Tasks[[#This Row],[_Row]],"")</f>
        <v/>
      </c>
      <c r="GK159" s="43" t="str">
        <f aca="false">IF(AND(Tasks[[#This Row],[_IsLeaf]]=1,N(Tasks[[#This Row],[_Days]])=0),Tasks[[#This Row],[Planned Finish]]+Tasks[[#This Row],[_Row]]/100000,"")</f>
        <v/>
      </c>
      <c r="GL159" s="43" t="str">
        <f aca="false">IF(AND(Tasks[[#This Row],[_IsLeaf]]=1,Tasks[[#This Row],[_LeafProgress]]&lt;1,OR(N(Tasks[[#This Row],[Finish Var]])&gt;0,Tasks[[#This Row],[Status]]="Late Start")),MAX(0,Tasks[[#This Row],[Finish Var]])+1-Tasks[[#This Row],[_Row]]/1000000,"")</f>
        <v/>
      </c>
      <c r="GM159" s="43" t="str">
        <f aca="false">IF(AND(Tasks[[#This Row],[_IsLeaf]]=1,N(Tasks[[#This Row],[Actual Start]])=0,Tasks[[#This Row],[_ShownFcstStart]]&gt;=StatusDate,Tasks[[#This Row],[_ShownFcstStart]]&lt;=LookaheadEnd),Tasks[[#This Row],[_ShownFcstStart]]+Tasks[[#This Row],[_Row]]/100000,"")</f>
        <v/>
      </c>
      <c r="GN159" s="43" t="str">
        <f aca="false">IF(AND(Tasks[[#This Row],[_IsLeaf]]=1,Tasks[[#This Row],[_LeafProgress]]&lt;1,Tasks[[#This Row],[_ShownFcstFinish]]&gt;=StatusDate,Tasks[[#This Row],[_ShownFcstFinish]]&lt;=LookaheadEnd),Tasks[[#This Row],[_ShownFcstFinish]]+Tasks[[#This Row],[_Row]]/100000,"")</f>
        <v/>
      </c>
      <c r="GO159" s="43" t="str">
        <f aca="false">IF(Tasks[[#This Row],[_LeafCritical]],Tasks[[#This Row],[_ShownFcstStart]]+Tasks[[#This Row],[_Row]]/100000,"")</f>
        <v/>
      </c>
      <c r="GP159" s="43" t="n">
        <f aca="false">Tasks[[#This Row],[_LeafWork]]*Tasks[[#This Row],[_LeafProgress]]</f>
        <v>0</v>
      </c>
      <c r="GQ159" s="91" t="str">
        <f aca="false">IF(AND(Tasks[[#This Row],[_IsLeaf]]=1,Tasks[[#This Row],[_LeafProgress]]&gt;=1),IF(N(Tasks[[#This Row],[Actual Finish]])&gt;0,Tasks[[#This Row],[Actual Finish]],Tasks[[#This Row],[_ShownFcstFinish]]),"")</f>
        <v/>
      </c>
      <c r="GR159" s="43" t="n">
        <f aca="false">IF(Tasks[[#This Row],[_IsLeaf]]=1,N(Tasks[[#This Row],[Story Points]]),0)</f>
        <v>0</v>
      </c>
      <c r="GS159" s="43" t="str">
        <f aca="false">""</f>
        <v/>
      </c>
      <c r="GT159" s="90" t="b">
        <f aca="false">IF(Tasks[[#This Row],[Task Name]]="",FALSE(),AND(Tasks[[#This Row],[_IsLeaf]]=1,N(Tasks[[#This Row],[_Days]])=0))</f>
        <v>0</v>
      </c>
      <c r="GU159" s="91" t="n">
        <f aca="false">IF(Tasks[[#This Row],[Task Name]]="",0,IF(AND(Tasks[[#This Row],[_IsLeaf]]=1,NOT(Tasks[[#This Row],[_IsMilestone]]),N(Tasks[[#This Row],[Progress]])&gt;0),Tasks[[#This Row],[Start]],0))</f>
        <v>0</v>
      </c>
      <c r="GV159" s="91" t="n">
        <f aca="false">IF(Tasks[[#This Row],[_DoneFrom]]=0,0,IF(Tasks[[#This Row],[Progress]]&gt;=1,Tasks[[#This Row],[Finish]],MAX(Tasks[[#This Row],[_DoneFrom]],Tasks[[#This Row],[Start]]+ROUND((Tasks[[#This Row],[Finish]]-Tasks[[#This Row],[Start]]+1)*Tasks[[#This Row],[Progress]],0)-1)))</f>
        <v>0</v>
      </c>
      <c r="GW159" s="91" t="n">
        <f aca="false">IF(Tasks[[#This Row],[Task Name]]="",0,IF(OR(NOT(Tasks[[#This Row],[_IsLeaf]]=1),Tasks[[#This Row],[_IsMilestone]],N(Tasks[[#This Row],[Progress]])&gt;=1),0,IF(Tasks[[#This Row],[_DoneTo]]&gt;0,Tasks[[#This Row],[_DoneTo]]+1,Tasks[[#This Row],[Start]])))</f>
        <v>0</v>
      </c>
      <c r="GX159" s="91" t="n">
        <f aca="false">IF(Tasks[[#This Row],[_RemFrom]]=0,0,Tasks[[#This Row],[Finish]])</f>
        <v>0</v>
      </c>
      <c r="GY159" s="90" t="b">
        <f aca="false">IF(Tasks[[#This Row],[Task Name]]="",FALSE(),OR(NOT(BaselineSet),N(Tasks[[#This Row],[Baseline Start]])&gt;0))</f>
        <v>0</v>
      </c>
      <c r="GZ15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92" t="str">
        <f aca="false">IF(Tasks[[#This Row],[_IsLeaf]]=1,Tasks[[#This Row],[_Row]],"")</f>
        <v/>
      </c>
      <c r="HD159" s="92" t="str">
        <f aca="false">IFERROR(INDEX(Tasks[UID],SMALL(Tasks[_PickKey],Tasks[[#This Row],[_Row]]))&amp;" "&amp;INDEX(Tasks[Task Name],SMALL(Tasks[_PickKey],Tasks[[#This Row],[_Row]])),"")</f>
        <v/>
      </c>
      <c r="HE159" s="43" t="str">
        <f aca="false">IF(Tasks[[#This Row],[Task Name]]="","",IF(Tasks[[#This Row],[_IsSummary]],NETWORKDAYS.INTL(Tasks[[#This Row],[Start]],Tasks[[#This Row],[Finish]],WorkWeek,Holidays),N(Tasks[[#This Row],[_Days]])))</f>
        <v/>
      </c>
      <c r="HF159" s="43" t="n">
        <f aca="false">IF(Tasks[[#This Row],[Expected]]="",0,((Tasks[[#This Row],[Pessimistic]]-Tasks[[#This Row],[Optimistic]])/6)^2)</f>
        <v>0</v>
      </c>
      <c r="HG159" s="43" t="n">
        <f aca="false">IF(Tasks[[#This Row],[Expected]]="",0,Tasks[[#This Row],[Expected]]-N(Tasks[[#This Row],[_Days]]))</f>
        <v>0</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4"/>
      <c r="U160" s="23"/>
      <c r="V160" s="84"/>
      <c r="W160" s="23"/>
      <c r="X160" s="84"/>
      <c r="Y160" s="23"/>
      <c r="Z160" s="84"/>
      <c r="AA160" s="23"/>
      <c r="AB160" s="23"/>
      <c r="AC160" s="7"/>
      <c r="AD160" s="7"/>
      <c r="AE160" s="63" t="str">
        <f aca="false">IF(Tasks[[#This Row],[Task Name]]="","",IF(Tasks[[#This Row],[_IsSummary]],MIN(INDEX(Tasks[_ShownFcstStart],Tasks[[#This Row],[_Row]]+1):INDEX(Tasks[_ShownFcstStart],Tasks[[#This Row],[_Row]]+Tasks[[#This Row],[_Descendants]])),Tasks[[#This Row],[_ShownFcstStart]]))</f>
        <v/>
      </c>
      <c r="AF160" s="63"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0" s="7"/>
      <c r="AK160" s="22"/>
      <c r="AL160" s="23"/>
      <c r="AM160" s="7"/>
      <c r="AN160" s="47"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3" t="str">
        <f aca="false">IF(Tasks[[#This Row],[Task Name]]="","",IF(N(Tasks[[#This Row],[Baseline Start]])&gt;0,Tasks[[#This Row],[Baseline Start]],Tasks[[#This Row],[_CalcStart]]))</f>
        <v/>
      </c>
      <c r="AR160" s="63" t="str">
        <f aca="false">IF(Tasks[[#This Row],[Task Name]]="","",IF(N(Tasks[[#This Row],[Baseline Finish]])&gt;0,Tasks[[#This Row],[Baseline Finish]],Tasks[[#This Row],[_CalcFinish]]))</f>
        <v/>
      </c>
      <c r="AS160" s="47" t="str">
        <f aca="false">IF(Tasks[[#This Row],[Task Name]]="","",IF(Tasks[[#This Row],[Start]]&gt;=Tasks[[#This Row],[Planned Start]],NETWORKDAYS.INTL(Tasks[[#This Row],[Planned Start]],Tasks[[#This Row],[Start]],WorkWeek,Holidays)-1,1-NETWORKDAYS.INTL(Tasks[[#This Row],[Start]],Tasks[[#This Row],[Planned Start]],WorkWeek,Holidays)))</f>
        <v/>
      </c>
      <c r="AT160" s="63" t="str">
        <f aca="false">IF(Tasks[[#This Row],[Task Name]]="","",IF(Tasks[[#This Row],[_IsSummary]],MIN(INDEX(Tasks[_LeafLateStart],Tasks[[#This Row],[_Row]]+1):INDEX(Tasks[_LeafLateStart],Tasks[[#This Row],[_Row]]+Tasks[[#This Row],[_Descendants]])),Tasks[[#This Row],[_LeafLateStart]]))</f>
        <v/>
      </c>
      <c r="AU160" s="63" t="str">
        <f aca="false">IF(Tasks[[#This Row],[Task Name]]="","",IF(Tasks[[#This Row],[_IsSummary]],MAX(INDEX(Tasks[_LeafLateFinish],Tasks[[#This Row],[_Row]]+1):INDEX(Tasks[_LeafLateFinish],Tasks[[#This Row],[_Row]]+Tasks[[#This Row],[_Descendants]])),Tasks[[#This Row],[_LeafLateFinish]]))</f>
        <v/>
      </c>
      <c r="AV160" s="47"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5"/>
      <c r="BA1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6"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7"/>
      <c r="BJ160" s="22"/>
      <c r="BK160" s="47" t="str">
        <f aca="false">IF(OR(Tasks[[#This Row],[Task Name]]="",Tasks[[#This Row],[Baseline Duration]]=""),"",Tasks[[#This Row],[_SpanDays]]-N(Tasks[[#This Row],[Baseline Duration]]))</f>
        <v/>
      </c>
      <c r="BL160" s="86" t="str">
        <f aca="false">IF(OR(Tasks[[#This Row],[Task Name]]="",Tasks[[#This Row],[Baseline Work]]=""),"",Tasks[[#This Row],[Work]]-N(Tasks[[#This Row],[Baseline Work]]))</f>
        <v/>
      </c>
      <c r="BM160" s="63" t="str">
        <f aca="false">IF(Tasks[[#This Row],[Task Name]]="","",IF(OR(TakeBaseline="Yes",N(Tasks[[#This Row],[Baseline Start]])=0),Tasks[[#This Row],[Start]],Tasks[[#This Row],[Baseline Start]]))</f>
        <v/>
      </c>
      <c r="BN160" s="63" t="str">
        <f aca="false">IF(Tasks[[#This Row],[Task Name]]="","",IF(OR(TakeBaseline="Yes",N(Tasks[[#This Row],[Baseline Finish]])=0),Tasks[[#This Row],[Finish]],Tasks[[#This Row],[Baseline Finish]]))</f>
        <v/>
      </c>
      <c r="BO160" s="21" t="str">
        <f aca="false">IF(Tasks[[#This Row],[Task Name]]="","",IF(OR(TakeBaseline="Yes",N(Tasks[[#This Row],[Baseline Duration]])=0),Tasks[[#This Row],[_SpanDays]],Tasks[[#This Row],[Baseline Duration]]))</f>
        <v/>
      </c>
      <c r="BP160" s="86" t="str">
        <f aca="false">IF(Tasks[[#This Row],[Task Name]]="","",IF(OR(TakeBaseline="Yes",N(Tasks[[#This Row],[Baseline Work]])=0),Tasks[[#This Row],[Work]],Tasks[[#This Row],[Baseline Work]]))</f>
        <v/>
      </c>
      <c r="BQ160" s="7"/>
      <c r="BR160" s="7"/>
      <c r="BS160" s="22"/>
      <c r="BT160" s="88"/>
      <c r="BU160" s="23"/>
      <c r="BV160" s="23"/>
      <c r="BW160" s="23"/>
      <c r="BX160" s="89" t="str">
        <f aca="false">IF(AND(Tasks[[#This Row],[_IsLeaf]]=1,ISNUMBER(Tasks[[#This Row],[Optimistic]]),ISNUMBER(Tasks[[#This Row],[Pessimistic]])),ROUND((Tasks[[#This Row],[Optimistic]]+4*N(Tasks[[#This Row],[_Days]])+Tasks[[#This Row],[Pessimistic]])/6,1),"")</f>
        <v/>
      </c>
      <c r="BY160" s="87"/>
      <c r="BZ160" s="87"/>
      <c r="CA160" s="22"/>
      <c r="CB160" s="43" t="str">
        <f aca="false">IF(Tasks[[#This Row],[Task Name]]="","",MAX(1,N(Tasks[[#This Row],[Level]])))</f>
        <v/>
      </c>
      <c r="CC160" s="43" t="n">
        <f aca="false">ROW()-ROW(Tasks[[#Headers],[ID]])</f>
        <v>155</v>
      </c>
      <c r="CD160" s="43" t="n">
        <f aca="false">IF(OR(Tasks[[#This Row],[Task Name]]="",Tasks[[#This Row],[_Level]]&lt;=1),0,IFERROR(LOOKUP(2,1/(Tasks[[#Headers],[_Level]]:Tasks[[#This Row],[_Level]]=Tasks[[#This Row],[_Level]]-1),ROW(Tasks[[#Headers],[_Level]]:Tasks[[#This Row],[_Level]])),0))</f>
        <v>0</v>
      </c>
      <c r="CE160" s="43" t="n">
        <f aca="false">IFERROR(N(INDEX(Tasks[_Level],Tasks[[#This Row],[_Row]]+1)),0)</f>
        <v>0</v>
      </c>
      <c r="CF160" s="90" t="b">
        <f aca="false">AND(Tasks[[#This Row],[Task Name]]&lt;&gt;"",Tasks[[#This Row],[_NextLevel]]&gt;Tasks[[#This Row],[_Level]])</f>
        <v>0</v>
      </c>
      <c r="CG160" s="43" t="n">
        <f aca="false">IF(Tasks[[#This Row],[_IsSummary]],COUNTIF(Tasks[WBS],Tasks[[#This Row],[WBS]]&amp;".*"),0)</f>
        <v>0</v>
      </c>
      <c r="CH160" s="43" t="n">
        <f aca="false">IF(AND(Tasks[[#This Row],[Task Name]]&lt;&gt;"",NOT(Tasks[[#This Row],[_IsSummary]])),1,0)</f>
        <v>0</v>
      </c>
      <c r="CI160" s="43" t="n">
        <f aca="false">IF(N(Tasks[[#This Row],[_Pred1UID]])=0,0,IFERROR(MATCH(Tasks[[#This Row],[_Pred1UID]],Tasks[UID],0),-1))</f>
        <v>0</v>
      </c>
      <c r="CJ160" s="43" t="n">
        <f aca="false">IF(N(Tasks[[#This Row],[_Pred2UID]])=0,0,IFERROR(MATCH(Tasks[[#This Row],[_Pred2UID]],Tasks[UID],0),-1))</f>
        <v>0</v>
      </c>
      <c r="CK160" s="43" t="n">
        <f aca="false">IF(N(Tasks[[#This Row],[_Pred3UID]])=0,0,IFERROR(MATCH(Tasks[[#This Row],[_Pred3UID]],Tasks[UID],0),-1))</f>
        <v>0</v>
      </c>
      <c r="CL160" s="43" t="n">
        <f aca="false">IF(N(Tasks[[#This Row],[_Pred4UID]])=0,0,IFERROR(MATCH(Tasks[[#This Row],[_Pred4UID]],Tasks[UID],0),-1))</f>
        <v>0</v>
      </c>
      <c r="CM1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0" s="91" t="n">
        <f aca="false">IF(OR(Tasks[[#This Row],[_ConstraintCode]]=2,Tasks[[#This Row],[_ConstraintCode]]=3,Tasks[[#This Row],[_ConstraintCode]]=4,Tasks[[#This Row],[_ConstraintCode]]=6),Tasks[[#This Row],[_ConstraintStart]],0)</f>
        <v>0</v>
      </c>
      <c r="CP160" s="91" t="n">
        <f aca="false">IF(OR(Tasks[[#This Row],[_ConstraintCode]]=2,Tasks[[#This Row],[_ConstraintCode]]=3,Tasks[[#This Row],[_ConstraintCode]]=5,Tasks[[#This Row],[_ConstraintCode]]=7),Tasks[[#This Row],[_ConstraintStart]],2958465)</f>
        <v>2958465</v>
      </c>
      <c r="CQ1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91" t="str">
        <f aca="false">IF(NOT(Tasks[[#This Row],[_IsLeaf]]=1),"",IF(N(Tasks[[#This Row],[_Days]])&lt;=0,Tasks[[#This Row],[_LeafCalcStart]],WORKDAY.INTL(Tasks[[#This Row],[_LeafCalcStart]],Tasks[[#This Row],[_Days]]-1,WorkWeek,Holidays)))</f>
        <v/>
      </c>
      <c r="CS1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3" t="str">
        <f aca="false">IF(Tasks[[#This Row],[_Predecessors]]="","",TRIM(MID(SUBSTITUTE(SUBSTITUTE(SUBSTITUTE(UPPER(Tasks[[#This Row],[_Predecessors]]),";",",")," ",""),",",REPT(" ",99)),1,99)))</f>
        <v/>
      </c>
      <c r="CV160" s="43" t="str">
        <f aca="false">IF(Tasks[[#This Row],[_Pred1Text]]="","",IFERROR(VALUE(LEFT(Tasks[[#This Row],[_Pred1Text]],MIN(FIND("F",Tasks[[#This Row],[_Pred1Text]]&amp;"F"),FIND("S",Tasks[[#This Row],[_Pred1Text]]&amp;"S"),FIND("+",Tasks[[#This Row],[_Pred1Text]]&amp;"+"),FIND("-",Tasks[[#This Row],[_Pred1Text]]&amp;"-"))-1)),""))</f>
        <v/>
      </c>
      <c r="CW1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3" t="str">
        <f aca="false">IF(Tasks[[#This Row],[_Pred1Text]]="","",TRIM(MID(SUBSTITUTE(SUBSTITUTE(SUBSTITUTE(UPPER(Tasks[[#This Row],[_Predecessors]]),";",",")," ",""),",",REPT(" ",99)),100,99)))</f>
        <v/>
      </c>
      <c r="CZ160" s="43" t="str">
        <f aca="false">IF(Tasks[[#This Row],[_Pred2Text]]="","",IFERROR(VALUE(LEFT(Tasks[[#This Row],[_Pred2Text]],MIN(FIND("F",Tasks[[#This Row],[_Pred2Text]]&amp;"F"),FIND("S",Tasks[[#This Row],[_Pred2Text]]&amp;"S"),FIND("+",Tasks[[#This Row],[_Pred2Text]]&amp;"+"),FIND("-",Tasks[[#This Row],[_Pred2Text]]&amp;"-"))-1)),""))</f>
        <v/>
      </c>
      <c r="DA1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3" t="str">
        <f aca="false">IF(Tasks[[#This Row],[_Pred2Text]]="","",TRIM(MID(SUBSTITUTE(SUBSTITUTE(SUBSTITUTE(UPPER(Tasks[[#This Row],[_Predecessors]]),";",",")," ",""),",",REPT(" ",99)),199,99)))</f>
        <v/>
      </c>
      <c r="DD160" s="43" t="str">
        <f aca="false">IF(Tasks[[#This Row],[_Pred3Text]]="","",IFERROR(VALUE(LEFT(Tasks[[#This Row],[_Pred3Text]],MIN(FIND("F",Tasks[[#This Row],[_Pred3Text]]&amp;"F"),FIND("S",Tasks[[#This Row],[_Pred3Text]]&amp;"S"),FIND("+",Tasks[[#This Row],[_Pred3Text]]&amp;"+"),FIND("-",Tasks[[#This Row],[_Pred3Text]]&amp;"-"))-1)),""))</f>
        <v/>
      </c>
      <c r="DE1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3" t="str">
        <f aca="false">IF(Tasks[[#This Row],[_Pred3Text]]="","",TRIM(MID(SUBSTITUTE(SUBSTITUTE(SUBSTITUTE(UPPER(Tasks[[#This Row],[_Predecessors]]),";",",")," ",""),",",REPT(" ",99)),298,99)))</f>
        <v/>
      </c>
      <c r="DH160" s="43" t="str">
        <f aca="false">IF(Tasks[[#This Row],[_Pred4Text]]="","",IFERROR(VALUE(LEFT(Tasks[[#This Row],[_Pred4Text]],MIN(FIND("F",Tasks[[#This Row],[_Pred4Text]]&amp;"F"),FIND("S",Tasks[[#This Row],[_Pred4Text]]&amp;"S"),FIND("+",Tasks[[#This Row],[_Pred4Text]]&amp;"+"),FIND("-",Tasks[[#This Row],[_Pred4Text]]&amp;"-"))-1)),""))</f>
        <v/>
      </c>
      <c r="DI1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3" t="str">
        <f aca="false">IF(OR(Tasks[[#This Row],[Task Name]]="",Tasks[[#This Row],[_Resources]]=""),"",TRIM(MID(SUBSTITUTE(Tasks[[#This Row],[_Resources]],",",REPT(" ",99)),1,99)))</f>
        <v/>
      </c>
      <c r="DL160" s="43" t="str">
        <f aca="false">IF(Tasks[[#This Row],[_Res1Text]]="","",TRIM(MID(SUBSTITUTE(Tasks[[#This Row],[_Resources]],",",REPT(" ",99)),100,99)))</f>
        <v/>
      </c>
      <c r="DM160" s="43" t="str">
        <f aca="false">IF(Tasks[[#This Row],[_Res2Text]]="","",TRIM(MID(SUBSTITUTE(Tasks[[#This Row],[_Resources]],",",REPT(" ",99)),199,99)))</f>
        <v/>
      </c>
      <c r="DN160" s="43" t="str">
        <f aca="false">IF(Tasks[[#This Row],[_Res3Text]]="","",TRIM(MID(SUBSTITUTE(Tasks[[#This Row],[_Resources]],",",REPT(" ",99)),298,99)))</f>
        <v/>
      </c>
      <c r="DO160" s="43" t="n">
        <f aca="false">IF(Tasks[[#This Row],[_Res1Text]]="",0,IFERROR(MATCH(TRIM(LEFT(Tasks[[#This Row],[_Res1Text]],FIND("[",Tasks[[#This Row],[_Res1Text]]&amp;"[")-1)),res_Name,0),IFERROR(MATCH(TRIM(LEFT(Tasks[[#This Row],[_Res1Text]],FIND("[",Tasks[[#This Row],[_Res1Text]]&amp;"[")-1)),res_Initials,0),0)))</f>
        <v>0</v>
      </c>
      <c r="DP160" s="43" t="n">
        <f aca="false">IF(Tasks[[#This Row],[_Res2Text]]="",0,IFERROR(MATCH(TRIM(LEFT(Tasks[[#This Row],[_Res2Text]],FIND("[",Tasks[[#This Row],[_Res2Text]]&amp;"[")-1)),res_Name,0),IFERROR(MATCH(TRIM(LEFT(Tasks[[#This Row],[_Res2Text]],FIND("[",Tasks[[#This Row],[_Res2Text]]&amp;"[")-1)),res_Initials,0),0)))</f>
        <v>0</v>
      </c>
      <c r="DQ160" s="43" t="n">
        <f aca="false">IF(Tasks[[#This Row],[_Res3Text]]="",0,IFERROR(MATCH(TRIM(LEFT(Tasks[[#This Row],[_Res3Text]],FIND("[",Tasks[[#This Row],[_Res3Text]]&amp;"[")-1)),res_Name,0),IFERROR(MATCH(TRIM(LEFT(Tasks[[#This Row],[_Res3Text]],FIND("[",Tasks[[#This Row],[_Res3Text]]&amp;"[")-1)),res_Initials,0),0)))</f>
        <v>0</v>
      </c>
      <c r="DR160" s="43" t="n">
        <f aca="false">IF(Tasks[[#This Row],[_Res4Text]]="",0,IFERROR(MATCH(TRIM(LEFT(Tasks[[#This Row],[_Res4Text]],FIND("[",Tasks[[#This Row],[_Res4Text]]&amp;"[")-1)),res_Name,0),IFERROR(MATCH(TRIM(LEFT(Tasks[[#This Row],[_Res4Text]],FIND("[",Tasks[[#This Row],[_Res4Text]]&amp;"[")-1)),res_Initials,0),0)))</f>
        <v>0</v>
      </c>
      <c r="DS160" s="43" t="str">
        <f aca="false">IF(Tasks[[#This Row],[_Res1Text]]="","",IF(Tasks[[#This Row],[_Res1Row]]&gt;0,INDEX(res_Name,Tasks[[#This Row],[_Res1Row]]),TRIM(LEFT(Tasks[[#This Row],[_Res1Text]],FIND("[",Tasks[[#This Row],[_Res1Text]]&amp;"[")-1))))</f>
        <v/>
      </c>
      <c r="DT1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3" t="n">
        <f aca="false">IF(NOT(Tasks[[#This Row],[_IsLeaf]]=1),0,(Tasks[[#This Row],[_Resource1]]&lt;&gt;"")+(Tasks[[#This Row],[_Res2]]&lt;&gt;"")+(Tasks[[#This Row],[_Res3]]&lt;&gt;"")+(Tasks[[#This Row],[_Res4]]&lt;&gt;""))</f>
        <v>0</v>
      </c>
      <c r="DV160" s="43" t="str">
        <f aca="false">IF(Tasks[[#This Row],[_Res2Text]]="","",IF(Tasks[[#This Row],[_Res2Row]]&gt;0,INDEX(res_Name,Tasks[[#This Row],[_Res2Row]]),TRIM(LEFT(Tasks[[#This Row],[_Res2Text]],FIND("[",Tasks[[#This Row],[_Res2Text]]&amp;"[")-1))))</f>
        <v/>
      </c>
      <c r="DW1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3" t="n">
        <f aca="false">IF(OR(NOT(Tasks[[#This Row],[_IsLeaf]]=1),Tasks[[#This Row],[_Res2Row]]=0),0,N(Tasks[[#This Row],[_Days]])*HoursPerDay*IF(Tasks[[#This Row],[_Res2Units]]="",DefaultUnits,Tasks[[#This Row],[_Res2Units]]))</f>
        <v>0</v>
      </c>
      <c r="DY160" s="43" t="n">
        <f aca="false">IF(AND(AND(Tasks[[#This Row],[_IsLeaf]]=1,Tasks[[#This Row],[_LeafTotalWork]]&gt;0),Tasks[[#This Row],[_Res2Work]]&gt;0),Tasks[[#This Row],[_Res2Work]]/(Tasks[[#This Row],[_FinishWorkday]]-Tasks[[#This Row],[_StartWorkday]]+1),0)</f>
        <v>0</v>
      </c>
      <c r="DZ160" s="43" t="n">
        <f aca="false">Tasks[[#This Row],[_Res2WorkPerWD]]*MAX(0,Tasks[[#This Row],[_StartWorkday]]-1)</f>
        <v>0</v>
      </c>
      <c r="EA160" s="43" t="n">
        <f aca="false">Tasks[[#This Row],[_Res2Work]]*Tasks[[#This Row],[_LeafProgress]]</f>
        <v>0</v>
      </c>
      <c r="EB160" s="43" t="str">
        <f aca="false">IF(Tasks[[#This Row],[_Res3Text]]="","",IF(Tasks[[#This Row],[_Res3Row]]&gt;0,INDEX(res_Name,Tasks[[#This Row],[_Res3Row]]),TRIM(LEFT(Tasks[[#This Row],[_Res3Text]],FIND("[",Tasks[[#This Row],[_Res3Text]]&amp;"[")-1))))</f>
        <v/>
      </c>
      <c r="EC1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3" t="n">
        <f aca="false">IF(OR(NOT(Tasks[[#This Row],[_IsLeaf]]=1),Tasks[[#This Row],[_Res3Row]]=0),0,N(Tasks[[#This Row],[_Days]])*HoursPerDay*IF(Tasks[[#This Row],[_Res3Units]]="",DefaultUnits,Tasks[[#This Row],[_Res3Units]]))</f>
        <v>0</v>
      </c>
      <c r="EE160" s="43" t="n">
        <f aca="false">IF(AND(AND(Tasks[[#This Row],[_IsLeaf]]=1,Tasks[[#This Row],[_LeafTotalWork]]&gt;0),Tasks[[#This Row],[_Res3Work]]&gt;0),Tasks[[#This Row],[_Res3Work]]/(Tasks[[#This Row],[_FinishWorkday]]-Tasks[[#This Row],[_StartWorkday]]+1),0)</f>
        <v>0</v>
      </c>
      <c r="EF160" s="43" t="n">
        <f aca="false">Tasks[[#This Row],[_Res3WorkPerWD]]*MAX(0,Tasks[[#This Row],[_StartWorkday]]-1)</f>
        <v>0</v>
      </c>
      <c r="EG160" s="43" t="n">
        <f aca="false">Tasks[[#This Row],[_Res3Work]]*Tasks[[#This Row],[_LeafProgress]]</f>
        <v>0</v>
      </c>
      <c r="EH160" s="43" t="str">
        <f aca="false">IF(Tasks[[#This Row],[_Res4Text]]="","",IF(Tasks[[#This Row],[_Res4Row]]&gt;0,INDEX(res_Name,Tasks[[#This Row],[_Res4Row]]),TRIM(LEFT(Tasks[[#This Row],[_Res4Text]],FIND("[",Tasks[[#This Row],[_Res4Text]]&amp;"[")-1))))</f>
        <v/>
      </c>
      <c r="EI1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3" t="n">
        <f aca="false">IF(OR(NOT(Tasks[[#This Row],[_IsLeaf]]=1),Tasks[[#This Row],[_Res4Row]]=0),0,N(Tasks[[#This Row],[_Days]])*HoursPerDay*IF(Tasks[[#This Row],[_Res4Units]]="",DefaultUnits,Tasks[[#This Row],[_Res4Units]]))</f>
        <v>0</v>
      </c>
      <c r="EK160" s="43" t="n">
        <f aca="false">IF(AND(AND(Tasks[[#This Row],[_IsLeaf]]=1,Tasks[[#This Row],[_LeafTotalWork]]&gt;0),Tasks[[#This Row],[_Res4Work]]&gt;0),Tasks[[#This Row],[_Res4Work]]/(Tasks[[#This Row],[_FinishWorkday]]-Tasks[[#This Row],[_StartWorkday]]+1),0)</f>
        <v>0</v>
      </c>
      <c r="EL160" s="43" t="n">
        <f aca="false">Tasks[[#This Row],[_Res4WorkPerWD]]*MAX(0,Tasks[[#This Row],[_StartWorkday]]-1)</f>
        <v>0</v>
      </c>
      <c r="EM160" s="43" t="n">
        <f aca="false">Tasks[[#This Row],[_Res4Work]]*Tasks[[#This Row],[_LeafProgress]]</f>
        <v>0</v>
      </c>
      <c r="EN160" s="43" t="n">
        <f aca="false">IF(ISNUMBER(Tasks[[#This Row],[% Complete]]),Tasks[[#This Row],[% Complete]],IF(Tasks[[#This Row],[Stage]]="",0,IFERROR(INDEX(stg_Pct,MATCH(Tasks[[#This Row],[Stage]],stg_Name,0)),0)))</f>
        <v>0</v>
      </c>
      <c r="EO160" s="43" t="n">
        <f aca="false">IF(NOT(Tasks[[#This Row],[_IsLeaf]]=1),0,IF(N(Tasks[[#This Row],[Actual Finish]])&gt;0,1,MIN(1,Tasks[[#This Row],[_Pct]])))</f>
        <v>0</v>
      </c>
      <c r="EP160" s="43" t="n">
        <f aca="false">IF(OR(NOT(Tasks[[#This Row],[_IsLeaf]]=1),Tasks[[#This Row],[_Res1Row]]=0),0,N(Tasks[[#This Row],[_Days]])*HoursPerDay*IF(Tasks[[#This Row],[_Units1]]="",DefaultUnits,Tasks[[#This Row],[_Units1]]))</f>
        <v>0</v>
      </c>
      <c r="EQ160" s="43" t="n">
        <f aca="false">Tasks[[#This Row],[_LeafWork]]+Tasks[[#This Row],[_Res2Work]]+Tasks[[#This Row],[_Res3Work]]+Tasks[[#This Row],[_Res4Work]]</f>
        <v>0</v>
      </c>
      <c r="ER1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3" t="n">
        <f aca="false">IF(NOT(Tasks[[#This Row],[_IsLeaf]]=1),0,MAX(_xlfn.MAXIFS(Tasks[_Row],Tasks[_Pred1UID],Tasks[[#This Row],[UID]]),_xlfn.MAXIFS(Tasks[_Row],Tasks[_Pred2UID],Tasks[[#This Row],[UID]]),_xlfn.MAXIFS(Tasks[_Row],Tasks[_Pred3UID],Tasks[[#This Row],[UID]]),_xlfn.MAXIFS(Tasks[_Row],Tasks[_Pred4UID],Tasks[[#This Row],[UID]])))</f>
        <v>0</v>
      </c>
      <c r="FA1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91" t="str">
        <f aca="false">IF(NOT(Tasks[[#This Row],[_IsLeaf]]=1),"",IF(N(Tasks[[#This Row],[_Days]])&lt;=0,Tasks[[#This Row],[_LeafLateFinish]],WORKDAY.INTL(Tasks[[#This Row],[_LeafLateFinish]],-(Tasks[[#This Row],[_Days]]-1),WorkWeek,Holidays)))</f>
        <v/>
      </c>
      <c r="FD1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0" s="90" t="b">
        <f aca="false">AND(Tasks[[#This Row],[_IsLeaf]]=1,Tasks[[#This Row],[_LeafProgress]]&lt;1,N(Tasks[[#This Row],[_LeafTotalSlack]])&lt;=CriticalSlackDays)</f>
        <v>0</v>
      </c>
      <c r="FF160" s="43" t="n">
        <f aca="false">IF(AND(Tasks[[#This Row],[_IsLeaf]]=1,Tasks[[#This Row],[_ConstraintCode]]=1,Tasks[[#This Row],[Mode]]&lt;&gt;"Manual",N(Tasks[[#This Row],[Actual Start]])=0),MAX(0,N(Tasks[[#This Row],[Free Slack]])),0)</f>
        <v>0</v>
      </c>
      <c r="FG160" s="91" t="str">
        <f aca="false">IF(NOT(Tasks[[#This Row],[_IsLeaf]]=1),"",IF(Tasks[[#This Row],[_AlapShift]]=0,Tasks[[#This Row],[_LeafCalcStart]],WORKDAY.INTL(Tasks[[#This Row],[_LeafCalcStart]],Tasks[[#This Row],[_AlapShift]],WorkWeek,Holidays)))</f>
        <v/>
      </c>
      <c r="FH160" s="91" t="str">
        <f aca="false">IF(NOT(Tasks[[#This Row],[_IsLeaf]]=1),"",IF(Tasks[[#This Row],[_AlapShift]]=0,Tasks[[#This Row],[_LeafCalcFinish]],WORKDAY.INTL(Tasks[[#This Row],[_LeafCalcFinish]],Tasks[[#This Row],[_AlapShift]],WorkWeek,Holidays)))</f>
        <v/>
      </c>
      <c r="FI160" s="91" t="str">
        <f aca="false">IF(NOT(Tasks[[#This Row],[_IsLeaf]]=1),"",IF(Tasks[[#This Row],[_AlapShift]]=0,Tasks[[#This Row],[_LeafFcstStart]],WORKDAY.INTL(Tasks[[#This Row],[_LeafFcstStart]],Tasks[[#This Row],[_AlapShift]],WorkWeek,Holidays)))</f>
        <v/>
      </c>
      <c r="FJ160" s="91" t="str">
        <f aca="false">IF(NOT(Tasks[[#This Row],[_IsLeaf]]=1),"",IF(Tasks[[#This Row],[_AlapShift]]=0,Tasks[[#This Row],[_LeafFcstFinish]],WORKDAY.INTL(Tasks[[#This Row],[_LeafFcstFinish]],Tasks[[#This Row],[_AlapShift]],WorkWeek,Holidays)))</f>
        <v/>
      </c>
      <c r="FK160" s="91" t="str">
        <f aca="false">IF(Tasks[[#This Row],[Task Name]]="","",IF(Tasks[[#This Row],[_IsSummary]],MIN(INDEX(Tasks[_ShownCalcStart],Tasks[[#This Row],[_Row]]+1):INDEX(Tasks[_ShownCalcStart],Tasks[[#This Row],[_Row]]+Tasks[[#This Row],[_Descendants]])),Tasks[[#This Row],[_ShownCalcStart]]))</f>
        <v/>
      </c>
      <c r="FL160" s="91" t="str">
        <f aca="false">IF(Tasks[[#This Row],[Task Name]]="","",IF(Tasks[[#This Row],[_IsSummary]],MAX(INDEX(Tasks[_ShownCalcFinish],Tasks[[#This Row],[_Row]]+1):INDEX(Tasks[_ShownCalcFinish],Tasks[[#This Row],[_Row]]+Tasks[[#This Row],[_Descendants]])),Tasks[[#This Row],[_ShownCalcFinish]]))</f>
        <v/>
      </c>
      <c r="FM1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0" s="43" t="n">
        <f aca="false">IF(AND(Tasks[[#This Row],[_IsLeaf]]=1,Tasks[[#This Row],[_LeafTotalWork]]&gt;0),NETWORKDAYS.INTL(ProjectStart,Tasks[[#This Row],[_ShownFcstStart]],WorkWeek,Holidays),0)</f>
        <v>0</v>
      </c>
      <c r="FZ160" s="43" t="n">
        <f aca="false">IF(AND(Tasks[[#This Row],[_IsLeaf]]=1,Tasks[[#This Row],[_LeafTotalWork]]&gt;0),MAX(Tasks[[#This Row],[_StartWorkday]],NETWORKDAYS.INTL(ProjectStart,Tasks[[#This Row],[_ShownFcstFinish]],WorkWeek,Holidays)),0)</f>
        <v>0</v>
      </c>
      <c r="GA160" s="43" t="n">
        <f aca="false">IF(AND(Tasks[[#This Row],[_IsLeaf]]=1,Tasks[[#This Row],[_LeafTotalWork]]&gt;0),Tasks[[#This Row],[_LeafWork]]/(Tasks[[#This Row],[_FinishWorkday]]-Tasks[[#This Row],[_StartWorkday]]+1),0)</f>
        <v>0</v>
      </c>
      <c r="GB160" s="43" t="n">
        <f aca="false">Tasks[[#This Row],[_WorkPerWorkday]]*(Tasks[[#This Row],[_StartWorkday]]-1)</f>
        <v>-0</v>
      </c>
      <c r="GC160" s="43" t="n">
        <f aca="false">IF(Tasks[[#This Row],[_IsLeaf]]=1,MAX(N(Tasks[[#This Row],[_Days]]),0.1),0)</f>
        <v>0</v>
      </c>
      <c r="GD160" s="43" t="n">
        <f aca="false">Tasks[[#This Row],[_WeightDur]]*Tasks[[#This Row],[_LeafProgress]]</f>
        <v>0</v>
      </c>
      <c r="GE160" s="43" t="n">
        <f aca="false">Tasks[[#This Row],[_WeightDur]]*Tasks[[#This Row],[_PlannedPct]]</f>
        <v>0</v>
      </c>
      <c r="GF1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3" t="str">
        <f aca="false">IF(AND(Tasks[[#This Row],[_IsLeaf]]=1,N(Tasks[[#This Row],[_Days]])=0,Tasks[[#This Row],[_LeafProgress]]&lt;1),Tasks[[#This Row],[_ShownFcstFinish]]+Tasks[[#This Row],[_Row]]/100000,"")</f>
        <v/>
      </c>
      <c r="GH1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0" s="43" t="str">
        <f aca="false">IF(Tasks[[#This Row],[Task Name]]="","",LEFT(Tasks[[#This Row],[WBS]],FIND(".",Tasks[[#This Row],[WBS]]&amp;".")-1))</f>
        <v/>
      </c>
      <c r="GJ160" s="43" t="str">
        <f aca="false">IF(AND(Tasks[[#This Row],[Task Name]]&lt;&gt;"",Tasks[[#This Row],[_Level]]=1),Tasks[[#This Row],[_Row]],"")</f>
        <v/>
      </c>
      <c r="GK160" s="43" t="str">
        <f aca="false">IF(AND(Tasks[[#This Row],[_IsLeaf]]=1,N(Tasks[[#This Row],[_Days]])=0),Tasks[[#This Row],[Planned Finish]]+Tasks[[#This Row],[_Row]]/100000,"")</f>
        <v/>
      </c>
      <c r="GL160" s="43" t="str">
        <f aca="false">IF(AND(Tasks[[#This Row],[_IsLeaf]]=1,Tasks[[#This Row],[_LeafProgress]]&lt;1,OR(N(Tasks[[#This Row],[Finish Var]])&gt;0,Tasks[[#This Row],[Status]]="Late Start")),MAX(0,Tasks[[#This Row],[Finish Var]])+1-Tasks[[#This Row],[_Row]]/1000000,"")</f>
        <v/>
      </c>
      <c r="GM160" s="43" t="str">
        <f aca="false">IF(AND(Tasks[[#This Row],[_IsLeaf]]=1,N(Tasks[[#This Row],[Actual Start]])=0,Tasks[[#This Row],[_ShownFcstStart]]&gt;=StatusDate,Tasks[[#This Row],[_ShownFcstStart]]&lt;=LookaheadEnd),Tasks[[#This Row],[_ShownFcstStart]]+Tasks[[#This Row],[_Row]]/100000,"")</f>
        <v/>
      </c>
      <c r="GN160" s="43" t="str">
        <f aca="false">IF(AND(Tasks[[#This Row],[_IsLeaf]]=1,Tasks[[#This Row],[_LeafProgress]]&lt;1,Tasks[[#This Row],[_ShownFcstFinish]]&gt;=StatusDate,Tasks[[#This Row],[_ShownFcstFinish]]&lt;=LookaheadEnd),Tasks[[#This Row],[_ShownFcstFinish]]+Tasks[[#This Row],[_Row]]/100000,"")</f>
        <v/>
      </c>
      <c r="GO160" s="43" t="str">
        <f aca="false">IF(Tasks[[#This Row],[_LeafCritical]],Tasks[[#This Row],[_ShownFcstStart]]+Tasks[[#This Row],[_Row]]/100000,"")</f>
        <v/>
      </c>
      <c r="GP160" s="43" t="n">
        <f aca="false">Tasks[[#This Row],[_LeafWork]]*Tasks[[#This Row],[_LeafProgress]]</f>
        <v>0</v>
      </c>
      <c r="GQ160" s="91" t="str">
        <f aca="false">IF(AND(Tasks[[#This Row],[_IsLeaf]]=1,Tasks[[#This Row],[_LeafProgress]]&gt;=1),IF(N(Tasks[[#This Row],[Actual Finish]])&gt;0,Tasks[[#This Row],[Actual Finish]],Tasks[[#This Row],[_ShownFcstFinish]]),"")</f>
        <v/>
      </c>
      <c r="GR160" s="43" t="n">
        <f aca="false">IF(Tasks[[#This Row],[_IsLeaf]]=1,N(Tasks[[#This Row],[Story Points]]),0)</f>
        <v>0</v>
      </c>
      <c r="GS160" s="43" t="str">
        <f aca="false">""</f>
        <v/>
      </c>
      <c r="GT160" s="90" t="b">
        <f aca="false">IF(Tasks[[#This Row],[Task Name]]="",FALSE(),AND(Tasks[[#This Row],[_IsLeaf]]=1,N(Tasks[[#This Row],[_Days]])=0))</f>
        <v>0</v>
      </c>
      <c r="GU160" s="91" t="n">
        <f aca="false">IF(Tasks[[#This Row],[Task Name]]="",0,IF(AND(Tasks[[#This Row],[_IsLeaf]]=1,NOT(Tasks[[#This Row],[_IsMilestone]]),N(Tasks[[#This Row],[Progress]])&gt;0),Tasks[[#This Row],[Start]],0))</f>
        <v>0</v>
      </c>
      <c r="GV160" s="91" t="n">
        <f aca="false">IF(Tasks[[#This Row],[_DoneFrom]]=0,0,IF(Tasks[[#This Row],[Progress]]&gt;=1,Tasks[[#This Row],[Finish]],MAX(Tasks[[#This Row],[_DoneFrom]],Tasks[[#This Row],[Start]]+ROUND((Tasks[[#This Row],[Finish]]-Tasks[[#This Row],[Start]]+1)*Tasks[[#This Row],[Progress]],0)-1)))</f>
        <v>0</v>
      </c>
      <c r="GW160" s="91" t="n">
        <f aca="false">IF(Tasks[[#This Row],[Task Name]]="",0,IF(OR(NOT(Tasks[[#This Row],[_IsLeaf]]=1),Tasks[[#This Row],[_IsMilestone]],N(Tasks[[#This Row],[Progress]])&gt;=1),0,IF(Tasks[[#This Row],[_DoneTo]]&gt;0,Tasks[[#This Row],[_DoneTo]]+1,Tasks[[#This Row],[Start]])))</f>
        <v>0</v>
      </c>
      <c r="GX160" s="91" t="n">
        <f aca="false">IF(Tasks[[#This Row],[_RemFrom]]=0,0,Tasks[[#This Row],[Finish]])</f>
        <v>0</v>
      </c>
      <c r="GY160" s="90" t="b">
        <f aca="false">IF(Tasks[[#This Row],[Task Name]]="",FALSE(),OR(NOT(BaselineSet),N(Tasks[[#This Row],[Baseline Start]])&gt;0))</f>
        <v>0</v>
      </c>
      <c r="GZ16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92" t="str">
        <f aca="false">IF(Tasks[[#This Row],[_IsLeaf]]=1,Tasks[[#This Row],[_Row]],"")</f>
        <v/>
      </c>
      <c r="HD160" s="92" t="str">
        <f aca="false">IFERROR(INDEX(Tasks[UID],SMALL(Tasks[_PickKey],Tasks[[#This Row],[_Row]]))&amp;" "&amp;INDEX(Tasks[Task Name],SMALL(Tasks[_PickKey],Tasks[[#This Row],[_Row]])),"")</f>
        <v/>
      </c>
      <c r="HE160" s="43" t="str">
        <f aca="false">IF(Tasks[[#This Row],[Task Name]]="","",IF(Tasks[[#This Row],[_IsSummary]],NETWORKDAYS.INTL(Tasks[[#This Row],[Start]],Tasks[[#This Row],[Finish]],WorkWeek,Holidays),N(Tasks[[#This Row],[_Days]])))</f>
        <v/>
      </c>
      <c r="HF160" s="43" t="n">
        <f aca="false">IF(Tasks[[#This Row],[Expected]]="",0,((Tasks[[#This Row],[Pessimistic]]-Tasks[[#This Row],[Optimistic]])/6)^2)</f>
        <v>0</v>
      </c>
      <c r="HG160" s="43" t="n">
        <f aca="false">IF(Tasks[[#This Row],[Expected]]="",0,Tasks[[#This Row],[Expected]]-N(Tasks[[#This Row],[_Days]]))</f>
        <v>0</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4"/>
      <c r="U161" s="23"/>
      <c r="V161" s="84"/>
      <c r="W161" s="23"/>
      <c r="X161" s="84"/>
      <c r="Y161" s="23"/>
      <c r="Z161" s="84"/>
      <c r="AA161" s="23"/>
      <c r="AB161" s="23"/>
      <c r="AC161" s="7"/>
      <c r="AD161" s="7"/>
      <c r="AE161" s="63" t="str">
        <f aca="false">IF(Tasks[[#This Row],[Task Name]]="","",IF(Tasks[[#This Row],[_IsSummary]],MIN(INDEX(Tasks[_ShownFcstStart],Tasks[[#This Row],[_Row]]+1):INDEX(Tasks[_ShownFcstStart],Tasks[[#This Row],[_Row]]+Tasks[[#This Row],[_Descendants]])),Tasks[[#This Row],[_ShownFcstStart]]))</f>
        <v/>
      </c>
      <c r="AF161" s="63"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1" s="7"/>
      <c r="AK161" s="22"/>
      <c r="AL161" s="23"/>
      <c r="AM161" s="7"/>
      <c r="AN161" s="47"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3" t="str">
        <f aca="false">IF(Tasks[[#This Row],[Task Name]]="","",IF(N(Tasks[[#This Row],[Baseline Start]])&gt;0,Tasks[[#This Row],[Baseline Start]],Tasks[[#This Row],[_CalcStart]]))</f>
        <v/>
      </c>
      <c r="AR161" s="63" t="str">
        <f aca="false">IF(Tasks[[#This Row],[Task Name]]="","",IF(N(Tasks[[#This Row],[Baseline Finish]])&gt;0,Tasks[[#This Row],[Baseline Finish]],Tasks[[#This Row],[_CalcFinish]]))</f>
        <v/>
      </c>
      <c r="AS161" s="47" t="str">
        <f aca="false">IF(Tasks[[#This Row],[Task Name]]="","",IF(Tasks[[#This Row],[Start]]&gt;=Tasks[[#This Row],[Planned Start]],NETWORKDAYS.INTL(Tasks[[#This Row],[Planned Start]],Tasks[[#This Row],[Start]],WorkWeek,Holidays)-1,1-NETWORKDAYS.INTL(Tasks[[#This Row],[Start]],Tasks[[#This Row],[Planned Start]],WorkWeek,Holidays)))</f>
        <v/>
      </c>
      <c r="AT161" s="63" t="str">
        <f aca="false">IF(Tasks[[#This Row],[Task Name]]="","",IF(Tasks[[#This Row],[_IsSummary]],MIN(INDEX(Tasks[_LeafLateStart],Tasks[[#This Row],[_Row]]+1):INDEX(Tasks[_LeafLateStart],Tasks[[#This Row],[_Row]]+Tasks[[#This Row],[_Descendants]])),Tasks[[#This Row],[_LeafLateStart]]))</f>
        <v/>
      </c>
      <c r="AU161" s="63" t="str">
        <f aca="false">IF(Tasks[[#This Row],[Task Name]]="","",IF(Tasks[[#This Row],[_IsSummary]],MAX(INDEX(Tasks[_LeafLateFinish],Tasks[[#This Row],[_Row]]+1):INDEX(Tasks[_LeafLateFinish],Tasks[[#This Row],[_Row]]+Tasks[[#This Row],[_Descendants]])),Tasks[[#This Row],[_LeafLateFinish]]))</f>
        <v/>
      </c>
      <c r="AV161" s="47"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5"/>
      <c r="BA1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6"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7"/>
      <c r="BJ161" s="22"/>
      <c r="BK161" s="47" t="str">
        <f aca="false">IF(OR(Tasks[[#This Row],[Task Name]]="",Tasks[[#This Row],[Baseline Duration]]=""),"",Tasks[[#This Row],[_SpanDays]]-N(Tasks[[#This Row],[Baseline Duration]]))</f>
        <v/>
      </c>
      <c r="BL161" s="86" t="str">
        <f aca="false">IF(OR(Tasks[[#This Row],[Task Name]]="",Tasks[[#This Row],[Baseline Work]]=""),"",Tasks[[#This Row],[Work]]-N(Tasks[[#This Row],[Baseline Work]]))</f>
        <v/>
      </c>
      <c r="BM161" s="63" t="str">
        <f aca="false">IF(Tasks[[#This Row],[Task Name]]="","",IF(OR(TakeBaseline="Yes",N(Tasks[[#This Row],[Baseline Start]])=0),Tasks[[#This Row],[Start]],Tasks[[#This Row],[Baseline Start]]))</f>
        <v/>
      </c>
      <c r="BN161" s="63" t="str">
        <f aca="false">IF(Tasks[[#This Row],[Task Name]]="","",IF(OR(TakeBaseline="Yes",N(Tasks[[#This Row],[Baseline Finish]])=0),Tasks[[#This Row],[Finish]],Tasks[[#This Row],[Baseline Finish]]))</f>
        <v/>
      </c>
      <c r="BO161" s="21" t="str">
        <f aca="false">IF(Tasks[[#This Row],[Task Name]]="","",IF(OR(TakeBaseline="Yes",N(Tasks[[#This Row],[Baseline Duration]])=0),Tasks[[#This Row],[_SpanDays]],Tasks[[#This Row],[Baseline Duration]]))</f>
        <v/>
      </c>
      <c r="BP161" s="86" t="str">
        <f aca="false">IF(Tasks[[#This Row],[Task Name]]="","",IF(OR(TakeBaseline="Yes",N(Tasks[[#This Row],[Baseline Work]])=0),Tasks[[#This Row],[Work]],Tasks[[#This Row],[Baseline Work]]))</f>
        <v/>
      </c>
      <c r="BQ161" s="7"/>
      <c r="BR161" s="7"/>
      <c r="BS161" s="22"/>
      <c r="BT161" s="88"/>
      <c r="BU161" s="23"/>
      <c r="BV161" s="23"/>
      <c r="BW161" s="23"/>
      <c r="BX161" s="89" t="str">
        <f aca="false">IF(AND(Tasks[[#This Row],[_IsLeaf]]=1,ISNUMBER(Tasks[[#This Row],[Optimistic]]),ISNUMBER(Tasks[[#This Row],[Pessimistic]])),ROUND((Tasks[[#This Row],[Optimistic]]+4*N(Tasks[[#This Row],[_Days]])+Tasks[[#This Row],[Pessimistic]])/6,1),"")</f>
        <v/>
      </c>
      <c r="BY161" s="87"/>
      <c r="BZ161" s="87"/>
      <c r="CA161" s="22"/>
      <c r="CB161" s="43" t="str">
        <f aca="false">IF(Tasks[[#This Row],[Task Name]]="","",MAX(1,N(Tasks[[#This Row],[Level]])))</f>
        <v/>
      </c>
      <c r="CC161" s="43" t="n">
        <f aca="false">ROW()-ROW(Tasks[[#Headers],[ID]])</f>
        <v>156</v>
      </c>
      <c r="CD161" s="43" t="n">
        <f aca="false">IF(OR(Tasks[[#This Row],[Task Name]]="",Tasks[[#This Row],[_Level]]&lt;=1),0,IFERROR(LOOKUP(2,1/(Tasks[[#Headers],[_Level]]:Tasks[[#This Row],[_Level]]=Tasks[[#This Row],[_Level]]-1),ROW(Tasks[[#Headers],[_Level]]:Tasks[[#This Row],[_Level]])),0))</f>
        <v>0</v>
      </c>
      <c r="CE161" s="43" t="n">
        <f aca="false">IFERROR(N(INDEX(Tasks[_Level],Tasks[[#This Row],[_Row]]+1)),0)</f>
        <v>0</v>
      </c>
      <c r="CF161" s="90" t="b">
        <f aca="false">AND(Tasks[[#This Row],[Task Name]]&lt;&gt;"",Tasks[[#This Row],[_NextLevel]]&gt;Tasks[[#This Row],[_Level]])</f>
        <v>0</v>
      </c>
      <c r="CG161" s="43" t="n">
        <f aca="false">IF(Tasks[[#This Row],[_IsSummary]],COUNTIF(Tasks[WBS],Tasks[[#This Row],[WBS]]&amp;".*"),0)</f>
        <v>0</v>
      </c>
      <c r="CH161" s="43" t="n">
        <f aca="false">IF(AND(Tasks[[#This Row],[Task Name]]&lt;&gt;"",NOT(Tasks[[#This Row],[_IsSummary]])),1,0)</f>
        <v>0</v>
      </c>
      <c r="CI161" s="43" t="n">
        <f aca="false">IF(N(Tasks[[#This Row],[_Pred1UID]])=0,0,IFERROR(MATCH(Tasks[[#This Row],[_Pred1UID]],Tasks[UID],0),-1))</f>
        <v>0</v>
      </c>
      <c r="CJ161" s="43" t="n">
        <f aca="false">IF(N(Tasks[[#This Row],[_Pred2UID]])=0,0,IFERROR(MATCH(Tasks[[#This Row],[_Pred2UID]],Tasks[UID],0),-1))</f>
        <v>0</v>
      </c>
      <c r="CK161" s="43" t="n">
        <f aca="false">IF(N(Tasks[[#This Row],[_Pred3UID]])=0,0,IFERROR(MATCH(Tasks[[#This Row],[_Pred3UID]],Tasks[UID],0),-1))</f>
        <v>0</v>
      </c>
      <c r="CL161" s="43" t="n">
        <f aca="false">IF(N(Tasks[[#This Row],[_Pred4UID]])=0,0,IFERROR(MATCH(Tasks[[#This Row],[_Pred4UID]],Tasks[UID],0),-1))</f>
        <v>0</v>
      </c>
      <c r="CM1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1" s="91" t="n">
        <f aca="false">IF(OR(Tasks[[#This Row],[_ConstraintCode]]=2,Tasks[[#This Row],[_ConstraintCode]]=3,Tasks[[#This Row],[_ConstraintCode]]=4,Tasks[[#This Row],[_ConstraintCode]]=6),Tasks[[#This Row],[_ConstraintStart]],0)</f>
        <v>0</v>
      </c>
      <c r="CP161" s="91" t="n">
        <f aca="false">IF(OR(Tasks[[#This Row],[_ConstraintCode]]=2,Tasks[[#This Row],[_ConstraintCode]]=3,Tasks[[#This Row],[_ConstraintCode]]=5,Tasks[[#This Row],[_ConstraintCode]]=7),Tasks[[#This Row],[_ConstraintStart]],2958465)</f>
        <v>2958465</v>
      </c>
      <c r="CQ1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91" t="str">
        <f aca="false">IF(NOT(Tasks[[#This Row],[_IsLeaf]]=1),"",IF(N(Tasks[[#This Row],[_Days]])&lt;=0,Tasks[[#This Row],[_LeafCalcStart]],WORKDAY.INTL(Tasks[[#This Row],[_LeafCalcStart]],Tasks[[#This Row],[_Days]]-1,WorkWeek,Holidays)))</f>
        <v/>
      </c>
      <c r="CS1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3" t="str">
        <f aca="false">IF(Tasks[[#This Row],[_Predecessors]]="","",TRIM(MID(SUBSTITUTE(SUBSTITUTE(SUBSTITUTE(UPPER(Tasks[[#This Row],[_Predecessors]]),";",",")," ",""),",",REPT(" ",99)),1,99)))</f>
        <v/>
      </c>
      <c r="CV161" s="43" t="str">
        <f aca="false">IF(Tasks[[#This Row],[_Pred1Text]]="","",IFERROR(VALUE(LEFT(Tasks[[#This Row],[_Pred1Text]],MIN(FIND("F",Tasks[[#This Row],[_Pred1Text]]&amp;"F"),FIND("S",Tasks[[#This Row],[_Pred1Text]]&amp;"S"),FIND("+",Tasks[[#This Row],[_Pred1Text]]&amp;"+"),FIND("-",Tasks[[#This Row],[_Pred1Text]]&amp;"-"))-1)),""))</f>
        <v/>
      </c>
      <c r="CW1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3" t="str">
        <f aca="false">IF(Tasks[[#This Row],[_Pred1Text]]="","",TRIM(MID(SUBSTITUTE(SUBSTITUTE(SUBSTITUTE(UPPER(Tasks[[#This Row],[_Predecessors]]),";",",")," ",""),",",REPT(" ",99)),100,99)))</f>
        <v/>
      </c>
      <c r="CZ161" s="43" t="str">
        <f aca="false">IF(Tasks[[#This Row],[_Pred2Text]]="","",IFERROR(VALUE(LEFT(Tasks[[#This Row],[_Pred2Text]],MIN(FIND("F",Tasks[[#This Row],[_Pred2Text]]&amp;"F"),FIND("S",Tasks[[#This Row],[_Pred2Text]]&amp;"S"),FIND("+",Tasks[[#This Row],[_Pred2Text]]&amp;"+"),FIND("-",Tasks[[#This Row],[_Pred2Text]]&amp;"-"))-1)),""))</f>
        <v/>
      </c>
      <c r="DA1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3" t="str">
        <f aca="false">IF(Tasks[[#This Row],[_Pred2Text]]="","",TRIM(MID(SUBSTITUTE(SUBSTITUTE(SUBSTITUTE(UPPER(Tasks[[#This Row],[_Predecessors]]),";",",")," ",""),",",REPT(" ",99)),199,99)))</f>
        <v/>
      </c>
      <c r="DD161" s="43" t="str">
        <f aca="false">IF(Tasks[[#This Row],[_Pred3Text]]="","",IFERROR(VALUE(LEFT(Tasks[[#This Row],[_Pred3Text]],MIN(FIND("F",Tasks[[#This Row],[_Pred3Text]]&amp;"F"),FIND("S",Tasks[[#This Row],[_Pred3Text]]&amp;"S"),FIND("+",Tasks[[#This Row],[_Pred3Text]]&amp;"+"),FIND("-",Tasks[[#This Row],[_Pred3Text]]&amp;"-"))-1)),""))</f>
        <v/>
      </c>
      <c r="DE1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3" t="str">
        <f aca="false">IF(Tasks[[#This Row],[_Pred3Text]]="","",TRIM(MID(SUBSTITUTE(SUBSTITUTE(SUBSTITUTE(UPPER(Tasks[[#This Row],[_Predecessors]]),";",",")," ",""),",",REPT(" ",99)),298,99)))</f>
        <v/>
      </c>
      <c r="DH161" s="43" t="str">
        <f aca="false">IF(Tasks[[#This Row],[_Pred4Text]]="","",IFERROR(VALUE(LEFT(Tasks[[#This Row],[_Pred4Text]],MIN(FIND("F",Tasks[[#This Row],[_Pred4Text]]&amp;"F"),FIND("S",Tasks[[#This Row],[_Pred4Text]]&amp;"S"),FIND("+",Tasks[[#This Row],[_Pred4Text]]&amp;"+"),FIND("-",Tasks[[#This Row],[_Pred4Text]]&amp;"-"))-1)),""))</f>
        <v/>
      </c>
      <c r="DI1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3" t="str">
        <f aca="false">IF(OR(Tasks[[#This Row],[Task Name]]="",Tasks[[#This Row],[_Resources]]=""),"",TRIM(MID(SUBSTITUTE(Tasks[[#This Row],[_Resources]],",",REPT(" ",99)),1,99)))</f>
        <v/>
      </c>
      <c r="DL161" s="43" t="str">
        <f aca="false">IF(Tasks[[#This Row],[_Res1Text]]="","",TRIM(MID(SUBSTITUTE(Tasks[[#This Row],[_Resources]],",",REPT(" ",99)),100,99)))</f>
        <v/>
      </c>
      <c r="DM161" s="43" t="str">
        <f aca="false">IF(Tasks[[#This Row],[_Res2Text]]="","",TRIM(MID(SUBSTITUTE(Tasks[[#This Row],[_Resources]],",",REPT(" ",99)),199,99)))</f>
        <v/>
      </c>
      <c r="DN161" s="43" t="str">
        <f aca="false">IF(Tasks[[#This Row],[_Res3Text]]="","",TRIM(MID(SUBSTITUTE(Tasks[[#This Row],[_Resources]],",",REPT(" ",99)),298,99)))</f>
        <v/>
      </c>
      <c r="DO161" s="43" t="n">
        <f aca="false">IF(Tasks[[#This Row],[_Res1Text]]="",0,IFERROR(MATCH(TRIM(LEFT(Tasks[[#This Row],[_Res1Text]],FIND("[",Tasks[[#This Row],[_Res1Text]]&amp;"[")-1)),res_Name,0),IFERROR(MATCH(TRIM(LEFT(Tasks[[#This Row],[_Res1Text]],FIND("[",Tasks[[#This Row],[_Res1Text]]&amp;"[")-1)),res_Initials,0),0)))</f>
        <v>0</v>
      </c>
      <c r="DP161" s="43" t="n">
        <f aca="false">IF(Tasks[[#This Row],[_Res2Text]]="",0,IFERROR(MATCH(TRIM(LEFT(Tasks[[#This Row],[_Res2Text]],FIND("[",Tasks[[#This Row],[_Res2Text]]&amp;"[")-1)),res_Name,0),IFERROR(MATCH(TRIM(LEFT(Tasks[[#This Row],[_Res2Text]],FIND("[",Tasks[[#This Row],[_Res2Text]]&amp;"[")-1)),res_Initials,0),0)))</f>
        <v>0</v>
      </c>
      <c r="DQ161" s="43" t="n">
        <f aca="false">IF(Tasks[[#This Row],[_Res3Text]]="",0,IFERROR(MATCH(TRIM(LEFT(Tasks[[#This Row],[_Res3Text]],FIND("[",Tasks[[#This Row],[_Res3Text]]&amp;"[")-1)),res_Name,0),IFERROR(MATCH(TRIM(LEFT(Tasks[[#This Row],[_Res3Text]],FIND("[",Tasks[[#This Row],[_Res3Text]]&amp;"[")-1)),res_Initials,0),0)))</f>
        <v>0</v>
      </c>
      <c r="DR161" s="43" t="n">
        <f aca="false">IF(Tasks[[#This Row],[_Res4Text]]="",0,IFERROR(MATCH(TRIM(LEFT(Tasks[[#This Row],[_Res4Text]],FIND("[",Tasks[[#This Row],[_Res4Text]]&amp;"[")-1)),res_Name,0),IFERROR(MATCH(TRIM(LEFT(Tasks[[#This Row],[_Res4Text]],FIND("[",Tasks[[#This Row],[_Res4Text]]&amp;"[")-1)),res_Initials,0),0)))</f>
        <v>0</v>
      </c>
      <c r="DS161" s="43" t="str">
        <f aca="false">IF(Tasks[[#This Row],[_Res1Text]]="","",IF(Tasks[[#This Row],[_Res1Row]]&gt;0,INDEX(res_Name,Tasks[[#This Row],[_Res1Row]]),TRIM(LEFT(Tasks[[#This Row],[_Res1Text]],FIND("[",Tasks[[#This Row],[_Res1Text]]&amp;"[")-1))))</f>
        <v/>
      </c>
      <c r="DT1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3" t="n">
        <f aca="false">IF(NOT(Tasks[[#This Row],[_IsLeaf]]=1),0,(Tasks[[#This Row],[_Resource1]]&lt;&gt;"")+(Tasks[[#This Row],[_Res2]]&lt;&gt;"")+(Tasks[[#This Row],[_Res3]]&lt;&gt;"")+(Tasks[[#This Row],[_Res4]]&lt;&gt;""))</f>
        <v>0</v>
      </c>
      <c r="DV161" s="43" t="str">
        <f aca="false">IF(Tasks[[#This Row],[_Res2Text]]="","",IF(Tasks[[#This Row],[_Res2Row]]&gt;0,INDEX(res_Name,Tasks[[#This Row],[_Res2Row]]),TRIM(LEFT(Tasks[[#This Row],[_Res2Text]],FIND("[",Tasks[[#This Row],[_Res2Text]]&amp;"[")-1))))</f>
        <v/>
      </c>
      <c r="DW1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3" t="n">
        <f aca="false">IF(OR(NOT(Tasks[[#This Row],[_IsLeaf]]=1),Tasks[[#This Row],[_Res2Row]]=0),0,N(Tasks[[#This Row],[_Days]])*HoursPerDay*IF(Tasks[[#This Row],[_Res2Units]]="",DefaultUnits,Tasks[[#This Row],[_Res2Units]]))</f>
        <v>0</v>
      </c>
      <c r="DY161" s="43" t="n">
        <f aca="false">IF(AND(AND(Tasks[[#This Row],[_IsLeaf]]=1,Tasks[[#This Row],[_LeafTotalWork]]&gt;0),Tasks[[#This Row],[_Res2Work]]&gt;0),Tasks[[#This Row],[_Res2Work]]/(Tasks[[#This Row],[_FinishWorkday]]-Tasks[[#This Row],[_StartWorkday]]+1),0)</f>
        <v>0</v>
      </c>
      <c r="DZ161" s="43" t="n">
        <f aca="false">Tasks[[#This Row],[_Res2WorkPerWD]]*MAX(0,Tasks[[#This Row],[_StartWorkday]]-1)</f>
        <v>0</v>
      </c>
      <c r="EA161" s="43" t="n">
        <f aca="false">Tasks[[#This Row],[_Res2Work]]*Tasks[[#This Row],[_LeafProgress]]</f>
        <v>0</v>
      </c>
      <c r="EB161" s="43" t="str">
        <f aca="false">IF(Tasks[[#This Row],[_Res3Text]]="","",IF(Tasks[[#This Row],[_Res3Row]]&gt;0,INDEX(res_Name,Tasks[[#This Row],[_Res3Row]]),TRIM(LEFT(Tasks[[#This Row],[_Res3Text]],FIND("[",Tasks[[#This Row],[_Res3Text]]&amp;"[")-1))))</f>
        <v/>
      </c>
      <c r="EC1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3" t="n">
        <f aca="false">IF(OR(NOT(Tasks[[#This Row],[_IsLeaf]]=1),Tasks[[#This Row],[_Res3Row]]=0),0,N(Tasks[[#This Row],[_Days]])*HoursPerDay*IF(Tasks[[#This Row],[_Res3Units]]="",DefaultUnits,Tasks[[#This Row],[_Res3Units]]))</f>
        <v>0</v>
      </c>
      <c r="EE161" s="43" t="n">
        <f aca="false">IF(AND(AND(Tasks[[#This Row],[_IsLeaf]]=1,Tasks[[#This Row],[_LeafTotalWork]]&gt;0),Tasks[[#This Row],[_Res3Work]]&gt;0),Tasks[[#This Row],[_Res3Work]]/(Tasks[[#This Row],[_FinishWorkday]]-Tasks[[#This Row],[_StartWorkday]]+1),0)</f>
        <v>0</v>
      </c>
      <c r="EF161" s="43" t="n">
        <f aca="false">Tasks[[#This Row],[_Res3WorkPerWD]]*MAX(0,Tasks[[#This Row],[_StartWorkday]]-1)</f>
        <v>0</v>
      </c>
      <c r="EG161" s="43" t="n">
        <f aca="false">Tasks[[#This Row],[_Res3Work]]*Tasks[[#This Row],[_LeafProgress]]</f>
        <v>0</v>
      </c>
      <c r="EH161" s="43" t="str">
        <f aca="false">IF(Tasks[[#This Row],[_Res4Text]]="","",IF(Tasks[[#This Row],[_Res4Row]]&gt;0,INDEX(res_Name,Tasks[[#This Row],[_Res4Row]]),TRIM(LEFT(Tasks[[#This Row],[_Res4Text]],FIND("[",Tasks[[#This Row],[_Res4Text]]&amp;"[")-1))))</f>
        <v/>
      </c>
      <c r="EI1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3" t="n">
        <f aca="false">IF(OR(NOT(Tasks[[#This Row],[_IsLeaf]]=1),Tasks[[#This Row],[_Res4Row]]=0),0,N(Tasks[[#This Row],[_Days]])*HoursPerDay*IF(Tasks[[#This Row],[_Res4Units]]="",DefaultUnits,Tasks[[#This Row],[_Res4Units]]))</f>
        <v>0</v>
      </c>
      <c r="EK161" s="43" t="n">
        <f aca="false">IF(AND(AND(Tasks[[#This Row],[_IsLeaf]]=1,Tasks[[#This Row],[_LeafTotalWork]]&gt;0),Tasks[[#This Row],[_Res4Work]]&gt;0),Tasks[[#This Row],[_Res4Work]]/(Tasks[[#This Row],[_FinishWorkday]]-Tasks[[#This Row],[_StartWorkday]]+1),0)</f>
        <v>0</v>
      </c>
      <c r="EL161" s="43" t="n">
        <f aca="false">Tasks[[#This Row],[_Res4WorkPerWD]]*MAX(0,Tasks[[#This Row],[_StartWorkday]]-1)</f>
        <v>0</v>
      </c>
      <c r="EM161" s="43" t="n">
        <f aca="false">Tasks[[#This Row],[_Res4Work]]*Tasks[[#This Row],[_LeafProgress]]</f>
        <v>0</v>
      </c>
      <c r="EN161" s="43" t="n">
        <f aca="false">IF(ISNUMBER(Tasks[[#This Row],[% Complete]]),Tasks[[#This Row],[% Complete]],IF(Tasks[[#This Row],[Stage]]="",0,IFERROR(INDEX(stg_Pct,MATCH(Tasks[[#This Row],[Stage]],stg_Name,0)),0)))</f>
        <v>0</v>
      </c>
      <c r="EO161" s="43" t="n">
        <f aca="false">IF(NOT(Tasks[[#This Row],[_IsLeaf]]=1),0,IF(N(Tasks[[#This Row],[Actual Finish]])&gt;0,1,MIN(1,Tasks[[#This Row],[_Pct]])))</f>
        <v>0</v>
      </c>
      <c r="EP161" s="43" t="n">
        <f aca="false">IF(OR(NOT(Tasks[[#This Row],[_IsLeaf]]=1),Tasks[[#This Row],[_Res1Row]]=0),0,N(Tasks[[#This Row],[_Days]])*HoursPerDay*IF(Tasks[[#This Row],[_Units1]]="",DefaultUnits,Tasks[[#This Row],[_Units1]]))</f>
        <v>0</v>
      </c>
      <c r="EQ161" s="43" t="n">
        <f aca="false">Tasks[[#This Row],[_LeafWork]]+Tasks[[#This Row],[_Res2Work]]+Tasks[[#This Row],[_Res3Work]]+Tasks[[#This Row],[_Res4Work]]</f>
        <v>0</v>
      </c>
      <c r="ER1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3" t="n">
        <f aca="false">IF(NOT(Tasks[[#This Row],[_IsLeaf]]=1),0,MAX(_xlfn.MAXIFS(Tasks[_Row],Tasks[_Pred1UID],Tasks[[#This Row],[UID]]),_xlfn.MAXIFS(Tasks[_Row],Tasks[_Pred2UID],Tasks[[#This Row],[UID]]),_xlfn.MAXIFS(Tasks[_Row],Tasks[_Pred3UID],Tasks[[#This Row],[UID]]),_xlfn.MAXIFS(Tasks[_Row],Tasks[_Pred4UID],Tasks[[#This Row],[UID]])))</f>
        <v>0</v>
      </c>
      <c r="FA1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91" t="str">
        <f aca="false">IF(NOT(Tasks[[#This Row],[_IsLeaf]]=1),"",IF(N(Tasks[[#This Row],[_Days]])&lt;=0,Tasks[[#This Row],[_LeafLateFinish]],WORKDAY.INTL(Tasks[[#This Row],[_LeafLateFinish]],-(Tasks[[#This Row],[_Days]]-1),WorkWeek,Holidays)))</f>
        <v/>
      </c>
      <c r="FD1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1" s="90" t="b">
        <f aca="false">AND(Tasks[[#This Row],[_IsLeaf]]=1,Tasks[[#This Row],[_LeafProgress]]&lt;1,N(Tasks[[#This Row],[_LeafTotalSlack]])&lt;=CriticalSlackDays)</f>
        <v>0</v>
      </c>
      <c r="FF161" s="43" t="n">
        <f aca="false">IF(AND(Tasks[[#This Row],[_IsLeaf]]=1,Tasks[[#This Row],[_ConstraintCode]]=1,Tasks[[#This Row],[Mode]]&lt;&gt;"Manual",N(Tasks[[#This Row],[Actual Start]])=0),MAX(0,N(Tasks[[#This Row],[Free Slack]])),0)</f>
        <v>0</v>
      </c>
      <c r="FG161" s="91" t="str">
        <f aca="false">IF(NOT(Tasks[[#This Row],[_IsLeaf]]=1),"",IF(Tasks[[#This Row],[_AlapShift]]=0,Tasks[[#This Row],[_LeafCalcStart]],WORKDAY.INTL(Tasks[[#This Row],[_LeafCalcStart]],Tasks[[#This Row],[_AlapShift]],WorkWeek,Holidays)))</f>
        <v/>
      </c>
      <c r="FH161" s="91" t="str">
        <f aca="false">IF(NOT(Tasks[[#This Row],[_IsLeaf]]=1),"",IF(Tasks[[#This Row],[_AlapShift]]=0,Tasks[[#This Row],[_LeafCalcFinish]],WORKDAY.INTL(Tasks[[#This Row],[_LeafCalcFinish]],Tasks[[#This Row],[_AlapShift]],WorkWeek,Holidays)))</f>
        <v/>
      </c>
      <c r="FI161" s="91" t="str">
        <f aca="false">IF(NOT(Tasks[[#This Row],[_IsLeaf]]=1),"",IF(Tasks[[#This Row],[_AlapShift]]=0,Tasks[[#This Row],[_LeafFcstStart]],WORKDAY.INTL(Tasks[[#This Row],[_LeafFcstStart]],Tasks[[#This Row],[_AlapShift]],WorkWeek,Holidays)))</f>
        <v/>
      </c>
      <c r="FJ161" s="91" t="str">
        <f aca="false">IF(NOT(Tasks[[#This Row],[_IsLeaf]]=1),"",IF(Tasks[[#This Row],[_AlapShift]]=0,Tasks[[#This Row],[_LeafFcstFinish]],WORKDAY.INTL(Tasks[[#This Row],[_LeafFcstFinish]],Tasks[[#This Row],[_AlapShift]],WorkWeek,Holidays)))</f>
        <v/>
      </c>
      <c r="FK161" s="91" t="str">
        <f aca="false">IF(Tasks[[#This Row],[Task Name]]="","",IF(Tasks[[#This Row],[_IsSummary]],MIN(INDEX(Tasks[_ShownCalcStart],Tasks[[#This Row],[_Row]]+1):INDEX(Tasks[_ShownCalcStart],Tasks[[#This Row],[_Row]]+Tasks[[#This Row],[_Descendants]])),Tasks[[#This Row],[_ShownCalcStart]]))</f>
        <v/>
      </c>
      <c r="FL161" s="91" t="str">
        <f aca="false">IF(Tasks[[#This Row],[Task Name]]="","",IF(Tasks[[#This Row],[_IsSummary]],MAX(INDEX(Tasks[_ShownCalcFinish],Tasks[[#This Row],[_Row]]+1):INDEX(Tasks[_ShownCalcFinish],Tasks[[#This Row],[_Row]]+Tasks[[#This Row],[_Descendants]])),Tasks[[#This Row],[_ShownCalcFinish]]))</f>
        <v/>
      </c>
      <c r="FM1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1" s="43" t="n">
        <f aca="false">IF(AND(Tasks[[#This Row],[_IsLeaf]]=1,Tasks[[#This Row],[_LeafTotalWork]]&gt;0),NETWORKDAYS.INTL(ProjectStart,Tasks[[#This Row],[_ShownFcstStart]],WorkWeek,Holidays),0)</f>
        <v>0</v>
      </c>
      <c r="FZ161" s="43" t="n">
        <f aca="false">IF(AND(Tasks[[#This Row],[_IsLeaf]]=1,Tasks[[#This Row],[_LeafTotalWork]]&gt;0),MAX(Tasks[[#This Row],[_StartWorkday]],NETWORKDAYS.INTL(ProjectStart,Tasks[[#This Row],[_ShownFcstFinish]],WorkWeek,Holidays)),0)</f>
        <v>0</v>
      </c>
      <c r="GA161" s="43" t="n">
        <f aca="false">IF(AND(Tasks[[#This Row],[_IsLeaf]]=1,Tasks[[#This Row],[_LeafTotalWork]]&gt;0),Tasks[[#This Row],[_LeafWork]]/(Tasks[[#This Row],[_FinishWorkday]]-Tasks[[#This Row],[_StartWorkday]]+1),0)</f>
        <v>0</v>
      </c>
      <c r="GB161" s="43" t="n">
        <f aca="false">Tasks[[#This Row],[_WorkPerWorkday]]*(Tasks[[#This Row],[_StartWorkday]]-1)</f>
        <v>-0</v>
      </c>
      <c r="GC161" s="43" t="n">
        <f aca="false">IF(Tasks[[#This Row],[_IsLeaf]]=1,MAX(N(Tasks[[#This Row],[_Days]]),0.1),0)</f>
        <v>0</v>
      </c>
      <c r="GD161" s="43" t="n">
        <f aca="false">Tasks[[#This Row],[_WeightDur]]*Tasks[[#This Row],[_LeafProgress]]</f>
        <v>0</v>
      </c>
      <c r="GE161" s="43" t="n">
        <f aca="false">Tasks[[#This Row],[_WeightDur]]*Tasks[[#This Row],[_PlannedPct]]</f>
        <v>0</v>
      </c>
      <c r="GF1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3" t="str">
        <f aca="false">IF(AND(Tasks[[#This Row],[_IsLeaf]]=1,N(Tasks[[#This Row],[_Days]])=0,Tasks[[#This Row],[_LeafProgress]]&lt;1),Tasks[[#This Row],[_ShownFcstFinish]]+Tasks[[#This Row],[_Row]]/100000,"")</f>
        <v/>
      </c>
      <c r="GH1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1" s="43" t="str">
        <f aca="false">IF(Tasks[[#This Row],[Task Name]]="","",LEFT(Tasks[[#This Row],[WBS]],FIND(".",Tasks[[#This Row],[WBS]]&amp;".")-1))</f>
        <v/>
      </c>
      <c r="GJ161" s="43" t="str">
        <f aca="false">IF(AND(Tasks[[#This Row],[Task Name]]&lt;&gt;"",Tasks[[#This Row],[_Level]]=1),Tasks[[#This Row],[_Row]],"")</f>
        <v/>
      </c>
      <c r="GK161" s="43" t="str">
        <f aca="false">IF(AND(Tasks[[#This Row],[_IsLeaf]]=1,N(Tasks[[#This Row],[_Days]])=0),Tasks[[#This Row],[Planned Finish]]+Tasks[[#This Row],[_Row]]/100000,"")</f>
        <v/>
      </c>
      <c r="GL161" s="43" t="str">
        <f aca="false">IF(AND(Tasks[[#This Row],[_IsLeaf]]=1,Tasks[[#This Row],[_LeafProgress]]&lt;1,OR(N(Tasks[[#This Row],[Finish Var]])&gt;0,Tasks[[#This Row],[Status]]="Late Start")),MAX(0,Tasks[[#This Row],[Finish Var]])+1-Tasks[[#This Row],[_Row]]/1000000,"")</f>
        <v/>
      </c>
      <c r="GM161" s="43" t="str">
        <f aca="false">IF(AND(Tasks[[#This Row],[_IsLeaf]]=1,N(Tasks[[#This Row],[Actual Start]])=0,Tasks[[#This Row],[_ShownFcstStart]]&gt;=StatusDate,Tasks[[#This Row],[_ShownFcstStart]]&lt;=LookaheadEnd),Tasks[[#This Row],[_ShownFcstStart]]+Tasks[[#This Row],[_Row]]/100000,"")</f>
        <v/>
      </c>
      <c r="GN161" s="43" t="str">
        <f aca="false">IF(AND(Tasks[[#This Row],[_IsLeaf]]=1,Tasks[[#This Row],[_LeafProgress]]&lt;1,Tasks[[#This Row],[_ShownFcstFinish]]&gt;=StatusDate,Tasks[[#This Row],[_ShownFcstFinish]]&lt;=LookaheadEnd),Tasks[[#This Row],[_ShownFcstFinish]]+Tasks[[#This Row],[_Row]]/100000,"")</f>
        <v/>
      </c>
      <c r="GO161" s="43" t="str">
        <f aca="false">IF(Tasks[[#This Row],[_LeafCritical]],Tasks[[#This Row],[_ShownFcstStart]]+Tasks[[#This Row],[_Row]]/100000,"")</f>
        <v/>
      </c>
      <c r="GP161" s="43" t="n">
        <f aca="false">Tasks[[#This Row],[_LeafWork]]*Tasks[[#This Row],[_LeafProgress]]</f>
        <v>0</v>
      </c>
      <c r="GQ161" s="91" t="str">
        <f aca="false">IF(AND(Tasks[[#This Row],[_IsLeaf]]=1,Tasks[[#This Row],[_LeafProgress]]&gt;=1),IF(N(Tasks[[#This Row],[Actual Finish]])&gt;0,Tasks[[#This Row],[Actual Finish]],Tasks[[#This Row],[_ShownFcstFinish]]),"")</f>
        <v/>
      </c>
      <c r="GR161" s="43" t="n">
        <f aca="false">IF(Tasks[[#This Row],[_IsLeaf]]=1,N(Tasks[[#This Row],[Story Points]]),0)</f>
        <v>0</v>
      </c>
      <c r="GS161" s="43" t="str">
        <f aca="false">""</f>
        <v/>
      </c>
      <c r="GT161" s="90" t="b">
        <f aca="false">IF(Tasks[[#This Row],[Task Name]]="",FALSE(),AND(Tasks[[#This Row],[_IsLeaf]]=1,N(Tasks[[#This Row],[_Days]])=0))</f>
        <v>0</v>
      </c>
      <c r="GU161" s="91" t="n">
        <f aca="false">IF(Tasks[[#This Row],[Task Name]]="",0,IF(AND(Tasks[[#This Row],[_IsLeaf]]=1,NOT(Tasks[[#This Row],[_IsMilestone]]),N(Tasks[[#This Row],[Progress]])&gt;0),Tasks[[#This Row],[Start]],0))</f>
        <v>0</v>
      </c>
      <c r="GV161" s="91" t="n">
        <f aca="false">IF(Tasks[[#This Row],[_DoneFrom]]=0,0,IF(Tasks[[#This Row],[Progress]]&gt;=1,Tasks[[#This Row],[Finish]],MAX(Tasks[[#This Row],[_DoneFrom]],Tasks[[#This Row],[Start]]+ROUND((Tasks[[#This Row],[Finish]]-Tasks[[#This Row],[Start]]+1)*Tasks[[#This Row],[Progress]],0)-1)))</f>
        <v>0</v>
      </c>
      <c r="GW161" s="91" t="n">
        <f aca="false">IF(Tasks[[#This Row],[Task Name]]="",0,IF(OR(NOT(Tasks[[#This Row],[_IsLeaf]]=1),Tasks[[#This Row],[_IsMilestone]],N(Tasks[[#This Row],[Progress]])&gt;=1),0,IF(Tasks[[#This Row],[_DoneTo]]&gt;0,Tasks[[#This Row],[_DoneTo]]+1,Tasks[[#This Row],[Start]])))</f>
        <v>0</v>
      </c>
      <c r="GX161" s="91" t="n">
        <f aca="false">IF(Tasks[[#This Row],[_RemFrom]]=0,0,Tasks[[#This Row],[Finish]])</f>
        <v>0</v>
      </c>
      <c r="GY161" s="90" t="b">
        <f aca="false">IF(Tasks[[#This Row],[Task Name]]="",FALSE(),OR(NOT(BaselineSet),N(Tasks[[#This Row],[Baseline Start]])&gt;0))</f>
        <v>0</v>
      </c>
      <c r="GZ16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92" t="str">
        <f aca="false">IF(Tasks[[#This Row],[_IsLeaf]]=1,Tasks[[#This Row],[_Row]],"")</f>
        <v/>
      </c>
      <c r="HD161" s="92" t="str">
        <f aca="false">IFERROR(INDEX(Tasks[UID],SMALL(Tasks[_PickKey],Tasks[[#This Row],[_Row]]))&amp;" "&amp;INDEX(Tasks[Task Name],SMALL(Tasks[_PickKey],Tasks[[#This Row],[_Row]])),"")</f>
        <v/>
      </c>
      <c r="HE161" s="43" t="str">
        <f aca="false">IF(Tasks[[#This Row],[Task Name]]="","",IF(Tasks[[#This Row],[_IsSummary]],NETWORKDAYS.INTL(Tasks[[#This Row],[Start]],Tasks[[#This Row],[Finish]],WorkWeek,Holidays),N(Tasks[[#This Row],[_Days]])))</f>
        <v/>
      </c>
      <c r="HF161" s="43" t="n">
        <f aca="false">IF(Tasks[[#This Row],[Expected]]="",0,((Tasks[[#This Row],[Pessimistic]]-Tasks[[#This Row],[Optimistic]])/6)^2)</f>
        <v>0</v>
      </c>
      <c r="HG161" s="43" t="n">
        <f aca="false">IF(Tasks[[#This Row],[Expected]]="",0,Tasks[[#This Row],[Expected]]-N(Tasks[[#This Row],[_Days]]))</f>
        <v>0</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4"/>
      <c r="U162" s="23"/>
      <c r="V162" s="84"/>
      <c r="W162" s="23"/>
      <c r="X162" s="84"/>
      <c r="Y162" s="23"/>
      <c r="Z162" s="84"/>
      <c r="AA162" s="23"/>
      <c r="AB162" s="23"/>
      <c r="AC162" s="7"/>
      <c r="AD162" s="7"/>
      <c r="AE162" s="63" t="str">
        <f aca="false">IF(Tasks[[#This Row],[Task Name]]="","",IF(Tasks[[#This Row],[_IsSummary]],MIN(INDEX(Tasks[_ShownFcstStart],Tasks[[#This Row],[_Row]]+1):INDEX(Tasks[_ShownFcstStart],Tasks[[#This Row],[_Row]]+Tasks[[#This Row],[_Descendants]])),Tasks[[#This Row],[_ShownFcstStart]]))</f>
        <v/>
      </c>
      <c r="AF162" s="63"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2" s="7"/>
      <c r="AK162" s="22"/>
      <c r="AL162" s="23"/>
      <c r="AM162" s="7"/>
      <c r="AN162" s="47"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3" t="str">
        <f aca="false">IF(Tasks[[#This Row],[Task Name]]="","",IF(N(Tasks[[#This Row],[Baseline Start]])&gt;0,Tasks[[#This Row],[Baseline Start]],Tasks[[#This Row],[_CalcStart]]))</f>
        <v/>
      </c>
      <c r="AR162" s="63" t="str">
        <f aca="false">IF(Tasks[[#This Row],[Task Name]]="","",IF(N(Tasks[[#This Row],[Baseline Finish]])&gt;0,Tasks[[#This Row],[Baseline Finish]],Tasks[[#This Row],[_CalcFinish]]))</f>
        <v/>
      </c>
      <c r="AS162" s="47" t="str">
        <f aca="false">IF(Tasks[[#This Row],[Task Name]]="","",IF(Tasks[[#This Row],[Start]]&gt;=Tasks[[#This Row],[Planned Start]],NETWORKDAYS.INTL(Tasks[[#This Row],[Planned Start]],Tasks[[#This Row],[Start]],WorkWeek,Holidays)-1,1-NETWORKDAYS.INTL(Tasks[[#This Row],[Start]],Tasks[[#This Row],[Planned Start]],WorkWeek,Holidays)))</f>
        <v/>
      </c>
      <c r="AT162" s="63" t="str">
        <f aca="false">IF(Tasks[[#This Row],[Task Name]]="","",IF(Tasks[[#This Row],[_IsSummary]],MIN(INDEX(Tasks[_LeafLateStart],Tasks[[#This Row],[_Row]]+1):INDEX(Tasks[_LeafLateStart],Tasks[[#This Row],[_Row]]+Tasks[[#This Row],[_Descendants]])),Tasks[[#This Row],[_LeafLateStart]]))</f>
        <v/>
      </c>
      <c r="AU162" s="63" t="str">
        <f aca="false">IF(Tasks[[#This Row],[Task Name]]="","",IF(Tasks[[#This Row],[_IsSummary]],MAX(INDEX(Tasks[_LeafLateFinish],Tasks[[#This Row],[_Row]]+1):INDEX(Tasks[_LeafLateFinish],Tasks[[#This Row],[_Row]]+Tasks[[#This Row],[_Descendants]])),Tasks[[#This Row],[_LeafLateFinish]]))</f>
        <v/>
      </c>
      <c r="AV162" s="47"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5"/>
      <c r="BA1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6"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7"/>
      <c r="BJ162" s="22"/>
      <c r="BK162" s="47" t="str">
        <f aca="false">IF(OR(Tasks[[#This Row],[Task Name]]="",Tasks[[#This Row],[Baseline Duration]]=""),"",Tasks[[#This Row],[_SpanDays]]-N(Tasks[[#This Row],[Baseline Duration]]))</f>
        <v/>
      </c>
      <c r="BL162" s="86" t="str">
        <f aca="false">IF(OR(Tasks[[#This Row],[Task Name]]="",Tasks[[#This Row],[Baseline Work]]=""),"",Tasks[[#This Row],[Work]]-N(Tasks[[#This Row],[Baseline Work]]))</f>
        <v/>
      </c>
      <c r="BM162" s="63" t="str">
        <f aca="false">IF(Tasks[[#This Row],[Task Name]]="","",IF(OR(TakeBaseline="Yes",N(Tasks[[#This Row],[Baseline Start]])=0),Tasks[[#This Row],[Start]],Tasks[[#This Row],[Baseline Start]]))</f>
        <v/>
      </c>
      <c r="BN162" s="63" t="str">
        <f aca="false">IF(Tasks[[#This Row],[Task Name]]="","",IF(OR(TakeBaseline="Yes",N(Tasks[[#This Row],[Baseline Finish]])=0),Tasks[[#This Row],[Finish]],Tasks[[#This Row],[Baseline Finish]]))</f>
        <v/>
      </c>
      <c r="BO162" s="21" t="str">
        <f aca="false">IF(Tasks[[#This Row],[Task Name]]="","",IF(OR(TakeBaseline="Yes",N(Tasks[[#This Row],[Baseline Duration]])=0),Tasks[[#This Row],[_SpanDays]],Tasks[[#This Row],[Baseline Duration]]))</f>
        <v/>
      </c>
      <c r="BP162" s="86" t="str">
        <f aca="false">IF(Tasks[[#This Row],[Task Name]]="","",IF(OR(TakeBaseline="Yes",N(Tasks[[#This Row],[Baseline Work]])=0),Tasks[[#This Row],[Work]],Tasks[[#This Row],[Baseline Work]]))</f>
        <v/>
      </c>
      <c r="BQ162" s="7"/>
      <c r="BR162" s="7"/>
      <c r="BS162" s="22"/>
      <c r="BT162" s="88"/>
      <c r="BU162" s="23"/>
      <c r="BV162" s="23"/>
      <c r="BW162" s="23"/>
      <c r="BX162" s="89" t="str">
        <f aca="false">IF(AND(Tasks[[#This Row],[_IsLeaf]]=1,ISNUMBER(Tasks[[#This Row],[Optimistic]]),ISNUMBER(Tasks[[#This Row],[Pessimistic]])),ROUND((Tasks[[#This Row],[Optimistic]]+4*N(Tasks[[#This Row],[_Days]])+Tasks[[#This Row],[Pessimistic]])/6,1),"")</f>
        <v/>
      </c>
      <c r="BY162" s="87"/>
      <c r="BZ162" s="87"/>
      <c r="CA162" s="22"/>
      <c r="CB162" s="43" t="str">
        <f aca="false">IF(Tasks[[#This Row],[Task Name]]="","",MAX(1,N(Tasks[[#This Row],[Level]])))</f>
        <v/>
      </c>
      <c r="CC162" s="43" t="n">
        <f aca="false">ROW()-ROW(Tasks[[#Headers],[ID]])</f>
        <v>157</v>
      </c>
      <c r="CD162" s="43" t="n">
        <f aca="false">IF(OR(Tasks[[#This Row],[Task Name]]="",Tasks[[#This Row],[_Level]]&lt;=1),0,IFERROR(LOOKUP(2,1/(Tasks[[#Headers],[_Level]]:Tasks[[#This Row],[_Level]]=Tasks[[#This Row],[_Level]]-1),ROW(Tasks[[#Headers],[_Level]]:Tasks[[#This Row],[_Level]])),0))</f>
        <v>0</v>
      </c>
      <c r="CE162" s="43" t="n">
        <f aca="false">IFERROR(N(INDEX(Tasks[_Level],Tasks[[#This Row],[_Row]]+1)),0)</f>
        <v>0</v>
      </c>
      <c r="CF162" s="90" t="b">
        <f aca="false">AND(Tasks[[#This Row],[Task Name]]&lt;&gt;"",Tasks[[#This Row],[_NextLevel]]&gt;Tasks[[#This Row],[_Level]])</f>
        <v>0</v>
      </c>
      <c r="CG162" s="43" t="n">
        <f aca="false">IF(Tasks[[#This Row],[_IsSummary]],COUNTIF(Tasks[WBS],Tasks[[#This Row],[WBS]]&amp;".*"),0)</f>
        <v>0</v>
      </c>
      <c r="CH162" s="43" t="n">
        <f aca="false">IF(AND(Tasks[[#This Row],[Task Name]]&lt;&gt;"",NOT(Tasks[[#This Row],[_IsSummary]])),1,0)</f>
        <v>0</v>
      </c>
      <c r="CI162" s="43" t="n">
        <f aca="false">IF(N(Tasks[[#This Row],[_Pred1UID]])=0,0,IFERROR(MATCH(Tasks[[#This Row],[_Pred1UID]],Tasks[UID],0),-1))</f>
        <v>0</v>
      </c>
      <c r="CJ162" s="43" t="n">
        <f aca="false">IF(N(Tasks[[#This Row],[_Pred2UID]])=0,0,IFERROR(MATCH(Tasks[[#This Row],[_Pred2UID]],Tasks[UID],0),-1))</f>
        <v>0</v>
      </c>
      <c r="CK162" s="43" t="n">
        <f aca="false">IF(N(Tasks[[#This Row],[_Pred3UID]])=0,0,IFERROR(MATCH(Tasks[[#This Row],[_Pred3UID]],Tasks[UID],0),-1))</f>
        <v>0</v>
      </c>
      <c r="CL162" s="43" t="n">
        <f aca="false">IF(N(Tasks[[#This Row],[_Pred4UID]])=0,0,IFERROR(MATCH(Tasks[[#This Row],[_Pred4UID]],Tasks[UID],0),-1))</f>
        <v>0</v>
      </c>
      <c r="CM1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2" s="91" t="n">
        <f aca="false">IF(OR(Tasks[[#This Row],[_ConstraintCode]]=2,Tasks[[#This Row],[_ConstraintCode]]=3,Tasks[[#This Row],[_ConstraintCode]]=4,Tasks[[#This Row],[_ConstraintCode]]=6),Tasks[[#This Row],[_ConstraintStart]],0)</f>
        <v>0</v>
      </c>
      <c r="CP162" s="91" t="n">
        <f aca="false">IF(OR(Tasks[[#This Row],[_ConstraintCode]]=2,Tasks[[#This Row],[_ConstraintCode]]=3,Tasks[[#This Row],[_ConstraintCode]]=5,Tasks[[#This Row],[_ConstraintCode]]=7),Tasks[[#This Row],[_ConstraintStart]],2958465)</f>
        <v>2958465</v>
      </c>
      <c r="CQ1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91" t="str">
        <f aca="false">IF(NOT(Tasks[[#This Row],[_IsLeaf]]=1),"",IF(N(Tasks[[#This Row],[_Days]])&lt;=0,Tasks[[#This Row],[_LeafCalcStart]],WORKDAY.INTL(Tasks[[#This Row],[_LeafCalcStart]],Tasks[[#This Row],[_Days]]-1,WorkWeek,Holidays)))</f>
        <v/>
      </c>
      <c r="CS1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3" t="str">
        <f aca="false">IF(Tasks[[#This Row],[_Predecessors]]="","",TRIM(MID(SUBSTITUTE(SUBSTITUTE(SUBSTITUTE(UPPER(Tasks[[#This Row],[_Predecessors]]),";",",")," ",""),",",REPT(" ",99)),1,99)))</f>
        <v/>
      </c>
      <c r="CV162" s="43" t="str">
        <f aca="false">IF(Tasks[[#This Row],[_Pred1Text]]="","",IFERROR(VALUE(LEFT(Tasks[[#This Row],[_Pred1Text]],MIN(FIND("F",Tasks[[#This Row],[_Pred1Text]]&amp;"F"),FIND("S",Tasks[[#This Row],[_Pred1Text]]&amp;"S"),FIND("+",Tasks[[#This Row],[_Pred1Text]]&amp;"+"),FIND("-",Tasks[[#This Row],[_Pred1Text]]&amp;"-"))-1)),""))</f>
        <v/>
      </c>
      <c r="CW1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3" t="str">
        <f aca="false">IF(Tasks[[#This Row],[_Pred1Text]]="","",TRIM(MID(SUBSTITUTE(SUBSTITUTE(SUBSTITUTE(UPPER(Tasks[[#This Row],[_Predecessors]]),";",",")," ",""),",",REPT(" ",99)),100,99)))</f>
        <v/>
      </c>
      <c r="CZ162" s="43" t="str">
        <f aca="false">IF(Tasks[[#This Row],[_Pred2Text]]="","",IFERROR(VALUE(LEFT(Tasks[[#This Row],[_Pred2Text]],MIN(FIND("F",Tasks[[#This Row],[_Pred2Text]]&amp;"F"),FIND("S",Tasks[[#This Row],[_Pred2Text]]&amp;"S"),FIND("+",Tasks[[#This Row],[_Pred2Text]]&amp;"+"),FIND("-",Tasks[[#This Row],[_Pred2Text]]&amp;"-"))-1)),""))</f>
        <v/>
      </c>
      <c r="DA1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3" t="str">
        <f aca="false">IF(Tasks[[#This Row],[_Pred2Text]]="","",TRIM(MID(SUBSTITUTE(SUBSTITUTE(SUBSTITUTE(UPPER(Tasks[[#This Row],[_Predecessors]]),";",",")," ",""),",",REPT(" ",99)),199,99)))</f>
        <v/>
      </c>
      <c r="DD162" s="43" t="str">
        <f aca="false">IF(Tasks[[#This Row],[_Pred3Text]]="","",IFERROR(VALUE(LEFT(Tasks[[#This Row],[_Pred3Text]],MIN(FIND("F",Tasks[[#This Row],[_Pred3Text]]&amp;"F"),FIND("S",Tasks[[#This Row],[_Pred3Text]]&amp;"S"),FIND("+",Tasks[[#This Row],[_Pred3Text]]&amp;"+"),FIND("-",Tasks[[#This Row],[_Pred3Text]]&amp;"-"))-1)),""))</f>
        <v/>
      </c>
      <c r="DE1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3" t="str">
        <f aca="false">IF(Tasks[[#This Row],[_Pred3Text]]="","",TRIM(MID(SUBSTITUTE(SUBSTITUTE(SUBSTITUTE(UPPER(Tasks[[#This Row],[_Predecessors]]),";",",")," ",""),",",REPT(" ",99)),298,99)))</f>
        <v/>
      </c>
      <c r="DH162" s="43" t="str">
        <f aca="false">IF(Tasks[[#This Row],[_Pred4Text]]="","",IFERROR(VALUE(LEFT(Tasks[[#This Row],[_Pred4Text]],MIN(FIND("F",Tasks[[#This Row],[_Pred4Text]]&amp;"F"),FIND("S",Tasks[[#This Row],[_Pred4Text]]&amp;"S"),FIND("+",Tasks[[#This Row],[_Pred4Text]]&amp;"+"),FIND("-",Tasks[[#This Row],[_Pred4Text]]&amp;"-"))-1)),""))</f>
        <v/>
      </c>
      <c r="DI1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3" t="str">
        <f aca="false">IF(OR(Tasks[[#This Row],[Task Name]]="",Tasks[[#This Row],[_Resources]]=""),"",TRIM(MID(SUBSTITUTE(Tasks[[#This Row],[_Resources]],",",REPT(" ",99)),1,99)))</f>
        <v/>
      </c>
      <c r="DL162" s="43" t="str">
        <f aca="false">IF(Tasks[[#This Row],[_Res1Text]]="","",TRIM(MID(SUBSTITUTE(Tasks[[#This Row],[_Resources]],",",REPT(" ",99)),100,99)))</f>
        <v/>
      </c>
      <c r="DM162" s="43" t="str">
        <f aca="false">IF(Tasks[[#This Row],[_Res2Text]]="","",TRIM(MID(SUBSTITUTE(Tasks[[#This Row],[_Resources]],",",REPT(" ",99)),199,99)))</f>
        <v/>
      </c>
      <c r="DN162" s="43" t="str">
        <f aca="false">IF(Tasks[[#This Row],[_Res3Text]]="","",TRIM(MID(SUBSTITUTE(Tasks[[#This Row],[_Resources]],",",REPT(" ",99)),298,99)))</f>
        <v/>
      </c>
      <c r="DO162" s="43" t="n">
        <f aca="false">IF(Tasks[[#This Row],[_Res1Text]]="",0,IFERROR(MATCH(TRIM(LEFT(Tasks[[#This Row],[_Res1Text]],FIND("[",Tasks[[#This Row],[_Res1Text]]&amp;"[")-1)),res_Name,0),IFERROR(MATCH(TRIM(LEFT(Tasks[[#This Row],[_Res1Text]],FIND("[",Tasks[[#This Row],[_Res1Text]]&amp;"[")-1)),res_Initials,0),0)))</f>
        <v>0</v>
      </c>
      <c r="DP162" s="43" t="n">
        <f aca="false">IF(Tasks[[#This Row],[_Res2Text]]="",0,IFERROR(MATCH(TRIM(LEFT(Tasks[[#This Row],[_Res2Text]],FIND("[",Tasks[[#This Row],[_Res2Text]]&amp;"[")-1)),res_Name,0),IFERROR(MATCH(TRIM(LEFT(Tasks[[#This Row],[_Res2Text]],FIND("[",Tasks[[#This Row],[_Res2Text]]&amp;"[")-1)),res_Initials,0),0)))</f>
        <v>0</v>
      </c>
      <c r="DQ162" s="43" t="n">
        <f aca="false">IF(Tasks[[#This Row],[_Res3Text]]="",0,IFERROR(MATCH(TRIM(LEFT(Tasks[[#This Row],[_Res3Text]],FIND("[",Tasks[[#This Row],[_Res3Text]]&amp;"[")-1)),res_Name,0),IFERROR(MATCH(TRIM(LEFT(Tasks[[#This Row],[_Res3Text]],FIND("[",Tasks[[#This Row],[_Res3Text]]&amp;"[")-1)),res_Initials,0),0)))</f>
        <v>0</v>
      </c>
      <c r="DR162" s="43" t="n">
        <f aca="false">IF(Tasks[[#This Row],[_Res4Text]]="",0,IFERROR(MATCH(TRIM(LEFT(Tasks[[#This Row],[_Res4Text]],FIND("[",Tasks[[#This Row],[_Res4Text]]&amp;"[")-1)),res_Name,0),IFERROR(MATCH(TRIM(LEFT(Tasks[[#This Row],[_Res4Text]],FIND("[",Tasks[[#This Row],[_Res4Text]]&amp;"[")-1)),res_Initials,0),0)))</f>
        <v>0</v>
      </c>
      <c r="DS162" s="43" t="str">
        <f aca="false">IF(Tasks[[#This Row],[_Res1Text]]="","",IF(Tasks[[#This Row],[_Res1Row]]&gt;0,INDEX(res_Name,Tasks[[#This Row],[_Res1Row]]),TRIM(LEFT(Tasks[[#This Row],[_Res1Text]],FIND("[",Tasks[[#This Row],[_Res1Text]]&amp;"[")-1))))</f>
        <v/>
      </c>
      <c r="DT1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3" t="n">
        <f aca="false">IF(NOT(Tasks[[#This Row],[_IsLeaf]]=1),0,(Tasks[[#This Row],[_Resource1]]&lt;&gt;"")+(Tasks[[#This Row],[_Res2]]&lt;&gt;"")+(Tasks[[#This Row],[_Res3]]&lt;&gt;"")+(Tasks[[#This Row],[_Res4]]&lt;&gt;""))</f>
        <v>0</v>
      </c>
      <c r="DV162" s="43" t="str">
        <f aca="false">IF(Tasks[[#This Row],[_Res2Text]]="","",IF(Tasks[[#This Row],[_Res2Row]]&gt;0,INDEX(res_Name,Tasks[[#This Row],[_Res2Row]]),TRIM(LEFT(Tasks[[#This Row],[_Res2Text]],FIND("[",Tasks[[#This Row],[_Res2Text]]&amp;"[")-1))))</f>
        <v/>
      </c>
      <c r="DW1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3" t="n">
        <f aca="false">IF(OR(NOT(Tasks[[#This Row],[_IsLeaf]]=1),Tasks[[#This Row],[_Res2Row]]=0),0,N(Tasks[[#This Row],[_Days]])*HoursPerDay*IF(Tasks[[#This Row],[_Res2Units]]="",DefaultUnits,Tasks[[#This Row],[_Res2Units]]))</f>
        <v>0</v>
      </c>
      <c r="DY162" s="43" t="n">
        <f aca="false">IF(AND(AND(Tasks[[#This Row],[_IsLeaf]]=1,Tasks[[#This Row],[_LeafTotalWork]]&gt;0),Tasks[[#This Row],[_Res2Work]]&gt;0),Tasks[[#This Row],[_Res2Work]]/(Tasks[[#This Row],[_FinishWorkday]]-Tasks[[#This Row],[_StartWorkday]]+1),0)</f>
        <v>0</v>
      </c>
      <c r="DZ162" s="43" t="n">
        <f aca="false">Tasks[[#This Row],[_Res2WorkPerWD]]*MAX(0,Tasks[[#This Row],[_StartWorkday]]-1)</f>
        <v>0</v>
      </c>
      <c r="EA162" s="43" t="n">
        <f aca="false">Tasks[[#This Row],[_Res2Work]]*Tasks[[#This Row],[_LeafProgress]]</f>
        <v>0</v>
      </c>
      <c r="EB162" s="43" t="str">
        <f aca="false">IF(Tasks[[#This Row],[_Res3Text]]="","",IF(Tasks[[#This Row],[_Res3Row]]&gt;0,INDEX(res_Name,Tasks[[#This Row],[_Res3Row]]),TRIM(LEFT(Tasks[[#This Row],[_Res3Text]],FIND("[",Tasks[[#This Row],[_Res3Text]]&amp;"[")-1))))</f>
        <v/>
      </c>
      <c r="EC1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3" t="n">
        <f aca="false">IF(OR(NOT(Tasks[[#This Row],[_IsLeaf]]=1),Tasks[[#This Row],[_Res3Row]]=0),0,N(Tasks[[#This Row],[_Days]])*HoursPerDay*IF(Tasks[[#This Row],[_Res3Units]]="",DefaultUnits,Tasks[[#This Row],[_Res3Units]]))</f>
        <v>0</v>
      </c>
      <c r="EE162" s="43" t="n">
        <f aca="false">IF(AND(AND(Tasks[[#This Row],[_IsLeaf]]=1,Tasks[[#This Row],[_LeafTotalWork]]&gt;0),Tasks[[#This Row],[_Res3Work]]&gt;0),Tasks[[#This Row],[_Res3Work]]/(Tasks[[#This Row],[_FinishWorkday]]-Tasks[[#This Row],[_StartWorkday]]+1),0)</f>
        <v>0</v>
      </c>
      <c r="EF162" s="43" t="n">
        <f aca="false">Tasks[[#This Row],[_Res3WorkPerWD]]*MAX(0,Tasks[[#This Row],[_StartWorkday]]-1)</f>
        <v>0</v>
      </c>
      <c r="EG162" s="43" t="n">
        <f aca="false">Tasks[[#This Row],[_Res3Work]]*Tasks[[#This Row],[_LeafProgress]]</f>
        <v>0</v>
      </c>
      <c r="EH162" s="43" t="str">
        <f aca="false">IF(Tasks[[#This Row],[_Res4Text]]="","",IF(Tasks[[#This Row],[_Res4Row]]&gt;0,INDEX(res_Name,Tasks[[#This Row],[_Res4Row]]),TRIM(LEFT(Tasks[[#This Row],[_Res4Text]],FIND("[",Tasks[[#This Row],[_Res4Text]]&amp;"[")-1))))</f>
        <v/>
      </c>
      <c r="EI1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3" t="n">
        <f aca="false">IF(OR(NOT(Tasks[[#This Row],[_IsLeaf]]=1),Tasks[[#This Row],[_Res4Row]]=0),0,N(Tasks[[#This Row],[_Days]])*HoursPerDay*IF(Tasks[[#This Row],[_Res4Units]]="",DefaultUnits,Tasks[[#This Row],[_Res4Units]]))</f>
        <v>0</v>
      </c>
      <c r="EK162" s="43" t="n">
        <f aca="false">IF(AND(AND(Tasks[[#This Row],[_IsLeaf]]=1,Tasks[[#This Row],[_LeafTotalWork]]&gt;0),Tasks[[#This Row],[_Res4Work]]&gt;0),Tasks[[#This Row],[_Res4Work]]/(Tasks[[#This Row],[_FinishWorkday]]-Tasks[[#This Row],[_StartWorkday]]+1),0)</f>
        <v>0</v>
      </c>
      <c r="EL162" s="43" t="n">
        <f aca="false">Tasks[[#This Row],[_Res4WorkPerWD]]*MAX(0,Tasks[[#This Row],[_StartWorkday]]-1)</f>
        <v>0</v>
      </c>
      <c r="EM162" s="43" t="n">
        <f aca="false">Tasks[[#This Row],[_Res4Work]]*Tasks[[#This Row],[_LeafProgress]]</f>
        <v>0</v>
      </c>
      <c r="EN162" s="43" t="n">
        <f aca="false">IF(ISNUMBER(Tasks[[#This Row],[% Complete]]),Tasks[[#This Row],[% Complete]],IF(Tasks[[#This Row],[Stage]]="",0,IFERROR(INDEX(stg_Pct,MATCH(Tasks[[#This Row],[Stage]],stg_Name,0)),0)))</f>
        <v>0</v>
      </c>
      <c r="EO162" s="43" t="n">
        <f aca="false">IF(NOT(Tasks[[#This Row],[_IsLeaf]]=1),0,IF(N(Tasks[[#This Row],[Actual Finish]])&gt;0,1,MIN(1,Tasks[[#This Row],[_Pct]])))</f>
        <v>0</v>
      </c>
      <c r="EP162" s="43" t="n">
        <f aca="false">IF(OR(NOT(Tasks[[#This Row],[_IsLeaf]]=1),Tasks[[#This Row],[_Res1Row]]=0),0,N(Tasks[[#This Row],[_Days]])*HoursPerDay*IF(Tasks[[#This Row],[_Units1]]="",DefaultUnits,Tasks[[#This Row],[_Units1]]))</f>
        <v>0</v>
      </c>
      <c r="EQ162" s="43" t="n">
        <f aca="false">Tasks[[#This Row],[_LeafWork]]+Tasks[[#This Row],[_Res2Work]]+Tasks[[#This Row],[_Res3Work]]+Tasks[[#This Row],[_Res4Work]]</f>
        <v>0</v>
      </c>
      <c r="ER1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3" t="n">
        <f aca="false">IF(NOT(Tasks[[#This Row],[_IsLeaf]]=1),0,MAX(_xlfn.MAXIFS(Tasks[_Row],Tasks[_Pred1UID],Tasks[[#This Row],[UID]]),_xlfn.MAXIFS(Tasks[_Row],Tasks[_Pred2UID],Tasks[[#This Row],[UID]]),_xlfn.MAXIFS(Tasks[_Row],Tasks[_Pred3UID],Tasks[[#This Row],[UID]]),_xlfn.MAXIFS(Tasks[_Row],Tasks[_Pred4UID],Tasks[[#This Row],[UID]])))</f>
        <v>0</v>
      </c>
      <c r="FA1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91" t="str">
        <f aca="false">IF(NOT(Tasks[[#This Row],[_IsLeaf]]=1),"",IF(N(Tasks[[#This Row],[_Days]])&lt;=0,Tasks[[#This Row],[_LeafLateFinish]],WORKDAY.INTL(Tasks[[#This Row],[_LeafLateFinish]],-(Tasks[[#This Row],[_Days]]-1),WorkWeek,Holidays)))</f>
        <v/>
      </c>
      <c r="FD1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2" s="90" t="b">
        <f aca="false">AND(Tasks[[#This Row],[_IsLeaf]]=1,Tasks[[#This Row],[_LeafProgress]]&lt;1,N(Tasks[[#This Row],[_LeafTotalSlack]])&lt;=CriticalSlackDays)</f>
        <v>0</v>
      </c>
      <c r="FF162" s="43" t="n">
        <f aca="false">IF(AND(Tasks[[#This Row],[_IsLeaf]]=1,Tasks[[#This Row],[_ConstraintCode]]=1,Tasks[[#This Row],[Mode]]&lt;&gt;"Manual",N(Tasks[[#This Row],[Actual Start]])=0),MAX(0,N(Tasks[[#This Row],[Free Slack]])),0)</f>
        <v>0</v>
      </c>
      <c r="FG162" s="91" t="str">
        <f aca="false">IF(NOT(Tasks[[#This Row],[_IsLeaf]]=1),"",IF(Tasks[[#This Row],[_AlapShift]]=0,Tasks[[#This Row],[_LeafCalcStart]],WORKDAY.INTL(Tasks[[#This Row],[_LeafCalcStart]],Tasks[[#This Row],[_AlapShift]],WorkWeek,Holidays)))</f>
        <v/>
      </c>
      <c r="FH162" s="91" t="str">
        <f aca="false">IF(NOT(Tasks[[#This Row],[_IsLeaf]]=1),"",IF(Tasks[[#This Row],[_AlapShift]]=0,Tasks[[#This Row],[_LeafCalcFinish]],WORKDAY.INTL(Tasks[[#This Row],[_LeafCalcFinish]],Tasks[[#This Row],[_AlapShift]],WorkWeek,Holidays)))</f>
        <v/>
      </c>
      <c r="FI162" s="91" t="str">
        <f aca="false">IF(NOT(Tasks[[#This Row],[_IsLeaf]]=1),"",IF(Tasks[[#This Row],[_AlapShift]]=0,Tasks[[#This Row],[_LeafFcstStart]],WORKDAY.INTL(Tasks[[#This Row],[_LeafFcstStart]],Tasks[[#This Row],[_AlapShift]],WorkWeek,Holidays)))</f>
        <v/>
      </c>
      <c r="FJ162" s="91" t="str">
        <f aca="false">IF(NOT(Tasks[[#This Row],[_IsLeaf]]=1),"",IF(Tasks[[#This Row],[_AlapShift]]=0,Tasks[[#This Row],[_LeafFcstFinish]],WORKDAY.INTL(Tasks[[#This Row],[_LeafFcstFinish]],Tasks[[#This Row],[_AlapShift]],WorkWeek,Holidays)))</f>
        <v/>
      </c>
      <c r="FK162" s="91" t="str">
        <f aca="false">IF(Tasks[[#This Row],[Task Name]]="","",IF(Tasks[[#This Row],[_IsSummary]],MIN(INDEX(Tasks[_ShownCalcStart],Tasks[[#This Row],[_Row]]+1):INDEX(Tasks[_ShownCalcStart],Tasks[[#This Row],[_Row]]+Tasks[[#This Row],[_Descendants]])),Tasks[[#This Row],[_ShownCalcStart]]))</f>
        <v/>
      </c>
      <c r="FL162" s="91" t="str">
        <f aca="false">IF(Tasks[[#This Row],[Task Name]]="","",IF(Tasks[[#This Row],[_IsSummary]],MAX(INDEX(Tasks[_ShownCalcFinish],Tasks[[#This Row],[_Row]]+1):INDEX(Tasks[_ShownCalcFinish],Tasks[[#This Row],[_Row]]+Tasks[[#This Row],[_Descendants]])),Tasks[[#This Row],[_ShownCalcFinish]]))</f>
        <v/>
      </c>
      <c r="FM1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2" s="43" t="n">
        <f aca="false">IF(AND(Tasks[[#This Row],[_IsLeaf]]=1,Tasks[[#This Row],[_LeafTotalWork]]&gt;0),NETWORKDAYS.INTL(ProjectStart,Tasks[[#This Row],[_ShownFcstStart]],WorkWeek,Holidays),0)</f>
        <v>0</v>
      </c>
      <c r="FZ162" s="43" t="n">
        <f aca="false">IF(AND(Tasks[[#This Row],[_IsLeaf]]=1,Tasks[[#This Row],[_LeafTotalWork]]&gt;0),MAX(Tasks[[#This Row],[_StartWorkday]],NETWORKDAYS.INTL(ProjectStart,Tasks[[#This Row],[_ShownFcstFinish]],WorkWeek,Holidays)),0)</f>
        <v>0</v>
      </c>
      <c r="GA162" s="43" t="n">
        <f aca="false">IF(AND(Tasks[[#This Row],[_IsLeaf]]=1,Tasks[[#This Row],[_LeafTotalWork]]&gt;0),Tasks[[#This Row],[_LeafWork]]/(Tasks[[#This Row],[_FinishWorkday]]-Tasks[[#This Row],[_StartWorkday]]+1),0)</f>
        <v>0</v>
      </c>
      <c r="GB162" s="43" t="n">
        <f aca="false">Tasks[[#This Row],[_WorkPerWorkday]]*(Tasks[[#This Row],[_StartWorkday]]-1)</f>
        <v>-0</v>
      </c>
      <c r="GC162" s="43" t="n">
        <f aca="false">IF(Tasks[[#This Row],[_IsLeaf]]=1,MAX(N(Tasks[[#This Row],[_Days]]),0.1),0)</f>
        <v>0</v>
      </c>
      <c r="GD162" s="43" t="n">
        <f aca="false">Tasks[[#This Row],[_WeightDur]]*Tasks[[#This Row],[_LeafProgress]]</f>
        <v>0</v>
      </c>
      <c r="GE162" s="43" t="n">
        <f aca="false">Tasks[[#This Row],[_WeightDur]]*Tasks[[#This Row],[_PlannedPct]]</f>
        <v>0</v>
      </c>
      <c r="GF1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3" t="str">
        <f aca="false">IF(AND(Tasks[[#This Row],[_IsLeaf]]=1,N(Tasks[[#This Row],[_Days]])=0,Tasks[[#This Row],[_LeafProgress]]&lt;1),Tasks[[#This Row],[_ShownFcstFinish]]+Tasks[[#This Row],[_Row]]/100000,"")</f>
        <v/>
      </c>
      <c r="GH1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2" s="43" t="str">
        <f aca="false">IF(Tasks[[#This Row],[Task Name]]="","",LEFT(Tasks[[#This Row],[WBS]],FIND(".",Tasks[[#This Row],[WBS]]&amp;".")-1))</f>
        <v/>
      </c>
      <c r="GJ162" s="43" t="str">
        <f aca="false">IF(AND(Tasks[[#This Row],[Task Name]]&lt;&gt;"",Tasks[[#This Row],[_Level]]=1),Tasks[[#This Row],[_Row]],"")</f>
        <v/>
      </c>
      <c r="GK162" s="43" t="str">
        <f aca="false">IF(AND(Tasks[[#This Row],[_IsLeaf]]=1,N(Tasks[[#This Row],[_Days]])=0),Tasks[[#This Row],[Planned Finish]]+Tasks[[#This Row],[_Row]]/100000,"")</f>
        <v/>
      </c>
      <c r="GL162" s="43" t="str">
        <f aca="false">IF(AND(Tasks[[#This Row],[_IsLeaf]]=1,Tasks[[#This Row],[_LeafProgress]]&lt;1,OR(N(Tasks[[#This Row],[Finish Var]])&gt;0,Tasks[[#This Row],[Status]]="Late Start")),MAX(0,Tasks[[#This Row],[Finish Var]])+1-Tasks[[#This Row],[_Row]]/1000000,"")</f>
        <v/>
      </c>
      <c r="GM162" s="43" t="str">
        <f aca="false">IF(AND(Tasks[[#This Row],[_IsLeaf]]=1,N(Tasks[[#This Row],[Actual Start]])=0,Tasks[[#This Row],[_ShownFcstStart]]&gt;=StatusDate,Tasks[[#This Row],[_ShownFcstStart]]&lt;=LookaheadEnd),Tasks[[#This Row],[_ShownFcstStart]]+Tasks[[#This Row],[_Row]]/100000,"")</f>
        <v/>
      </c>
      <c r="GN162" s="43" t="str">
        <f aca="false">IF(AND(Tasks[[#This Row],[_IsLeaf]]=1,Tasks[[#This Row],[_LeafProgress]]&lt;1,Tasks[[#This Row],[_ShownFcstFinish]]&gt;=StatusDate,Tasks[[#This Row],[_ShownFcstFinish]]&lt;=LookaheadEnd),Tasks[[#This Row],[_ShownFcstFinish]]+Tasks[[#This Row],[_Row]]/100000,"")</f>
        <v/>
      </c>
      <c r="GO162" s="43" t="str">
        <f aca="false">IF(Tasks[[#This Row],[_LeafCritical]],Tasks[[#This Row],[_ShownFcstStart]]+Tasks[[#This Row],[_Row]]/100000,"")</f>
        <v/>
      </c>
      <c r="GP162" s="43" t="n">
        <f aca="false">Tasks[[#This Row],[_LeafWork]]*Tasks[[#This Row],[_LeafProgress]]</f>
        <v>0</v>
      </c>
      <c r="GQ162" s="91" t="str">
        <f aca="false">IF(AND(Tasks[[#This Row],[_IsLeaf]]=1,Tasks[[#This Row],[_LeafProgress]]&gt;=1),IF(N(Tasks[[#This Row],[Actual Finish]])&gt;0,Tasks[[#This Row],[Actual Finish]],Tasks[[#This Row],[_ShownFcstFinish]]),"")</f>
        <v/>
      </c>
      <c r="GR162" s="43" t="n">
        <f aca="false">IF(Tasks[[#This Row],[_IsLeaf]]=1,N(Tasks[[#This Row],[Story Points]]),0)</f>
        <v>0</v>
      </c>
      <c r="GS162" s="43" t="str">
        <f aca="false">""</f>
        <v/>
      </c>
      <c r="GT162" s="90" t="b">
        <f aca="false">IF(Tasks[[#This Row],[Task Name]]="",FALSE(),AND(Tasks[[#This Row],[_IsLeaf]]=1,N(Tasks[[#This Row],[_Days]])=0))</f>
        <v>0</v>
      </c>
      <c r="GU162" s="91" t="n">
        <f aca="false">IF(Tasks[[#This Row],[Task Name]]="",0,IF(AND(Tasks[[#This Row],[_IsLeaf]]=1,NOT(Tasks[[#This Row],[_IsMilestone]]),N(Tasks[[#This Row],[Progress]])&gt;0),Tasks[[#This Row],[Start]],0))</f>
        <v>0</v>
      </c>
      <c r="GV162" s="91" t="n">
        <f aca="false">IF(Tasks[[#This Row],[_DoneFrom]]=0,0,IF(Tasks[[#This Row],[Progress]]&gt;=1,Tasks[[#This Row],[Finish]],MAX(Tasks[[#This Row],[_DoneFrom]],Tasks[[#This Row],[Start]]+ROUND((Tasks[[#This Row],[Finish]]-Tasks[[#This Row],[Start]]+1)*Tasks[[#This Row],[Progress]],0)-1)))</f>
        <v>0</v>
      </c>
      <c r="GW162" s="91" t="n">
        <f aca="false">IF(Tasks[[#This Row],[Task Name]]="",0,IF(OR(NOT(Tasks[[#This Row],[_IsLeaf]]=1),Tasks[[#This Row],[_IsMilestone]],N(Tasks[[#This Row],[Progress]])&gt;=1),0,IF(Tasks[[#This Row],[_DoneTo]]&gt;0,Tasks[[#This Row],[_DoneTo]]+1,Tasks[[#This Row],[Start]])))</f>
        <v>0</v>
      </c>
      <c r="GX162" s="91" t="n">
        <f aca="false">IF(Tasks[[#This Row],[_RemFrom]]=0,0,Tasks[[#This Row],[Finish]])</f>
        <v>0</v>
      </c>
      <c r="GY162" s="90" t="b">
        <f aca="false">IF(Tasks[[#This Row],[Task Name]]="",FALSE(),OR(NOT(BaselineSet),N(Tasks[[#This Row],[Baseline Start]])&gt;0))</f>
        <v>0</v>
      </c>
      <c r="GZ16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92" t="str">
        <f aca="false">IF(Tasks[[#This Row],[_IsLeaf]]=1,Tasks[[#This Row],[_Row]],"")</f>
        <v/>
      </c>
      <c r="HD162" s="92" t="str">
        <f aca="false">IFERROR(INDEX(Tasks[UID],SMALL(Tasks[_PickKey],Tasks[[#This Row],[_Row]]))&amp;" "&amp;INDEX(Tasks[Task Name],SMALL(Tasks[_PickKey],Tasks[[#This Row],[_Row]])),"")</f>
        <v/>
      </c>
      <c r="HE162" s="43" t="str">
        <f aca="false">IF(Tasks[[#This Row],[Task Name]]="","",IF(Tasks[[#This Row],[_IsSummary]],NETWORKDAYS.INTL(Tasks[[#This Row],[Start]],Tasks[[#This Row],[Finish]],WorkWeek,Holidays),N(Tasks[[#This Row],[_Days]])))</f>
        <v/>
      </c>
      <c r="HF162" s="43" t="n">
        <f aca="false">IF(Tasks[[#This Row],[Expected]]="",0,((Tasks[[#This Row],[Pessimistic]]-Tasks[[#This Row],[Optimistic]])/6)^2)</f>
        <v>0</v>
      </c>
      <c r="HG162" s="43" t="n">
        <f aca="false">IF(Tasks[[#This Row],[Expected]]="",0,Tasks[[#This Row],[Expected]]-N(Tasks[[#This Row],[_Days]]))</f>
        <v>0</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4"/>
      <c r="U163" s="23"/>
      <c r="V163" s="84"/>
      <c r="W163" s="23"/>
      <c r="X163" s="84"/>
      <c r="Y163" s="23"/>
      <c r="Z163" s="84"/>
      <c r="AA163" s="23"/>
      <c r="AB163" s="23"/>
      <c r="AC163" s="7"/>
      <c r="AD163" s="7"/>
      <c r="AE163" s="63" t="str">
        <f aca="false">IF(Tasks[[#This Row],[Task Name]]="","",IF(Tasks[[#This Row],[_IsSummary]],MIN(INDEX(Tasks[_ShownFcstStart],Tasks[[#This Row],[_Row]]+1):INDEX(Tasks[_ShownFcstStart],Tasks[[#This Row],[_Row]]+Tasks[[#This Row],[_Descendants]])),Tasks[[#This Row],[_ShownFcstStart]]))</f>
        <v/>
      </c>
      <c r="AF163" s="63"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3" s="7"/>
      <c r="AK163" s="22"/>
      <c r="AL163" s="23"/>
      <c r="AM163" s="7"/>
      <c r="AN163" s="47"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3" t="str">
        <f aca="false">IF(Tasks[[#This Row],[Task Name]]="","",IF(N(Tasks[[#This Row],[Baseline Start]])&gt;0,Tasks[[#This Row],[Baseline Start]],Tasks[[#This Row],[_CalcStart]]))</f>
        <v/>
      </c>
      <c r="AR163" s="63" t="str">
        <f aca="false">IF(Tasks[[#This Row],[Task Name]]="","",IF(N(Tasks[[#This Row],[Baseline Finish]])&gt;0,Tasks[[#This Row],[Baseline Finish]],Tasks[[#This Row],[_CalcFinish]]))</f>
        <v/>
      </c>
      <c r="AS163" s="47" t="str">
        <f aca="false">IF(Tasks[[#This Row],[Task Name]]="","",IF(Tasks[[#This Row],[Start]]&gt;=Tasks[[#This Row],[Planned Start]],NETWORKDAYS.INTL(Tasks[[#This Row],[Planned Start]],Tasks[[#This Row],[Start]],WorkWeek,Holidays)-1,1-NETWORKDAYS.INTL(Tasks[[#This Row],[Start]],Tasks[[#This Row],[Planned Start]],WorkWeek,Holidays)))</f>
        <v/>
      </c>
      <c r="AT163" s="63" t="str">
        <f aca="false">IF(Tasks[[#This Row],[Task Name]]="","",IF(Tasks[[#This Row],[_IsSummary]],MIN(INDEX(Tasks[_LeafLateStart],Tasks[[#This Row],[_Row]]+1):INDEX(Tasks[_LeafLateStart],Tasks[[#This Row],[_Row]]+Tasks[[#This Row],[_Descendants]])),Tasks[[#This Row],[_LeafLateStart]]))</f>
        <v/>
      </c>
      <c r="AU163" s="63" t="str">
        <f aca="false">IF(Tasks[[#This Row],[Task Name]]="","",IF(Tasks[[#This Row],[_IsSummary]],MAX(INDEX(Tasks[_LeafLateFinish],Tasks[[#This Row],[_Row]]+1):INDEX(Tasks[_LeafLateFinish],Tasks[[#This Row],[_Row]]+Tasks[[#This Row],[_Descendants]])),Tasks[[#This Row],[_LeafLateFinish]]))</f>
        <v/>
      </c>
      <c r="AV163" s="47"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5"/>
      <c r="BA1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6"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7"/>
      <c r="BJ163" s="22"/>
      <c r="BK163" s="47" t="str">
        <f aca="false">IF(OR(Tasks[[#This Row],[Task Name]]="",Tasks[[#This Row],[Baseline Duration]]=""),"",Tasks[[#This Row],[_SpanDays]]-N(Tasks[[#This Row],[Baseline Duration]]))</f>
        <v/>
      </c>
      <c r="BL163" s="86" t="str">
        <f aca="false">IF(OR(Tasks[[#This Row],[Task Name]]="",Tasks[[#This Row],[Baseline Work]]=""),"",Tasks[[#This Row],[Work]]-N(Tasks[[#This Row],[Baseline Work]]))</f>
        <v/>
      </c>
      <c r="BM163" s="63" t="str">
        <f aca="false">IF(Tasks[[#This Row],[Task Name]]="","",IF(OR(TakeBaseline="Yes",N(Tasks[[#This Row],[Baseline Start]])=0),Tasks[[#This Row],[Start]],Tasks[[#This Row],[Baseline Start]]))</f>
        <v/>
      </c>
      <c r="BN163" s="63" t="str">
        <f aca="false">IF(Tasks[[#This Row],[Task Name]]="","",IF(OR(TakeBaseline="Yes",N(Tasks[[#This Row],[Baseline Finish]])=0),Tasks[[#This Row],[Finish]],Tasks[[#This Row],[Baseline Finish]]))</f>
        <v/>
      </c>
      <c r="BO163" s="21" t="str">
        <f aca="false">IF(Tasks[[#This Row],[Task Name]]="","",IF(OR(TakeBaseline="Yes",N(Tasks[[#This Row],[Baseline Duration]])=0),Tasks[[#This Row],[_SpanDays]],Tasks[[#This Row],[Baseline Duration]]))</f>
        <v/>
      </c>
      <c r="BP163" s="86" t="str">
        <f aca="false">IF(Tasks[[#This Row],[Task Name]]="","",IF(OR(TakeBaseline="Yes",N(Tasks[[#This Row],[Baseline Work]])=0),Tasks[[#This Row],[Work]],Tasks[[#This Row],[Baseline Work]]))</f>
        <v/>
      </c>
      <c r="BQ163" s="7"/>
      <c r="BR163" s="7"/>
      <c r="BS163" s="22"/>
      <c r="BT163" s="88"/>
      <c r="BU163" s="23"/>
      <c r="BV163" s="23"/>
      <c r="BW163" s="23"/>
      <c r="BX163" s="89" t="str">
        <f aca="false">IF(AND(Tasks[[#This Row],[_IsLeaf]]=1,ISNUMBER(Tasks[[#This Row],[Optimistic]]),ISNUMBER(Tasks[[#This Row],[Pessimistic]])),ROUND((Tasks[[#This Row],[Optimistic]]+4*N(Tasks[[#This Row],[_Days]])+Tasks[[#This Row],[Pessimistic]])/6,1),"")</f>
        <v/>
      </c>
      <c r="BY163" s="87"/>
      <c r="BZ163" s="87"/>
      <c r="CA163" s="22"/>
      <c r="CB163" s="43" t="str">
        <f aca="false">IF(Tasks[[#This Row],[Task Name]]="","",MAX(1,N(Tasks[[#This Row],[Level]])))</f>
        <v/>
      </c>
      <c r="CC163" s="43" t="n">
        <f aca="false">ROW()-ROW(Tasks[[#Headers],[ID]])</f>
        <v>158</v>
      </c>
      <c r="CD163" s="43" t="n">
        <f aca="false">IF(OR(Tasks[[#This Row],[Task Name]]="",Tasks[[#This Row],[_Level]]&lt;=1),0,IFERROR(LOOKUP(2,1/(Tasks[[#Headers],[_Level]]:Tasks[[#This Row],[_Level]]=Tasks[[#This Row],[_Level]]-1),ROW(Tasks[[#Headers],[_Level]]:Tasks[[#This Row],[_Level]])),0))</f>
        <v>0</v>
      </c>
      <c r="CE163" s="43" t="n">
        <f aca="false">IFERROR(N(INDEX(Tasks[_Level],Tasks[[#This Row],[_Row]]+1)),0)</f>
        <v>0</v>
      </c>
      <c r="CF163" s="90" t="b">
        <f aca="false">AND(Tasks[[#This Row],[Task Name]]&lt;&gt;"",Tasks[[#This Row],[_NextLevel]]&gt;Tasks[[#This Row],[_Level]])</f>
        <v>0</v>
      </c>
      <c r="CG163" s="43" t="n">
        <f aca="false">IF(Tasks[[#This Row],[_IsSummary]],COUNTIF(Tasks[WBS],Tasks[[#This Row],[WBS]]&amp;".*"),0)</f>
        <v>0</v>
      </c>
      <c r="CH163" s="43" t="n">
        <f aca="false">IF(AND(Tasks[[#This Row],[Task Name]]&lt;&gt;"",NOT(Tasks[[#This Row],[_IsSummary]])),1,0)</f>
        <v>0</v>
      </c>
      <c r="CI163" s="43" t="n">
        <f aca="false">IF(N(Tasks[[#This Row],[_Pred1UID]])=0,0,IFERROR(MATCH(Tasks[[#This Row],[_Pred1UID]],Tasks[UID],0),-1))</f>
        <v>0</v>
      </c>
      <c r="CJ163" s="43" t="n">
        <f aca="false">IF(N(Tasks[[#This Row],[_Pred2UID]])=0,0,IFERROR(MATCH(Tasks[[#This Row],[_Pred2UID]],Tasks[UID],0),-1))</f>
        <v>0</v>
      </c>
      <c r="CK163" s="43" t="n">
        <f aca="false">IF(N(Tasks[[#This Row],[_Pred3UID]])=0,0,IFERROR(MATCH(Tasks[[#This Row],[_Pred3UID]],Tasks[UID],0),-1))</f>
        <v>0</v>
      </c>
      <c r="CL163" s="43" t="n">
        <f aca="false">IF(N(Tasks[[#This Row],[_Pred4UID]])=0,0,IFERROR(MATCH(Tasks[[#This Row],[_Pred4UID]],Tasks[UID],0),-1))</f>
        <v>0</v>
      </c>
      <c r="CM1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3" s="91" t="n">
        <f aca="false">IF(OR(Tasks[[#This Row],[_ConstraintCode]]=2,Tasks[[#This Row],[_ConstraintCode]]=3,Tasks[[#This Row],[_ConstraintCode]]=4,Tasks[[#This Row],[_ConstraintCode]]=6),Tasks[[#This Row],[_ConstraintStart]],0)</f>
        <v>0</v>
      </c>
      <c r="CP163" s="91" t="n">
        <f aca="false">IF(OR(Tasks[[#This Row],[_ConstraintCode]]=2,Tasks[[#This Row],[_ConstraintCode]]=3,Tasks[[#This Row],[_ConstraintCode]]=5,Tasks[[#This Row],[_ConstraintCode]]=7),Tasks[[#This Row],[_ConstraintStart]],2958465)</f>
        <v>2958465</v>
      </c>
      <c r="CQ1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91" t="str">
        <f aca="false">IF(NOT(Tasks[[#This Row],[_IsLeaf]]=1),"",IF(N(Tasks[[#This Row],[_Days]])&lt;=0,Tasks[[#This Row],[_LeafCalcStart]],WORKDAY.INTL(Tasks[[#This Row],[_LeafCalcStart]],Tasks[[#This Row],[_Days]]-1,WorkWeek,Holidays)))</f>
        <v/>
      </c>
      <c r="CS1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3" t="str">
        <f aca="false">IF(Tasks[[#This Row],[_Predecessors]]="","",TRIM(MID(SUBSTITUTE(SUBSTITUTE(SUBSTITUTE(UPPER(Tasks[[#This Row],[_Predecessors]]),";",",")," ",""),",",REPT(" ",99)),1,99)))</f>
        <v/>
      </c>
      <c r="CV163" s="43" t="str">
        <f aca="false">IF(Tasks[[#This Row],[_Pred1Text]]="","",IFERROR(VALUE(LEFT(Tasks[[#This Row],[_Pred1Text]],MIN(FIND("F",Tasks[[#This Row],[_Pred1Text]]&amp;"F"),FIND("S",Tasks[[#This Row],[_Pred1Text]]&amp;"S"),FIND("+",Tasks[[#This Row],[_Pred1Text]]&amp;"+"),FIND("-",Tasks[[#This Row],[_Pred1Text]]&amp;"-"))-1)),""))</f>
        <v/>
      </c>
      <c r="CW1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3" t="str">
        <f aca="false">IF(Tasks[[#This Row],[_Pred1Text]]="","",TRIM(MID(SUBSTITUTE(SUBSTITUTE(SUBSTITUTE(UPPER(Tasks[[#This Row],[_Predecessors]]),";",",")," ",""),",",REPT(" ",99)),100,99)))</f>
        <v/>
      </c>
      <c r="CZ163" s="43" t="str">
        <f aca="false">IF(Tasks[[#This Row],[_Pred2Text]]="","",IFERROR(VALUE(LEFT(Tasks[[#This Row],[_Pred2Text]],MIN(FIND("F",Tasks[[#This Row],[_Pred2Text]]&amp;"F"),FIND("S",Tasks[[#This Row],[_Pred2Text]]&amp;"S"),FIND("+",Tasks[[#This Row],[_Pred2Text]]&amp;"+"),FIND("-",Tasks[[#This Row],[_Pred2Text]]&amp;"-"))-1)),""))</f>
        <v/>
      </c>
      <c r="DA1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3" t="str">
        <f aca="false">IF(Tasks[[#This Row],[_Pred2Text]]="","",TRIM(MID(SUBSTITUTE(SUBSTITUTE(SUBSTITUTE(UPPER(Tasks[[#This Row],[_Predecessors]]),";",",")," ",""),",",REPT(" ",99)),199,99)))</f>
        <v/>
      </c>
      <c r="DD163" s="43" t="str">
        <f aca="false">IF(Tasks[[#This Row],[_Pred3Text]]="","",IFERROR(VALUE(LEFT(Tasks[[#This Row],[_Pred3Text]],MIN(FIND("F",Tasks[[#This Row],[_Pred3Text]]&amp;"F"),FIND("S",Tasks[[#This Row],[_Pred3Text]]&amp;"S"),FIND("+",Tasks[[#This Row],[_Pred3Text]]&amp;"+"),FIND("-",Tasks[[#This Row],[_Pred3Text]]&amp;"-"))-1)),""))</f>
        <v/>
      </c>
      <c r="DE1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3" t="str">
        <f aca="false">IF(Tasks[[#This Row],[_Pred3Text]]="","",TRIM(MID(SUBSTITUTE(SUBSTITUTE(SUBSTITUTE(UPPER(Tasks[[#This Row],[_Predecessors]]),";",",")," ",""),",",REPT(" ",99)),298,99)))</f>
        <v/>
      </c>
      <c r="DH163" s="43" t="str">
        <f aca="false">IF(Tasks[[#This Row],[_Pred4Text]]="","",IFERROR(VALUE(LEFT(Tasks[[#This Row],[_Pred4Text]],MIN(FIND("F",Tasks[[#This Row],[_Pred4Text]]&amp;"F"),FIND("S",Tasks[[#This Row],[_Pred4Text]]&amp;"S"),FIND("+",Tasks[[#This Row],[_Pred4Text]]&amp;"+"),FIND("-",Tasks[[#This Row],[_Pred4Text]]&amp;"-"))-1)),""))</f>
        <v/>
      </c>
      <c r="DI1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3" t="str">
        <f aca="false">IF(OR(Tasks[[#This Row],[Task Name]]="",Tasks[[#This Row],[_Resources]]=""),"",TRIM(MID(SUBSTITUTE(Tasks[[#This Row],[_Resources]],",",REPT(" ",99)),1,99)))</f>
        <v/>
      </c>
      <c r="DL163" s="43" t="str">
        <f aca="false">IF(Tasks[[#This Row],[_Res1Text]]="","",TRIM(MID(SUBSTITUTE(Tasks[[#This Row],[_Resources]],",",REPT(" ",99)),100,99)))</f>
        <v/>
      </c>
      <c r="DM163" s="43" t="str">
        <f aca="false">IF(Tasks[[#This Row],[_Res2Text]]="","",TRIM(MID(SUBSTITUTE(Tasks[[#This Row],[_Resources]],",",REPT(" ",99)),199,99)))</f>
        <v/>
      </c>
      <c r="DN163" s="43" t="str">
        <f aca="false">IF(Tasks[[#This Row],[_Res3Text]]="","",TRIM(MID(SUBSTITUTE(Tasks[[#This Row],[_Resources]],",",REPT(" ",99)),298,99)))</f>
        <v/>
      </c>
      <c r="DO163" s="43" t="n">
        <f aca="false">IF(Tasks[[#This Row],[_Res1Text]]="",0,IFERROR(MATCH(TRIM(LEFT(Tasks[[#This Row],[_Res1Text]],FIND("[",Tasks[[#This Row],[_Res1Text]]&amp;"[")-1)),res_Name,0),IFERROR(MATCH(TRIM(LEFT(Tasks[[#This Row],[_Res1Text]],FIND("[",Tasks[[#This Row],[_Res1Text]]&amp;"[")-1)),res_Initials,0),0)))</f>
        <v>0</v>
      </c>
      <c r="DP163" s="43" t="n">
        <f aca="false">IF(Tasks[[#This Row],[_Res2Text]]="",0,IFERROR(MATCH(TRIM(LEFT(Tasks[[#This Row],[_Res2Text]],FIND("[",Tasks[[#This Row],[_Res2Text]]&amp;"[")-1)),res_Name,0),IFERROR(MATCH(TRIM(LEFT(Tasks[[#This Row],[_Res2Text]],FIND("[",Tasks[[#This Row],[_Res2Text]]&amp;"[")-1)),res_Initials,0),0)))</f>
        <v>0</v>
      </c>
      <c r="DQ163" s="43" t="n">
        <f aca="false">IF(Tasks[[#This Row],[_Res3Text]]="",0,IFERROR(MATCH(TRIM(LEFT(Tasks[[#This Row],[_Res3Text]],FIND("[",Tasks[[#This Row],[_Res3Text]]&amp;"[")-1)),res_Name,0),IFERROR(MATCH(TRIM(LEFT(Tasks[[#This Row],[_Res3Text]],FIND("[",Tasks[[#This Row],[_Res3Text]]&amp;"[")-1)),res_Initials,0),0)))</f>
        <v>0</v>
      </c>
      <c r="DR163" s="43" t="n">
        <f aca="false">IF(Tasks[[#This Row],[_Res4Text]]="",0,IFERROR(MATCH(TRIM(LEFT(Tasks[[#This Row],[_Res4Text]],FIND("[",Tasks[[#This Row],[_Res4Text]]&amp;"[")-1)),res_Name,0),IFERROR(MATCH(TRIM(LEFT(Tasks[[#This Row],[_Res4Text]],FIND("[",Tasks[[#This Row],[_Res4Text]]&amp;"[")-1)),res_Initials,0),0)))</f>
        <v>0</v>
      </c>
      <c r="DS163" s="43" t="str">
        <f aca="false">IF(Tasks[[#This Row],[_Res1Text]]="","",IF(Tasks[[#This Row],[_Res1Row]]&gt;0,INDEX(res_Name,Tasks[[#This Row],[_Res1Row]]),TRIM(LEFT(Tasks[[#This Row],[_Res1Text]],FIND("[",Tasks[[#This Row],[_Res1Text]]&amp;"[")-1))))</f>
        <v/>
      </c>
      <c r="DT1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3" t="n">
        <f aca="false">IF(NOT(Tasks[[#This Row],[_IsLeaf]]=1),0,(Tasks[[#This Row],[_Resource1]]&lt;&gt;"")+(Tasks[[#This Row],[_Res2]]&lt;&gt;"")+(Tasks[[#This Row],[_Res3]]&lt;&gt;"")+(Tasks[[#This Row],[_Res4]]&lt;&gt;""))</f>
        <v>0</v>
      </c>
      <c r="DV163" s="43" t="str">
        <f aca="false">IF(Tasks[[#This Row],[_Res2Text]]="","",IF(Tasks[[#This Row],[_Res2Row]]&gt;0,INDEX(res_Name,Tasks[[#This Row],[_Res2Row]]),TRIM(LEFT(Tasks[[#This Row],[_Res2Text]],FIND("[",Tasks[[#This Row],[_Res2Text]]&amp;"[")-1))))</f>
        <v/>
      </c>
      <c r="DW1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3" t="n">
        <f aca="false">IF(OR(NOT(Tasks[[#This Row],[_IsLeaf]]=1),Tasks[[#This Row],[_Res2Row]]=0),0,N(Tasks[[#This Row],[_Days]])*HoursPerDay*IF(Tasks[[#This Row],[_Res2Units]]="",DefaultUnits,Tasks[[#This Row],[_Res2Units]]))</f>
        <v>0</v>
      </c>
      <c r="DY163" s="43" t="n">
        <f aca="false">IF(AND(AND(Tasks[[#This Row],[_IsLeaf]]=1,Tasks[[#This Row],[_LeafTotalWork]]&gt;0),Tasks[[#This Row],[_Res2Work]]&gt;0),Tasks[[#This Row],[_Res2Work]]/(Tasks[[#This Row],[_FinishWorkday]]-Tasks[[#This Row],[_StartWorkday]]+1),0)</f>
        <v>0</v>
      </c>
      <c r="DZ163" s="43" t="n">
        <f aca="false">Tasks[[#This Row],[_Res2WorkPerWD]]*MAX(0,Tasks[[#This Row],[_StartWorkday]]-1)</f>
        <v>0</v>
      </c>
      <c r="EA163" s="43" t="n">
        <f aca="false">Tasks[[#This Row],[_Res2Work]]*Tasks[[#This Row],[_LeafProgress]]</f>
        <v>0</v>
      </c>
      <c r="EB163" s="43" t="str">
        <f aca="false">IF(Tasks[[#This Row],[_Res3Text]]="","",IF(Tasks[[#This Row],[_Res3Row]]&gt;0,INDEX(res_Name,Tasks[[#This Row],[_Res3Row]]),TRIM(LEFT(Tasks[[#This Row],[_Res3Text]],FIND("[",Tasks[[#This Row],[_Res3Text]]&amp;"[")-1))))</f>
        <v/>
      </c>
      <c r="EC1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3" t="n">
        <f aca="false">IF(OR(NOT(Tasks[[#This Row],[_IsLeaf]]=1),Tasks[[#This Row],[_Res3Row]]=0),0,N(Tasks[[#This Row],[_Days]])*HoursPerDay*IF(Tasks[[#This Row],[_Res3Units]]="",DefaultUnits,Tasks[[#This Row],[_Res3Units]]))</f>
        <v>0</v>
      </c>
      <c r="EE163" s="43" t="n">
        <f aca="false">IF(AND(AND(Tasks[[#This Row],[_IsLeaf]]=1,Tasks[[#This Row],[_LeafTotalWork]]&gt;0),Tasks[[#This Row],[_Res3Work]]&gt;0),Tasks[[#This Row],[_Res3Work]]/(Tasks[[#This Row],[_FinishWorkday]]-Tasks[[#This Row],[_StartWorkday]]+1),0)</f>
        <v>0</v>
      </c>
      <c r="EF163" s="43" t="n">
        <f aca="false">Tasks[[#This Row],[_Res3WorkPerWD]]*MAX(0,Tasks[[#This Row],[_StartWorkday]]-1)</f>
        <v>0</v>
      </c>
      <c r="EG163" s="43" t="n">
        <f aca="false">Tasks[[#This Row],[_Res3Work]]*Tasks[[#This Row],[_LeafProgress]]</f>
        <v>0</v>
      </c>
      <c r="EH163" s="43" t="str">
        <f aca="false">IF(Tasks[[#This Row],[_Res4Text]]="","",IF(Tasks[[#This Row],[_Res4Row]]&gt;0,INDEX(res_Name,Tasks[[#This Row],[_Res4Row]]),TRIM(LEFT(Tasks[[#This Row],[_Res4Text]],FIND("[",Tasks[[#This Row],[_Res4Text]]&amp;"[")-1))))</f>
        <v/>
      </c>
      <c r="EI1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3" t="n">
        <f aca="false">IF(OR(NOT(Tasks[[#This Row],[_IsLeaf]]=1),Tasks[[#This Row],[_Res4Row]]=0),0,N(Tasks[[#This Row],[_Days]])*HoursPerDay*IF(Tasks[[#This Row],[_Res4Units]]="",DefaultUnits,Tasks[[#This Row],[_Res4Units]]))</f>
        <v>0</v>
      </c>
      <c r="EK163" s="43" t="n">
        <f aca="false">IF(AND(AND(Tasks[[#This Row],[_IsLeaf]]=1,Tasks[[#This Row],[_LeafTotalWork]]&gt;0),Tasks[[#This Row],[_Res4Work]]&gt;0),Tasks[[#This Row],[_Res4Work]]/(Tasks[[#This Row],[_FinishWorkday]]-Tasks[[#This Row],[_StartWorkday]]+1),0)</f>
        <v>0</v>
      </c>
      <c r="EL163" s="43" t="n">
        <f aca="false">Tasks[[#This Row],[_Res4WorkPerWD]]*MAX(0,Tasks[[#This Row],[_StartWorkday]]-1)</f>
        <v>0</v>
      </c>
      <c r="EM163" s="43" t="n">
        <f aca="false">Tasks[[#This Row],[_Res4Work]]*Tasks[[#This Row],[_LeafProgress]]</f>
        <v>0</v>
      </c>
      <c r="EN163" s="43" t="n">
        <f aca="false">IF(ISNUMBER(Tasks[[#This Row],[% Complete]]),Tasks[[#This Row],[% Complete]],IF(Tasks[[#This Row],[Stage]]="",0,IFERROR(INDEX(stg_Pct,MATCH(Tasks[[#This Row],[Stage]],stg_Name,0)),0)))</f>
        <v>0</v>
      </c>
      <c r="EO163" s="43" t="n">
        <f aca="false">IF(NOT(Tasks[[#This Row],[_IsLeaf]]=1),0,IF(N(Tasks[[#This Row],[Actual Finish]])&gt;0,1,MIN(1,Tasks[[#This Row],[_Pct]])))</f>
        <v>0</v>
      </c>
      <c r="EP163" s="43" t="n">
        <f aca="false">IF(OR(NOT(Tasks[[#This Row],[_IsLeaf]]=1),Tasks[[#This Row],[_Res1Row]]=0),0,N(Tasks[[#This Row],[_Days]])*HoursPerDay*IF(Tasks[[#This Row],[_Units1]]="",DefaultUnits,Tasks[[#This Row],[_Units1]]))</f>
        <v>0</v>
      </c>
      <c r="EQ163" s="43" t="n">
        <f aca="false">Tasks[[#This Row],[_LeafWork]]+Tasks[[#This Row],[_Res2Work]]+Tasks[[#This Row],[_Res3Work]]+Tasks[[#This Row],[_Res4Work]]</f>
        <v>0</v>
      </c>
      <c r="ER1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3" t="n">
        <f aca="false">IF(NOT(Tasks[[#This Row],[_IsLeaf]]=1),0,MAX(_xlfn.MAXIFS(Tasks[_Row],Tasks[_Pred1UID],Tasks[[#This Row],[UID]]),_xlfn.MAXIFS(Tasks[_Row],Tasks[_Pred2UID],Tasks[[#This Row],[UID]]),_xlfn.MAXIFS(Tasks[_Row],Tasks[_Pred3UID],Tasks[[#This Row],[UID]]),_xlfn.MAXIFS(Tasks[_Row],Tasks[_Pred4UID],Tasks[[#This Row],[UID]])))</f>
        <v>0</v>
      </c>
      <c r="FA1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91" t="str">
        <f aca="false">IF(NOT(Tasks[[#This Row],[_IsLeaf]]=1),"",IF(N(Tasks[[#This Row],[_Days]])&lt;=0,Tasks[[#This Row],[_LeafLateFinish]],WORKDAY.INTL(Tasks[[#This Row],[_LeafLateFinish]],-(Tasks[[#This Row],[_Days]]-1),WorkWeek,Holidays)))</f>
        <v/>
      </c>
      <c r="FD1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3" s="90" t="b">
        <f aca="false">AND(Tasks[[#This Row],[_IsLeaf]]=1,Tasks[[#This Row],[_LeafProgress]]&lt;1,N(Tasks[[#This Row],[_LeafTotalSlack]])&lt;=CriticalSlackDays)</f>
        <v>0</v>
      </c>
      <c r="FF163" s="43" t="n">
        <f aca="false">IF(AND(Tasks[[#This Row],[_IsLeaf]]=1,Tasks[[#This Row],[_ConstraintCode]]=1,Tasks[[#This Row],[Mode]]&lt;&gt;"Manual",N(Tasks[[#This Row],[Actual Start]])=0),MAX(0,N(Tasks[[#This Row],[Free Slack]])),0)</f>
        <v>0</v>
      </c>
      <c r="FG163" s="91" t="str">
        <f aca="false">IF(NOT(Tasks[[#This Row],[_IsLeaf]]=1),"",IF(Tasks[[#This Row],[_AlapShift]]=0,Tasks[[#This Row],[_LeafCalcStart]],WORKDAY.INTL(Tasks[[#This Row],[_LeafCalcStart]],Tasks[[#This Row],[_AlapShift]],WorkWeek,Holidays)))</f>
        <v/>
      </c>
      <c r="FH163" s="91" t="str">
        <f aca="false">IF(NOT(Tasks[[#This Row],[_IsLeaf]]=1),"",IF(Tasks[[#This Row],[_AlapShift]]=0,Tasks[[#This Row],[_LeafCalcFinish]],WORKDAY.INTL(Tasks[[#This Row],[_LeafCalcFinish]],Tasks[[#This Row],[_AlapShift]],WorkWeek,Holidays)))</f>
        <v/>
      </c>
      <c r="FI163" s="91" t="str">
        <f aca="false">IF(NOT(Tasks[[#This Row],[_IsLeaf]]=1),"",IF(Tasks[[#This Row],[_AlapShift]]=0,Tasks[[#This Row],[_LeafFcstStart]],WORKDAY.INTL(Tasks[[#This Row],[_LeafFcstStart]],Tasks[[#This Row],[_AlapShift]],WorkWeek,Holidays)))</f>
        <v/>
      </c>
      <c r="FJ163" s="91" t="str">
        <f aca="false">IF(NOT(Tasks[[#This Row],[_IsLeaf]]=1),"",IF(Tasks[[#This Row],[_AlapShift]]=0,Tasks[[#This Row],[_LeafFcstFinish]],WORKDAY.INTL(Tasks[[#This Row],[_LeafFcstFinish]],Tasks[[#This Row],[_AlapShift]],WorkWeek,Holidays)))</f>
        <v/>
      </c>
      <c r="FK163" s="91" t="str">
        <f aca="false">IF(Tasks[[#This Row],[Task Name]]="","",IF(Tasks[[#This Row],[_IsSummary]],MIN(INDEX(Tasks[_ShownCalcStart],Tasks[[#This Row],[_Row]]+1):INDEX(Tasks[_ShownCalcStart],Tasks[[#This Row],[_Row]]+Tasks[[#This Row],[_Descendants]])),Tasks[[#This Row],[_ShownCalcStart]]))</f>
        <v/>
      </c>
      <c r="FL163" s="91" t="str">
        <f aca="false">IF(Tasks[[#This Row],[Task Name]]="","",IF(Tasks[[#This Row],[_IsSummary]],MAX(INDEX(Tasks[_ShownCalcFinish],Tasks[[#This Row],[_Row]]+1):INDEX(Tasks[_ShownCalcFinish],Tasks[[#This Row],[_Row]]+Tasks[[#This Row],[_Descendants]])),Tasks[[#This Row],[_ShownCalcFinish]]))</f>
        <v/>
      </c>
      <c r="FM1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3" s="43" t="n">
        <f aca="false">IF(AND(Tasks[[#This Row],[_IsLeaf]]=1,Tasks[[#This Row],[_LeafTotalWork]]&gt;0),NETWORKDAYS.INTL(ProjectStart,Tasks[[#This Row],[_ShownFcstStart]],WorkWeek,Holidays),0)</f>
        <v>0</v>
      </c>
      <c r="FZ163" s="43" t="n">
        <f aca="false">IF(AND(Tasks[[#This Row],[_IsLeaf]]=1,Tasks[[#This Row],[_LeafTotalWork]]&gt;0),MAX(Tasks[[#This Row],[_StartWorkday]],NETWORKDAYS.INTL(ProjectStart,Tasks[[#This Row],[_ShownFcstFinish]],WorkWeek,Holidays)),0)</f>
        <v>0</v>
      </c>
      <c r="GA163" s="43" t="n">
        <f aca="false">IF(AND(Tasks[[#This Row],[_IsLeaf]]=1,Tasks[[#This Row],[_LeafTotalWork]]&gt;0),Tasks[[#This Row],[_LeafWork]]/(Tasks[[#This Row],[_FinishWorkday]]-Tasks[[#This Row],[_StartWorkday]]+1),0)</f>
        <v>0</v>
      </c>
      <c r="GB163" s="43" t="n">
        <f aca="false">Tasks[[#This Row],[_WorkPerWorkday]]*(Tasks[[#This Row],[_StartWorkday]]-1)</f>
        <v>-0</v>
      </c>
      <c r="GC163" s="43" t="n">
        <f aca="false">IF(Tasks[[#This Row],[_IsLeaf]]=1,MAX(N(Tasks[[#This Row],[_Days]]),0.1),0)</f>
        <v>0</v>
      </c>
      <c r="GD163" s="43" t="n">
        <f aca="false">Tasks[[#This Row],[_WeightDur]]*Tasks[[#This Row],[_LeafProgress]]</f>
        <v>0</v>
      </c>
      <c r="GE163" s="43" t="n">
        <f aca="false">Tasks[[#This Row],[_WeightDur]]*Tasks[[#This Row],[_PlannedPct]]</f>
        <v>0</v>
      </c>
      <c r="GF1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3" t="str">
        <f aca="false">IF(AND(Tasks[[#This Row],[_IsLeaf]]=1,N(Tasks[[#This Row],[_Days]])=0,Tasks[[#This Row],[_LeafProgress]]&lt;1),Tasks[[#This Row],[_ShownFcstFinish]]+Tasks[[#This Row],[_Row]]/100000,"")</f>
        <v/>
      </c>
      <c r="GH1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3" s="43" t="str">
        <f aca="false">IF(Tasks[[#This Row],[Task Name]]="","",LEFT(Tasks[[#This Row],[WBS]],FIND(".",Tasks[[#This Row],[WBS]]&amp;".")-1))</f>
        <v/>
      </c>
      <c r="GJ163" s="43" t="str">
        <f aca="false">IF(AND(Tasks[[#This Row],[Task Name]]&lt;&gt;"",Tasks[[#This Row],[_Level]]=1),Tasks[[#This Row],[_Row]],"")</f>
        <v/>
      </c>
      <c r="GK163" s="43" t="str">
        <f aca="false">IF(AND(Tasks[[#This Row],[_IsLeaf]]=1,N(Tasks[[#This Row],[_Days]])=0),Tasks[[#This Row],[Planned Finish]]+Tasks[[#This Row],[_Row]]/100000,"")</f>
        <v/>
      </c>
      <c r="GL163" s="43" t="str">
        <f aca="false">IF(AND(Tasks[[#This Row],[_IsLeaf]]=1,Tasks[[#This Row],[_LeafProgress]]&lt;1,OR(N(Tasks[[#This Row],[Finish Var]])&gt;0,Tasks[[#This Row],[Status]]="Late Start")),MAX(0,Tasks[[#This Row],[Finish Var]])+1-Tasks[[#This Row],[_Row]]/1000000,"")</f>
        <v/>
      </c>
      <c r="GM163" s="43" t="str">
        <f aca="false">IF(AND(Tasks[[#This Row],[_IsLeaf]]=1,N(Tasks[[#This Row],[Actual Start]])=0,Tasks[[#This Row],[_ShownFcstStart]]&gt;=StatusDate,Tasks[[#This Row],[_ShownFcstStart]]&lt;=LookaheadEnd),Tasks[[#This Row],[_ShownFcstStart]]+Tasks[[#This Row],[_Row]]/100000,"")</f>
        <v/>
      </c>
      <c r="GN163" s="43" t="str">
        <f aca="false">IF(AND(Tasks[[#This Row],[_IsLeaf]]=1,Tasks[[#This Row],[_LeafProgress]]&lt;1,Tasks[[#This Row],[_ShownFcstFinish]]&gt;=StatusDate,Tasks[[#This Row],[_ShownFcstFinish]]&lt;=LookaheadEnd),Tasks[[#This Row],[_ShownFcstFinish]]+Tasks[[#This Row],[_Row]]/100000,"")</f>
        <v/>
      </c>
      <c r="GO163" s="43" t="str">
        <f aca="false">IF(Tasks[[#This Row],[_LeafCritical]],Tasks[[#This Row],[_ShownFcstStart]]+Tasks[[#This Row],[_Row]]/100000,"")</f>
        <v/>
      </c>
      <c r="GP163" s="43" t="n">
        <f aca="false">Tasks[[#This Row],[_LeafWork]]*Tasks[[#This Row],[_LeafProgress]]</f>
        <v>0</v>
      </c>
      <c r="GQ163" s="91" t="str">
        <f aca="false">IF(AND(Tasks[[#This Row],[_IsLeaf]]=1,Tasks[[#This Row],[_LeafProgress]]&gt;=1),IF(N(Tasks[[#This Row],[Actual Finish]])&gt;0,Tasks[[#This Row],[Actual Finish]],Tasks[[#This Row],[_ShownFcstFinish]]),"")</f>
        <v/>
      </c>
      <c r="GR163" s="43" t="n">
        <f aca="false">IF(Tasks[[#This Row],[_IsLeaf]]=1,N(Tasks[[#This Row],[Story Points]]),0)</f>
        <v>0</v>
      </c>
      <c r="GS163" s="43" t="str">
        <f aca="false">""</f>
        <v/>
      </c>
      <c r="GT163" s="90" t="b">
        <f aca="false">IF(Tasks[[#This Row],[Task Name]]="",FALSE(),AND(Tasks[[#This Row],[_IsLeaf]]=1,N(Tasks[[#This Row],[_Days]])=0))</f>
        <v>0</v>
      </c>
      <c r="GU163" s="91" t="n">
        <f aca="false">IF(Tasks[[#This Row],[Task Name]]="",0,IF(AND(Tasks[[#This Row],[_IsLeaf]]=1,NOT(Tasks[[#This Row],[_IsMilestone]]),N(Tasks[[#This Row],[Progress]])&gt;0),Tasks[[#This Row],[Start]],0))</f>
        <v>0</v>
      </c>
      <c r="GV163" s="91" t="n">
        <f aca="false">IF(Tasks[[#This Row],[_DoneFrom]]=0,0,IF(Tasks[[#This Row],[Progress]]&gt;=1,Tasks[[#This Row],[Finish]],MAX(Tasks[[#This Row],[_DoneFrom]],Tasks[[#This Row],[Start]]+ROUND((Tasks[[#This Row],[Finish]]-Tasks[[#This Row],[Start]]+1)*Tasks[[#This Row],[Progress]],0)-1)))</f>
        <v>0</v>
      </c>
      <c r="GW163" s="91" t="n">
        <f aca="false">IF(Tasks[[#This Row],[Task Name]]="",0,IF(OR(NOT(Tasks[[#This Row],[_IsLeaf]]=1),Tasks[[#This Row],[_IsMilestone]],N(Tasks[[#This Row],[Progress]])&gt;=1),0,IF(Tasks[[#This Row],[_DoneTo]]&gt;0,Tasks[[#This Row],[_DoneTo]]+1,Tasks[[#This Row],[Start]])))</f>
        <v>0</v>
      </c>
      <c r="GX163" s="91" t="n">
        <f aca="false">IF(Tasks[[#This Row],[_RemFrom]]=0,0,Tasks[[#This Row],[Finish]])</f>
        <v>0</v>
      </c>
      <c r="GY163" s="90" t="b">
        <f aca="false">IF(Tasks[[#This Row],[Task Name]]="",FALSE(),OR(NOT(BaselineSet),N(Tasks[[#This Row],[Baseline Start]])&gt;0))</f>
        <v>0</v>
      </c>
      <c r="GZ16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92" t="str">
        <f aca="false">IF(Tasks[[#This Row],[_IsLeaf]]=1,Tasks[[#This Row],[_Row]],"")</f>
        <v/>
      </c>
      <c r="HD163" s="92" t="str">
        <f aca="false">IFERROR(INDEX(Tasks[UID],SMALL(Tasks[_PickKey],Tasks[[#This Row],[_Row]]))&amp;" "&amp;INDEX(Tasks[Task Name],SMALL(Tasks[_PickKey],Tasks[[#This Row],[_Row]])),"")</f>
        <v/>
      </c>
      <c r="HE163" s="43" t="str">
        <f aca="false">IF(Tasks[[#This Row],[Task Name]]="","",IF(Tasks[[#This Row],[_IsSummary]],NETWORKDAYS.INTL(Tasks[[#This Row],[Start]],Tasks[[#This Row],[Finish]],WorkWeek,Holidays),N(Tasks[[#This Row],[_Days]])))</f>
        <v/>
      </c>
      <c r="HF163" s="43" t="n">
        <f aca="false">IF(Tasks[[#This Row],[Expected]]="",0,((Tasks[[#This Row],[Pessimistic]]-Tasks[[#This Row],[Optimistic]])/6)^2)</f>
        <v>0</v>
      </c>
      <c r="HG163" s="43" t="n">
        <f aca="false">IF(Tasks[[#This Row],[Expected]]="",0,Tasks[[#This Row],[Expected]]-N(Tasks[[#This Row],[_Days]]))</f>
        <v>0</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4"/>
      <c r="U164" s="23"/>
      <c r="V164" s="84"/>
      <c r="W164" s="23"/>
      <c r="X164" s="84"/>
      <c r="Y164" s="23"/>
      <c r="Z164" s="84"/>
      <c r="AA164" s="23"/>
      <c r="AB164" s="23"/>
      <c r="AC164" s="7"/>
      <c r="AD164" s="7"/>
      <c r="AE164" s="63" t="str">
        <f aca="false">IF(Tasks[[#This Row],[Task Name]]="","",IF(Tasks[[#This Row],[_IsSummary]],MIN(INDEX(Tasks[_ShownFcstStart],Tasks[[#This Row],[_Row]]+1):INDEX(Tasks[_ShownFcstStart],Tasks[[#This Row],[_Row]]+Tasks[[#This Row],[_Descendants]])),Tasks[[#This Row],[_ShownFcstStart]]))</f>
        <v/>
      </c>
      <c r="AF164" s="63"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4" s="7"/>
      <c r="AK164" s="22"/>
      <c r="AL164" s="23"/>
      <c r="AM164" s="7"/>
      <c r="AN164" s="47"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3" t="str">
        <f aca="false">IF(Tasks[[#This Row],[Task Name]]="","",IF(N(Tasks[[#This Row],[Baseline Start]])&gt;0,Tasks[[#This Row],[Baseline Start]],Tasks[[#This Row],[_CalcStart]]))</f>
        <v/>
      </c>
      <c r="AR164" s="63" t="str">
        <f aca="false">IF(Tasks[[#This Row],[Task Name]]="","",IF(N(Tasks[[#This Row],[Baseline Finish]])&gt;0,Tasks[[#This Row],[Baseline Finish]],Tasks[[#This Row],[_CalcFinish]]))</f>
        <v/>
      </c>
      <c r="AS164" s="47" t="str">
        <f aca="false">IF(Tasks[[#This Row],[Task Name]]="","",IF(Tasks[[#This Row],[Start]]&gt;=Tasks[[#This Row],[Planned Start]],NETWORKDAYS.INTL(Tasks[[#This Row],[Planned Start]],Tasks[[#This Row],[Start]],WorkWeek,Holidays)-1,1-NETWORKDAYS.INTL(Tasks[[#This Row],[Start]],Tasks[[#This Row],[Planned Start]],WorkWeek,Holidays)))</f>
        <v/>
      </c>
      <c r="AT164" s="63" t="str">
        <f aca="false">IF(Tasks[[#This Row],[Task Name]]="","",IF(Tasks[[#This Row],[_IsSummary]],MIN(INDEX(Tasks[_LeafLateStart],Tasks[[#This Row],[_Row]]+1):INDEX(Tasks[_LeafLateStart],Tasks[[#This Row],[_Row]]+Tasks[[#This Row],[_Descendants]])),Tasks[[#This Row],[_LeafLateStart]]))</f>
        <v/>
      </c>
      <c r="AU164" s="63" t="str">
        <f aca="false">IF(Tasks[[#This Row],[Task Name]]="","",IF(Tasks[[#This Row],[_IsSummary]],MAX(INDEX(Tasks[_LeafLateFinish],Tasks[[#This Row],[_Row]]+1):INDEX(Tasks[_LeafLateFinish],Tasks[[#This Row],[_Row]]+Tasks[[#This Row],[_Descendants]])),Tasks[[#This Row],[_LeafLateFinish]]))</f>
        <v/>
      </c>
      <c r="AV164" s="47"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5"/>
      <c r="BA1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6"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7"/>
      <c r="BJ164" s="22"/>
      <c r="BK164" s="47" t="str">
        <f aca="false">IF(OR(Tasks[[#This Row],[Task Name]]="",Tasks[[#This Row],[Baseline Duration]]=""),"",Tasks[[#This Row],[_SpanDays]]-N(Tasks[[#This Row],[Baseline Duration]]))</f>
        <v/>
      </c>
      <c r="BL164" s="86" t="str">
        <f aca="false">IF(OR(Tasks[[#This Row],[Task Name]]="",Tasks[[#This Row],[Baseline Work]]=""),"",Tasks[[#This Row],[Work]]-N(Tasks[[#This Row],[Baseline Work]]))</f>
        <v/>
      </c>
      <c r="BM164" s="63" t="str">
        <f aca="false">IF(Tasks[[#This Row],[Task Name]]="","",IF(OR(TakeBaseline="Yes",N(Tasks[[#This Row],[Baseline Start]])=0),Tasks[[#This Row],[Start]],Tasks[[#This Row],[Baseline Start]]))</f>
        <v/>
      </c>
      <c r="BN164" s="63" t="str">
        <f aca="false">IF(Tasks[[#This Row],[Task Name]]="","",IF(OR(TakeBaseline="Yes",N(Tasks[[#This Row],[Baseline Finish]])=0),Tasks[[#This Row],[Finish]],Tasks[[#This Row],[Baseline Finish]]))</f>
        <v/>
      </c>
      <c r="BO164" s="21" t="str">
        <f aca="false">IF(Tasks[[#This Row],[Task Name]]="","",IF(OR(TakeBaseline="Yes",N(Tasks[[#This Row],[Baseline Duration]])=0),Tasks[[#This Row],[_SpanDays]],Tasks[[#This Row],[Baseline Duration]]))</f>
        <v/>
      </c>
      <c r="BP164" s="86" t="str">
        <f aca="false">IF(Tasks[[#This Row],[Task Name]]="","",IF(OR(TakeBaseline="Yes",N(Tasks[[#This Row],[Baseline Work]])=0),Tasks[[#This Row],[Work]],Tasks[[#This Row],[Baseline Work]]))</f>
        <v/>
      </c>
      <c r="BQ164" s="7"/>
      <c r="BR164" s="7"/>
      <c r="BS164" s="22"/>
      <c r="BT164" s="88"/>
      <c r="BU164" s="23"/>
      <c r="BV164" s="23"/>
      <c r="BW164" s="23"/>
      <c r="BX164" s="89" t="str">
        <f aca="false">IF(AND(Tasks[[#This Row],[_IsLeaf]]=1,ISNUMBER(Tasks[[#This Row],[Optimistic]]),ISNUMBER(Tasks[[#This Row],[Pessimistic]])),ROUND((Tasks[[#This Row],[Optimistic]]+4*N(Tasks[[#This Row],[_Days]])+Tasks[[#This Row],[Pessimistic]])/6,1),"")</f>
        <v/>
      </c>
      <c r="BY164" s="87"/>
      <c r="BZ164" s="87"/>
      <c r="CA164" s="22"/>
      <c r="CB164" s="43" t="str">
        <f aca="false">IF(Tasks[[#This Row],[Task Name]]="","",MAX(1,N(Tasks[[#This Row],[Level]])))</f>
        <v/>
      </c>
      <c r="CC164" s="43" t="n">
        <f aca="false">ROW()-ROW(Tasks[[#Headers],[ID]])</f>
        <v>159</v>
      </c>
      <c r="CD164" s="43" t="n">
        <f aca="false">IF(OR(Tasks[[#This Row],[Task Name]]="",Tasks[[#This Row],[_Level]]&lt;=1),0,IFERROR(LOOKUP(2,1/(Tasks[[#Headers],[_Level]]:Tasks[[#This Row],[_Level]]=Tasks[[#This Row],[_Level]]-1),ROW(Tasks[[#Headers],[_Level]]:Tasks[[#This Row],[_Level]])),0))</f>
        <v>0</v>
      </c>
      <c r="CE164" s="43" t="n">
        <f aca="false">IFERROR(N(INDEX(Tasks[_Level],Tasks[[#This Row],[_Row]]+1)),0)</f>
        <v>0</v>
      </c>
      <c r="CF164" s="90" t="b">
        <f aca="false">AND(Tasks[[#This Row],[Task Name]]&lt;&gt;"",Tasks[[#This Row],[_NextLevel]]&gt;Tasks[[#This Row],[_Level]])</f>
        <v>0</v>
      </c>
      <c r="CG164" s="43" t="n">
        <f aca="false">IF(Tasks[[#This Row],[_IsSummary]],COUNTIF(Tasks[WBS],Tasks[[#This Row],[WBS]]&amp;".*"),0)</f>
        <v>0</v>
      </c>
      <c r="CH164" s="43" t="n">
        <f aca="false">IF(AND(Tasks[[#This Row],[Task Name]]&lt;&gt;"",NOT(Tasks[[#This Row],[_IsSummary]])),1,0)</f>
        <v>0</v>
      </c>
      <c r="CI164" s="43" t="n">
        <f aca="false">IF(N(Tasks[[#This Row],[_Pred1UID]])=0,0,IFERROR(MATCH(Tasks[[#This Row],[_Pred1UID]],Tasks[UID],0),-1))</f>
        <v>0</v>
      </c>
      <c r="CJ164" s="43" t="n">
        <f aca="false">IF(N(Tasks[[#This Row],[_Pred2UID]])=0,0,IFERROR(MATCH(Tasks[[#This Row],[_Pred2UID]],Tasks[UID],0),-1))</f>
        <v>0</v>
      </c>
      <c r="CK164" s="43" t="n">
        <f aca="false">IF(N(Tasks[[#This Row],[_Pred3UID]])=0,0,IFERROR(MATCH(Tasks[[#This Row],[_Pred3UID]],Tasks[UID],0),-1))</f>
        <v>0</v>
      </c>
      <c r="CL164" s="43" t="n">
        <f aca="false">IF(N(Tasks[[#This Row],[_Pred4UID]])=0,0,IFERROR(MATCH(Tasks[[#This Row],[_Pred4UID]],Tasks[UID],0),-1))</f>
        <v>0</v>
      </c>
      <c r="CM1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4" s="91" t="n">
        <f aca="false">IF(OR(Tasks[[#This Row],[_ConstraintCode]]=2,Tasks[[#This Row],[_ConstraintCode]]=3,Tasks[[#This Row],[_ConstraintCode]]=4,Tasks[[#This Row],[_ConstraintCode]]=6),Tasks[[#This Row],[_ConstraintStart]],0)</f>
        <v>0</v>
      </c>
      <c r="CP164" s="91" t="n">
        <f aca="false">IF(OR(Tasks[[#This Row],[_ConstraintCode]]=2,Tasks[[#This Row],[_ConstraintCode]]=3,Tasks[[#This Row],[_ConstraintCode]]=5,Tasks[[#This Row],[_ConstraintCode]]=7),Tasks[[#This Row],[_ConstraintStart]],2958465)</f>
        <v>2958465</v>
      </c>
      <c r="CQ1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91" t="str">
        <f aca="false">IF(NOT(Tasks[[#This Row],[_IsLeaf]]=1),"",IF(N(Tasks[[#This Row],[_Days]])&lt;=0,Tasks[[#This Row],[_LeafCalcStart]],WORKDAY.INTL(Tasks[[#This Row],[_LeafCalcStart]],Tasks[[#This Row],[_Days]]-1,WorkWeek,Holidays)))</f>
        <v/>
      </c>
      <c r="CS1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3" t="str">
        <f aca="false">IF(Tasks[[#This Row],[_Predecessors]]="","",TRIM(MID(SUBSTITUTE(SUBSTITUTE(SUBSTITUTE(UPPER(Tasks[[#This Row],[_Predecessors]]),";",",")," ",""),",",REPT(" ",99)),1,99)))</f>
        <v/>
      </c>
      <c r="CV164" s="43" t="str">
        <f aca="false">IF(Tasks[[#This Row],[_Pred1Text]]="","",IFERROR(VALUE(LEFT(Tasks[[#This Row],[_Pred1Text]],MIN(FIND("F",Tasks[[#This Row],[_Pred1Text]]&amp;"F"),FIND("S",Tasks[[#This Row],[_Pred1Text]]&amp;"S"),FIND("+",Tasks[[#This Row],[_Pred1Text]]&amp;"+"),FIND("-",Tasks[[#This Row],[_Pred1Text]]&amp;"-"))-1)),""))</f>
        <v/>
      </c>
      <c r="CW1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3" t="str">
        <f aca="false">IF(Tasks[[#This Row],[_Pred1Text]]="","",TRIM(MID(SUBSTITUTE(SUBSTITUTE(SUBSTITUTE(UPPER(Tasks[[#This Row],[_Predecessors]]),";",",")," ",""),",",REPT(" ",99)),100,99)))</f>
        <v/>
      </c>
      <c r="CZ164" s="43" t="str">
        <f aca="false">IF(Tasks[[#This Row],[_Pred2Text]]="","",IFERROR(VALUE(LEFT(Tasks[[#This Row],[_Pred2Text]],MIN(FIND("F",Tasks[[#This Row],[_Pred2Text]]&amp;"F"),FIND("S",Tasks[[#This Row],[_Pred2Text]]&amp;"S"),FIND("+",Tasks[[#This Row],[_Pred2Text]]&amp;"+"),FIND("-",Tasks[[#This Row],[_Pred2Text]]&amp;"-"))-1)),""))</f>
        <v/>
      </c>
      <c r="DA1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3" t="str">
        <f aca="false">IF(Tasks[[#This Row],[_Pred2Text]]="","",TRIM(MID(SUBSTITUTE(SUBSTITUTE(SUBSTITUTE(UPPER(Tasks[[#This Row],[_Predecessors]]),";",",")," ",""),",",REPT(" ",99)),199,99)))</f>
        <v/>
      </c>
      <c r="DD164" s="43" t="str">
        <f aca="false">IF(Tasks[[#This Row],[_Pred3Text]]="","",IFERROR(VALUE(LEFT(Tasks[[#This Row],[_Pred3Text]],MIN(FIND("F",Tasks[[#This Row],[_Pred3Text]]&amp;"F"),FIND("S",Tasks[[#This Row],[_Pred3Text]]&amp;"S"),FIND("+",Tasks[[#This Row],[_Pred3Text]]&amp;"+"),FIND("-",Tasks[[#This Row],[_Pred3Text]]&amp;"-"))-1)),""))</f>
        <v/>
      </c>
      <c r="DE1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3" t="str">
        <f aca="false">IF(Tasks[[#This Row],[_Pred3Text]]="","",TRIM(MID(SUBSTITUTE(SUBSTITUTE(SUBSTITUTE(UPPER(Tasks[[#This Row],[_Predecessors]]),";",",")," ",""),",",REPT(" ",99)),298,99)))</f>
        <v/>
      </c>
      <c r="DH164" s="43" t="str">
        <f aca="false">IF(Tasks[[#This Row],[_Pred4Text]]="","",IFERROR(VALUE(LEFT(Tasks[[#This Row],[_Pred4Text]],MIN(FIND("F",Tasks[[#This Row],[_Pred4Text]]&amp;"F"),FIND("S",Tasks[[#This Row],[_Pred4Text]]&amp;"S"),FIND("+",Tasks[[#This Row],[_Pred4Text]]&amp;"+"),FIND("-",Tasks[[#This Row],[_Pred4Text]]&amp;"-"))-1)),""))</f>
        <v/>
      </c>
      <c r="DI1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3" t="str">
        <f aca="false">IF(OR(Tasks[[#This Row],[Task Name]]="",Tasks[[#This Row],[_Resources]]=""),"",TRIM(MID(SUBSTITUTE(Tasks[[#This Row],[_Resources]],",",REPT(" ",99)),1,99)))</f>
        <v/>
      </c>
      <c r="DL164" s="43" t="str">
        <f aca="false">IF(Tasks[[#This Row],[_Res1Text]]="","",TRIM(MID(SUBSTITUTE(Tasks[[#This Row],[_Resources]],",",REPT(" ",99)),100,99)))</f>
        <v/>
      </c>
      <c r="DM164" s="43" t="str">
        <f aca="false">IF(Tasks[[#This Row],[_Res2Text]]="","",TRIM(MID(SUBSTITUTE(Tasks[[#This Row],[_Resources]],",",REPT(" ",99)),199,99)))</f>
        <v/>
      </c>
      <c r="DN164" s="43" t="str">
        <f aca="false">IF(Tasks[[#This Row],[_Res3Text]]="","",TRIM(MID(SUBSTITUTE(Tasks[[#This Row],[_Resources]],",",REPT(" ",99)),298,99)))</f>
        <v/>
      </c>
      <c r="DO164" s="43" t="n">
        <f aca="false">IF(Tasks[[#This Row],[_Res1Text]]="",0,IFERROR(MATCH(TRIM(LEFT(Tasks[[#This Row],[_Res1Text]],FIND("[",Tasks[[#This Row],[_Res1Text]]&amp;"[")-1)),res_Name,0),IFERROR(MATCH(TRIM(LEFT(Tasks[[#This Row],[_Res1Text]],FIND("[",Tasks[[#This Row],[_Res1Text]]&amp;"[")-1)),res_Initials,0),0)))</f>
        <v>0</v>
      </c>
      <c r="DP164" s="43" t="n">
        <f aca="false">IF(Tasks[[#This Row],[_Res2Text]]="",0,IFERROR(MATCH(TRIM(LEFT(Tasks[[#This Row],[_Res2Text]],FIND("[",Tasks[[#This Row],[_Res2Text]]&amp;"[")-1)),res_Name,0),IFERROR(MATCH(TRIM(LEFT(Tasks[[#This Row],[_Res2Text]],FIND("[",Tasks[[#This Row],[_Res2Text]]&amp;"[")-1)),res_Initials,0),0)))</f>
        <v>0</v>
      </c>
      <c r="DQ164" s="43" t="n">
        <f aca="false">IF(Tasks[[#This Row],[_Res3Text]]="",0,IFERROR(MATCH(TRIM(LEFT(Tasks[[#This Row],[_Res3Text]],FIND("[",Tasks[[#This Row],[_Res3Text]]&amp;"[")-1)),res_Name,0),IFERROR(MATCH(TRIM(LEFT(Tasks[[#This Row],[_Res3Text]],FIND("[",Tasks[[#This Row],[_Res3Text]]&amp;"[")-1)),res_Initials,0),0)))</f>
        <v>0</v>
      </c>
      <c r="DR164" s="43" t="n">
        <f aca="false">IF(Tasks[[#This Row],[_Res4Text]]="",0,IFERROR(MATCH(TRIM(LEFT(Tasks[[#This Row],[_Res4Text]],FIND("[",Tasks[[#This Row],[_Res4Text]]&amp;"[")-1)),res_Name,0),IFERROR(MATCH(TRIM(LEFT(Tasks[[#This Row],[_Res4Text]],FIND("[",Tasks[[#This Row],[_Res4Text]]&amp;"[")-1)),res_Initials,0),0)))</f>
        <v>0</v>
      </c>
      <c r="DS164" s="43" t="str">
        <f aca="false">IF(Tasks[[#This Row],[_Res1Text]]="","",IF(Tasks[[#This Row],[_Res1Row]]&gt;0,INDEX(res_Name,Tasks[[#This Row],[_Res1Row]]),TRIM(LEFT(Tasks[[#This Row],[_Res1Text]],FIND("[",Tasks[[#This Row],[_Res1Text]]&amp;"[")-1))))</f>
        <v/>
      </c>
      <c r="DT1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3" t="n">
        <f aca="false">IF(NOT(Tasks[[#This Row],[_IsLeaf]]=1),0,(Tasks[[#This Row],[_Resource1]]&lt;&gt;"")+(Tasks[[#This Row],[_Res2]]&lt;&gt;"")+(Tasks[[#This Row],[_Res3]]&lt;&gt;"")+(Tasks[[#This Row],[_Res4]]&lt;&gt;""))</f>
        <v>0</v>
      </c>
      <c r="DV164" s="43" t="str">
        <f aca="false">IF(Tasks[[#This Row],[_Res2Text]]="","",IF(Tasks[[#This Row],[_Res2Row]]&gt;0,INDEX(res_Name,Tasks[[#This Row],[_Res2Row]]),TRIM(LEFT(Tasks[[#This Row],[_Res2Text]],FIND("[",Tasks[[#This Row],[_Res2Text]]&amp;"[")-1))))</f>
        <v/>
      </c>
      <c r="DW1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3" t="n">
        <f aca="false">IF(OR(NOT(Tasks[[#This Row],[_IsLeaf]]=1),Tasks[[#This Row],[_Res2Row]]=0),0,N(Tasks[[#This Row],[_Days]])*HoursPerDay*IF(Tasks[[#This Row],[_Res2Units]]="",DefaultUnits,Tasks[[#This Row],[_Res2Units]]))</f>
        <v>0</v>
      </c>
      <c r="DY164" s="43" t="n">
        <f aca="false">IF(AND(AND(Tasks[[#This Row],[_IsLeaf]]=1,Tasks[[#This Row],[_LeafTotalWork]]&gt;0),Tasks[[#This Row],[_Res2Work]]&gt;0),Tasks[[#This Row],[_Res2Work]]/(Tasks[[#This Row],[_FinishWorkday]]-Tasks[[#This Row],[_StartWorkday]]+1),0)</f>
        <v>0</v>
      </c>
      <c r="DZ164" s="43" t="n">
        <f aca="false">Tasks[[#This Row],[_Res2WorkPerWD]]*MAX(0,Tasks[[#This Row],[_StartWorkday]]-1)</f>
        <v>0</v>
      </c>
      <c r="EA164" s="43" t="n">
        <f aca="false">Tasks[[#This Row],[_Res2Work]]*Tasks[[#This Row],[_LeafProgress]]</f>
        <v>0</v>
      </c>
      <c r="EB164" s="43" t="str">
        <f aca="false">IF(Tasks[[#This Row],[_Res3Text]]="","",IF(Tasks[[#This Row],[_Res3Row]]&gt;0,INDEX(res_Name,Tasks[[#This Row],[_Res3Row]]),TRIM(LEFT(Tasks[[#This Row],[_Res3Text]],FIND("[",Tasks[[#This Row],[_Res3Text]]&amp;"[")-1))))</f>
        <v/>
      </c>
      <c r="EC1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3" t="n">
        <f aca="false">IF(OR(NOT(Tasks[[#This Row],[_IsLeaf]]=1),Tasks[[#This Row],[_Res3Row]]=0),0,N(Tasks[[#This Row],[_Days]])*HoursPerDay*IF(Tasks[[#This Row],[_Res3Units]]="",DefaultUnits,Tasks[[#This Row],[_Res3Units]]))</f>
        <v>0</v>
      </c>
      <c r="EE164" s="43" t="n">
        <f aca="false">IF(AND(AND(Tasks[[#This Row],[_IsLeaf]]=1,Tasks[[#This Row],[_LeafTotalWork]]&gt;0),Tasks[[#This Row],[_Res3Work]]&gt;0),Tasks[[#This Row],[_Res3Work]]/(Tasks[[#This Row],[_FinishWorkday]]-Tasks[[#This Row],[_StartWorkday]]+1),0)</f>
        <v>0</v>
      </c>
      <c r="EF164" s="43" t="n">
        <f aca="false">Tasks[[#This Row],[_Res3WorkPerWD]]*MAX(0,Tasks[[#This Row],[_StartWorkday]]-1)</f>
        <v>0</v>
      </c>
      <c r="EG164" s="43" t="n">
        <f aca="false">Tasks[[#This Row],[_Res3Work]]*Tasks[[#This Row],[_LeafProgress]]</f>
        <v>0</v>
      </c>
      <c r="EH164" s="43" t="str">
        <f aca="false">IF(Tasks[[#This Row],[_Res4Text]]="","",IF(Tasks[[#This Row],[_Res4Row]]&gt;0,INDEX(res_Name,Tasks[[#This Row],[_Res4Row]]),TRIM(LEFT(Tasks[[#This Row],[_Res4Text]],FIND("[",Tasks[[#This Row],[_Res4Text]]&amp;"[")-1))))</f>
        <v/>
      </c>
      <c r="EI1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3" t="n">
        <f aca="false">IF(OR(NOT(Tasks[[#This Row],[_IsLeaf]]=1),Tasks[[#This Row],[_Res4Row]]=0),0,N(Tasks[[#This Row],[_Days]])*HoursPerDay*IF(Tasks[[#This Row],[_Res4Units]]="",DefaultUnits,Tasks[[#This Row],[_Res4Units]]))</f>
        <v>0</v>
      </c>
      <c r="EK164" s="43" t="n">
        <f aca="false">IF(AND(AND(Tasks[[#This Row],[_IsLeaf]]=1,Tasks[[#This Row],[_LeafTotalWork]]&gt;0),Tasks[[#This Row],[_Res4Work]]&gt;0),Tasks[[#This Row],[_Res4Work]]/(Tasks[[#This Row],[_FinishWorkday]]-Tasks[[#This Row],[_StartWorkday]]+1),0)</f>
        <v>0</v>
      </c>
      <c r="EL164" s="43" t="n">
        <f aca="false">Tasks[[#This Row],[_Res4WorkPerWD]]*MAX(0,Tasks[[#This Row],[_StartWorkday]]-1)</f>
        <v>0</v>
      </c>
      <c r="EM164" s="43" t="n">
        <f aca="false">Tasks[[#This Row],[_Res4Work]]*Tasks[[#This Row],[_LeafProgress]]</f>
        <v>0</v>
      </c>
      <c r="EN164" s="43" t="n">
        <f aca="false">IF(ISNUMBER(Tasks[[#This Row],[% Complete]]),Tasks[[#This Row],[% Complete]],IF(Tasks[[#This Row],[Stage]]="",0,IFERROR(INDEX(stg_Pct,MATCH(Tasks[[#This Row],[Stage]],stg_Name,0)),0)))</f>
        <v>0</v>
      </c>
      <c r="EO164" s="43" t="n">
        <f aca="false">IF(NOT(Tasks[[#This Row],[_IsLeaf]]=1),0,IF(N(Tasks[[#This Row],[Actual Finish]])&gt;0,1,MIN(1,Tasks[[#This Row],[_Pct]])))</f>
        <v>0</v>
      </c>
      <c r="EP164" s="43" t="n">
        <f aca="false">IF(OR(NOT(Tasks[[#This Row],[_IsLeaf]]=1),Tasks[[#This Row],[_Res1Row]]=0),0,N(Tasks[[#This Row],[_Days]])*HoursPerDay*IF(Tasks[[#This Row],[_Units1]]="",DefaultUnits,Tasks[[#This Row],[_Units1]]))</f>
        <v>0</v>
      </c>
      <c r="EQ164" s="43" t="n">
        <f aca="false">Tasks[[#This Row],[_LeafWork]]+Tasks[[#This Row],[_Res2Work]]+Tasks[[#This Row],[_Res3Work]]+Tasks[[#This Row],[_Res4Work]]</f>
        <v>0</v>
      </c>
      <c r="ER1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3" t="n">
        <f aca="false">IF(NOT(Tasks[[#This Row],[_IsLeaf]]=1),0,MAX(_xlfn.MAXIFS(Tasks[_Row],Tasks[_Pred1UID],Tasks[[#This Row],[UID]]),_xlfn.MAXIFS(Tasks[_Row],Tasks[_Pred2UID],Tasks[[#This Row],[UID]]),_xlfn.MAXIFS(Tasks[_Row],Tasks[_Pred3UID],Tasks[[#This Row],[UID]]),_xlfn.MAXIFS(Tasks[_Row],Tasks[_Pred4UID],Tasks[[#This Row],[UID]])))</f>
        <v>0</v>
      </c>
      <c r="FA1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91" t="str">
        <f aca="false">IF(NOT(Tasks[[#This Row],[_IsLeaf]]=1),"",IF(N(Tasks[[#This Row],[_Days]])&lt;=0,Tasks[[#This Row],[_LeafLateFinish]],WORKDAY.INTL(Tasks[[#This Row],[_LeafLateFinish]],-(Tasks[[#This Row],[_Days]]-1),WorkWeek,Holidays)))</f>
        <v/>
      </c>
      <c r="FD1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4" s="90" t="b">
        <f aca="false">AND(Tasks[[#This Row],[_IsLeaf]]=1,Tasks[[#This Row],[_LeafProgress]]&lt;1,N(Tasks[[#This Row],[_LeafTotalSlack]])&lt;=CriticalSlackDays)</f>
        <v>0</v>
      </c>
      <c r="FF164" s="43" t="n">
        <f aca="false">IF(AND(Tasks[[#This Row],[_IsLeaf]]=1,Tasks[[#This Row],[_ConstraintCode]]=1,Tasks[[#This Row],[Mode]]&lt;&gt;"Manual",N(Tasks[[#This Row],[Actual Start]])=0),MAX(0,N(Tasks[[#This Row],[Free Slack]])),0)</f>
        <v>0</v>
      </c>
      <c r="FG164" s="91" t="str">
        <f aca="false">IF(NOT(Tasks[[#This Row],[_IsLeaf]]=1),"",IF(Tasks[[#This Row],[_AlapShift]]=0,Tasks[[#This Row],[_LeafCalcStart]],WORKDAY.INTL(Tasks[[#This Row],[_LeafCalcStart]],Tasks[[#This Row],[_AlapShift]],WorkWeek,Holidays)))</f>
        <v/>
      </c>
      <c r="FH164" s="91" t="str">
        <f aca="false">IF(NOT(Tasks[[#This Row],[_IsLeaf]]=1),"",IF(Tasks[[#This Row],[_AlapShift]]=0,Tasks[[#This Row],[_LeafCalcFinish]],WORKDAY.INTL(Tasks[[#This Row],[_LeafCalcFinish]],Tasks[[#This Row],[_AlapShift]],WorkWeek,Holidays)))</f>
        <v/>
      </c>
      <c r="FI164" s="91" t="str">
        <f aca="false">IF(NOT(Tasks[[#This Row],[_IsLeaf]]=1),"",IF(Tasks[[#This Row],[_AlapShift]]=0,Tasks[[#This Row],[_LeafFcstStart]],WORKDAY.INTL(Tasks[[#This Row],[_LeafFcstStart]],Tasks[[#This Row],[_AlapShift]],WorkWeek,Holidays)))</f>
        <v/>
      </c>
      <c r="FJ164" s="91" t="str">
        <f aca="false">IF(NOT(Tasks[[#This Row],[_IsLeaf]]=1),"",IF(Tasks[[#This Row],[_AlapShift]]=0,Tasks[[#This Row],[_LeafFcstFinish]],WORKDAY.INTL(Tasks[[#This Row],[_LeafFcstFinish]],Tasks[[#This Row],[_AlapShift]],WorkWeek,Holidays)))</f>
        <v/>
      </c>
      <c r="FK164" s="91" t="str">
        <f aca="false">IF(Tasks[[#This Row],[Task Name]]="","",IF(Tasks[[#This Row],[_IsSummary]],MIN(INDEX(Tasks[_ShownCalcStart],Tasks[[#This Row],[_Row]]+1):INDEX(Tasks[_ShownCalcStart],Tasks[[#This Row],[_Row]]+Tasks[[#This Row],[_Descendants]])),Tasks[[#This Row],[_ShownCalcStart]]))</f>
        <v/>
      </c>
      <c r="FL164" s="91" t="str">
        <f aca="false">IF(Tasks[[#This Row],[Task Name]]="","",IF(Tasks[[#This Row],[_IsSummary]],MAX(INDEX(Tasks[_ShownCalcFinish],Tasks[[#This Row],[_Row]]+1):INDEX(Tasks[_ShownCalcFinish],Tasks[[#This Row],[_Row]]+Tasks[[#This Row],[_Descendants]])),Tasks[[#This Row],[_ShownCalcFinish]]))</f>
        <v/>
      </c>
      <c r="FM1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4" s="43" t="n">
        <f aca="false">IF(AND(Tasks[[#This Row],[_IsLeaf]]=1,Tasks[[#This Row],[_LeafTotalWork]]&gt;0),NETWORKDAYS.INTL(ProjectStart,Tasks[[#This Row],[_ShownFcstStart]],WorkWeek,Holidays),0)</f>
        <v>0</v>
      </c>
      <c r="FZ164" s="43" t="n">
        <f aca="false">IF(AND(Tasks[[#This Row],[_IsLeaf]]=1,Tasks[[#This Row],[_LeafTotalWork]]&gt;0),MAX(Tasks[[#This Row],[_StartWorkday]],NETWORKDAYS.INTL(ProjectStart,Tasks[[#This Row],[_ShownFcstFinish]],WorkWeek,Holidays)),0)</f>
        <v>0</v>
      </c>
      <c r="GA164" s="43" t="n">
        <f aca="false">IF(AND(Tasks[[#This Row],[_IsLeaf]]=1,Tasks[[#This Row],[_LeafTotalWork]]&gt;0),Tasks[[#This Row],[_LeafWork]]/(Tasks[[#This Row],[_FinishWorkday]]-Tasks[[#This Row],[_StartWorkday]]+1),0)</f>
        <v>0</v>
      </c>
      <c r="GB164" s="43" t="n">
        <f aca="false">Tasks[[#This Row],[_WorkPerWorkday]]*(Tasks[[#This Row],[_StartWorkday]]-1)</f>
        <v>-0</v>
      </c>
      <c r="GC164" s="43" t="n">
        <f aca="false">IF(Tasks[[#This Row],[_IsLeaf]]=1,MAX(N(Tasks[[#This Row],[_Days]]),0.1),0)</f>
        <v>0</v>
      </c>
      <c r="GD164" s="43" t="n">
        <f aca="false">Tasks[[#This Row],[_WeightDur]]*Tasks[[#This Row],[_LeafProgress]]</f>
        <v>0</v>
      </c>
      <c r="GE164" s="43" t="n">
        <f aca="false">Tasks[[#This Row],[_WeightDur]]*Tasks[[#This Row],[_PlannedPct]]</f>
        <v>0</v>
      </c>
      <c r="GF1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3" t="str">
        <f aca="false">IF(AND(Tasks[[#This Row],[_IsLeaf]]=1,N(Tasks[[#This Row],[_Days]])=0,Tasks[[#This Row],[_LeafProgress]]&lt;1),Tasks[[#This Row],[_ShownFcstFinish]]+Tasks[[#This Row],[_Row]]/100000,"")</f>
        <v/>
      </c>
      <c r="GH1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4" s="43" t="str">
        <f aca="false">IF(Tasks[[#This Row],[Task Name]]="","",LEFT(Tasks[[#This Row],[WBS]],FIND(".",Tasks[[#This Row],[WBS]]&amp;".")-1))</f>
        <v/>
      </c>
      <c r="GJ164" s="43" t="str">
        <f aca="false">IF(AND(Tasks[[#This Row],[Task Name]]&lt;&gt;"",Tasks[[#This Row],[_Level]]=1),Tasks[[#This Row],[_Row]],"")</f>
        <v/>
      </c>
      <c r="GK164" s="43" t="str">
        <f aca="false">IF(AND(Tasks[[#This Row],[_IsLeaf]]=1,N(Tasks[[#This Row],[_Days]])=0),Tasks[[#This Row],[Planned Finish]]+Tasks[[#This Row],[_Row]]/100000,"")</f>
        <v/>
      </c>
      <c r="GL164" s="43" t="str">
        <f aca="false">IF(AND(Tasks[[#This Row],[_IsLeaf]]=1,Tasks[[#This Row],[_LeafProgress]]&lt;1,OR(N(Tasks[[#This Row],[Finish Var]])&gt;0,Tasks[[#This Row],[Status]]="Late Start")),MAX(0,Tasks[[#This Row],[Finish Var]])+1-Tasks[[#This Row],[_Row]]/1000000,"")</f>
        <v/>
      </c>
      <c r="GM164" s="43" t="str">
        <f aca="false">IF(AND(Tasks[[#This Row],[_IsLeaf]]=1,N(Tasks[[#This Row],[Actual Start]])=0,Tasks[[#This Row],[_ShownFcstStart]]&gt;=StatusDate,Tasks[[#This Row],[_ShownFcstStart]]&lt;=LookaheadEnd),Tasks[[#This Row],[_ShownFcstStart]]+Tasks[[#This Row],[_Row]]/100000,"")</f>
        <v/>
      </c>
      <c r="GN164" s="43" t="str">
        <f aca="false">IF(AND(Tasks[[#This Row],[_IsLeaf]]=1,Tasks[[#This Row],[_LeafProgress]]&lt;1,Tasks[[#This Row],[_ShownFcstFinish]]&gt;=StatusDate,Tasks[[#This Row],[_ShownFcstFinish]]&lt;=LookaheadEnd),Tasks[[#This Row],[_ShownFcstFinish]]+Tasks[[#This Row],[_Row]]/100000,"")</f>
        <v/>
      </c>
      <c r="GO164" s="43" t="str">
        <f aca="false">IF(Tasks[[#This Row],[_LeafCritical]],Tasks[[#This Row],[_ShownFcstStart]]+Tasks[[#This Row],[_Row]]/100000,"")</f>
        <v/>
      </c>
      <c r="GP164" s="43" t="n">
        <f aca="false">Tasks[[#This Row],[_LeafWork]]*Tasks[[#This Row],[_LeafProgress]]</f>
        <v>0</v>
      </c>
      <c r="GQ164" s="91" t="str">
        <f aca="false">IF(AND(Tasks[[#This Row],[_IsLeaf]]=1,Tasks[[#This Row],[_LeafProgress]]&gt;=1),IF(N(Tasks[[#This Row],[Actual Finish]])&gt;0,Tasks[[#This Row],[Actual Finish]],Tasks[[#This Row],[_ShownFcstFinish]]),"")</f>
        <v/>
      </c>
      <c r="GR164" s="43" t="n">
        <f aca="false">IF(Tasks[[#This Row],[_IsLeaf]]=1,N(Tasks[[#This Row],[Story Points]]),0)</f>
        <v>0</v>
      </c>
      <c r="GS164" s="43" t="str">
        <f aca="false">""</f>
        <v/>
      </c>
      <c r="GT164" s="90" t="b">
        <f aca="false">IF(Tasks[[#This Row],[Task Name]]="",FALSE(),AND(Tasks[[#This Row],[_IsLeaf]]=1,N(Tasks[[#This Row],[_Days]])=0))</f>
        <v>0</v>
      </c>
      <c r="GU164" s="91" t="n">
        <f aca="false">IF(Tasks[[#This Row],[Task Name]]="",0,IF(AND(Tasks[[#This Row],[_IsLeaf]]=1,NOT(Tasks[[#This Row],[_IsMilestone]]),N(Tasks[[#This Row],[Progress]])&gt;0),Tasks[[#This Row],[Start]],0))</f>
        <v>0</v>
      </c>
      <c r="GV164" s="91" t="n">
        <f aca="false">IF(Tasks[[#This Row],[_DoneFrom]]=0,0,IF(Tasks[[#This Row],[Progress]]&gt;=1,Tasks[[#This Row],[Finish]],MAX(Tasks[[#This Row],[_DoneFrom]],Tasks[[#This Row],[Start]]+ROUND((Tasks[[#This Row],[Finish]]-Tasks[[#This Row],[Start]]+1)*Tasks[[#This Row],[Progress]],0)-1)))</f>
        <v>0</v>
      </c>
      <c r="GW164" s="91" t="n">
        <f aca="false">IF(Tasks[[#This Row],[Task Name]]="",0,IF(OR(NOT(Tasks[[#This Row],[_IsLeaf]]=1),Tasks[[#This Row],[_IsMilestone]],N(Tasks[[#This Row],[Progress]])&gt;=1),0,IF(Tasks[[#This Row],[_DoneTo]]&gt;0,Tasks[[#This Row],[_DoneTo]]+1,Tasks[[#This Row],[Start]])))</f>
        <v>0</v>
      </c>
      <c r="GX164" s="91" t="n">
        <f aca="false">IF(Tasks[[#This Row],[_RemFrom]]=0,0,Tasks[[#This Row],[Finish]])</f>
        <v>0</v>
      </c>
      <c r="GY164" s="90" t="b">
        <f aca="false">IF(Tasks[[#This Row],[Task Name]]="",FALSE(),OR(NOT(BaselineSet),N(Tasks[[#This Row],[Baseline Start]])&gt;0))</f>
        <v>0</v>
      </c>
      <c r="GZ16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92" t="str">
        <f aca="false">IF(Tasks[[#This Row],[_IsLeaf]]=1,Tasks[[#This Row],[_Row]],"")</f>
        <v/>
      </c>
      <c r="HD164" s="92" t="str">
        <f aca="false">IFERROR(INDEX(Tasks[UID],SMALL(Tasks[_PickKey],Tasks[[#This Row],[_Row]]))&amp;" "&amp;INDEX(Tasks[Task Name],SMALL(Tasks[_PickKey],Tasks[[#This Row],[_Row]])),"")</f>
        <v/>
      </c>
      <c r="HE164" s="43" t="str">
        <f aca="false">IF(Tasks[[#This Row],[Task Name]]="","",IF(Tasks[[#This Row],[_IsSummary]],NETWORKDAYS.INTL(Tasks[[#This Row],[Start]],Tasks[[#This Row],[Finish]],WorkWeek,Holidays),N(Tasks[[#This Row],[_Days]])))</f>
        <v/>
      </c>
      <c r="HF164" s="43" t="n">
        <f aca="false">IF(Tasks[[#This Row],[Expected]]="",0,((Tasks[[#This Row],[Pessimistic]]-Tasks[[#This Row],[Optimistic]])/6)^2)</f>
        <v>0</v>
      </c>
      <c r="HG164" s="43" t="n">
        <f aca="false">IF(Tasks[[#This Row],[Expected]]="",0,Tasks[[#This Row],[Expected]]-N(Tasks[[#This Row],[_Days]]))</f>
        <v>0</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4"/>
      <c r="U165" s="23"/>
      <c r="V165" s="84"/>
      <c r="W165" s="23"/>
      <c r="X165" s="84"/>
      <c r="Y165" s="23"/>
      <c r="Z165" s="84"/>
      <c r="AA165" s="23"/>
      <c r="AB165" s="23"/>
      <c r="AC165" s="7"/>
      <c r="AD165" s="7"/>
      <c r="AE165" s="63" t="str">
        <f aca="false">IF(Tasks[[#This Row],[Task Name]]="","",IF(Tasks[[#This Row],[_IsSummary]],MIN(INDEX(Tasks[_ShownFcstStart],Tasks[[#This Row],[_Row]]+1):INDEX(Tasks[_ShownFcstStart],Tasks[[#This Row],[_Row]]+Tasks[[#This Row],[_Descendants]])),Tasks[[#This Row],[_ShownFcstStart]]))</f>
        <v/>
      </c>
      <c r="AF165" s="63"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5" s="7"/>
      <c r="AK165" s="22"/>
      <c r="AL165" s="23"/>
      <c r="AM165" s="7"/>
      <c r="AN165" s="47"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3" t="str">
        <f aca="false">IF(Tasks[[#This Row],[Task Name]]="","",IF(N(Tasks[[#This Row],[Baseline Start]])&gt;0,Tasks[[#This Row],[Baseline Start]],Tasks[[#This Row],[_CalcStart]]))</f>
        <v/>
      </c>
      <c r="AR165" s="63" t="str">
        <f aca="false">IF(Tasks[[#This Row],[Task Name]]="","",IF(N(Tasks[[#This Row],[Baseline Finish]])&gt;0,Tasks[[#This Row],[Baseline Finish]],Tasks[[#This Row],[_CalcFinish]]))</f>
        <v/>
      </c>
      <c r="AS165" s="47" t="str">
        <f aca="false">IF(Tasks[[#This Row],[Task Name]]="","",IF(Tasks[[#This Row],[Start]]&gt;=Tasks[[#This Row],[Planned Start]],NETWORKDAYS.INTL(Tasks[[#This Row],[Planned Start]],Tasks[[#This Row],[Start]],WorkWeek,Holidays)-1,1-NETWORKDAYS.INTL(Tasks[[#This Row],[Start]],Tasks[[#This Row],[Planned Start]],WorkWeek,Holidays)))</f>
        <v/>
      </c>
      <c r="AT165" s="63" t="str">
        <f aca="false">IF(Tasks[[#This Row],[Task Name]]="","",IF(Tasks[[#This Row],[_IsSummary]],MIN(INDEX(Tasks[_LeafLateStart],Tasks[[#This Row],[_Row]]+1):INDEX(Tasks[_LeafLateStart],Tasks[[#This Row],[_Row]]+Tasks[[#This Row],[_Descendants]])),Tasks[[#This Row],[_LeafLateStart]]))</f>
        <v/>
      </c>
      <c r="AU165" s="63" t="str">
        <f aca="false">IF(Tasks[[#This Row],[Task Name]]="","",IF(Tasks[[#This Row],[_IsSummary]],MAX(INDEX(Tasks[_LeafLateFinish],Tasks[[#This Row],[_Row]]+1):INDEX(Tasks[_LeafLateFinish],Tasks[[#This Row],[_Row]]+Tasks[[#This Row],[_Descendants]])),Tasks[[#This Row],[_LeafLateFinish]]))</f>
        <v/>
      </c>
      <c r="AV165" s="47"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5"/>
      <c r="BA1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6"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7"/>
      <c r="BJ165" s="22"/>
      <c r="BK165" s="47" t="str">
        <f aca="false">IF(OR(Tasks[[#This Row],[Task Name]]="",Tasks[[#This Row],[Baseline Duration]]=""),"",Tasks[[#This Row],[_SpanDays]]-N(Tasks[[#This Row],[Baseline Duration]]))</f>
        <v/>
      </c>
      <c r="BL165" s="86" t="str">
        <f aca="false">IF(OR(Tasks[[#This Row],[Task Name]]="",Tasks[[#This Row],[Baseline Work]]=""),"",Tasks[[#This Row],[Work]]-N(Tasks[[#This Row],[Baseline Work]]))</f>
        <v/>
      </c>
      <c r="BM165" s="63" t="str">
        <f aca="false">IF(Tasks[[#This Row],[Task Name]]="","",IF(OR(TakeBaseline="Yes",N(Tasks[[#This Row],[Baseline Start]])=0),Tasks[[#This Row],[Start]],Tasks[[#This Row],[Baseline Start]]))</f>
        <v/>
      </c>
      <c r="BN165" s="63" t="str">
        <f aca="false">IF(Tasks[[#This Row],[Task Name]]="","",IF(OR(TakeBaseline="Yes",N(Tasks[[#This Row],[Baseline Finish]])=0),Tasks[[#This Row],[Finish]],Tasks[[#This Row],[Baseline Finish]]))</f>
        <v/>
      </c>
      <c r="BO165" s="21" t="str">
        <f aca="false">IF(Tasks[[#This Row],[Task Name]]="","",IF(OR(TakeBaseline="Yes",N(Tasks[[#This Row],[Baseline Duration]])=0),Tasks[[#This Row],[_SpanDays]],Tasks[[#This Row],[Baseline Duration]]))</f>
        <v/>
      </c>
      <c r="BP165" s="86" t="str">
        <f aca="false">IF(Tasks[[#This Row],[Task Name]]="","",IF(OR(TakeBaseline="Yes",N(Tasks[[#This Row],[Baseline Work]])=0),Tasks[[#This Row],[Work]],Tasks[[#This Row],[Baseline Work]]))</f>
        <v/>
      </c>
      <c r="BQ165" s="7"/>
      <c r="BR165" s="7"/>
      <c r="BS165" s="22"/>
      <c r="BT165" s="88"/>
      <c r="BU165" s="23"/>
      <c r="BV165" s="23"/>
      <c r="BW165" s="23"/>
      <c r="BX165" s="89" t="str">
        <f aca="false">IF(AND(Tasks[[#This Row],[_IsLeaf]]=1,ISNUMBER(Tasks[[#This Row],[Optimistic]]),ISNUMBER(Tasks[[#This Row],[Pessimistic]])),ROUND((Tasks[[#This Row],[Optimistic]]+4*N(Tasks[[#This Row],[_Days]])+Tasks[[#This Row],[Pessimistic]])/6,1),"")</f>
        <v/>
      </c>
      <c r="BY165" s="87"/>
      <c r="BZ165" s="87"/>
      <c r="CA165" s="22"/>
      <c r="CB165" s="43" t="str">
        <f aca="false">IF(Tasks[[#This Row],[Task Name]]="","",MAX(1,N(Tasks[[#This Row],[Level]])))</f>
        <v/>
      </c>
      <c r="CC165" s="43" t="n">
        <f aca="false">ROW()-ROW(Tasks[[#Headers],[ID]])</f>
        <v>160</v>
      </c>
      <c r="CD165" s="43" t="n">
        <f aca="false">IF(OR(Tasks[[#This Row],[Task Name]]="",Tasks[[#This Row],[_Level]]&lt;=1),0,IFERROR(LOOKUP(2,1/(Tasks[[#Headers],[_Level]]:Tasks[[#This Row],[_Level]]=Tasks[[#This Row],[_Level]]-1),ROW(Tasks[[#Headers],[_Level]]:Tasks[[#This Row],[_Level]])),0))</f>
        <v>0</v>
      </c>
      <c r="CE165" s="43" t="n">
        <f aca="false">IFERROR(N(INDEX(Tasks[_Level],Tasks[[#This Row],[_Row]]+1)),0)</f>
        <v>0</v>
      </c>
      <c r="CF165" s="90" t="b">
        <f aca="false">AND(Tasks[[#This Row],[Task Name]]&lt;&gt;"",Tasks[[#This Row],[_NextLevel]]&gt;Tasks[[#This Row],[_Level]])</f>
        <v>0</v>
      </c>
      <c r="CG165" s="43" t="n">
        <f aca="false">IF(Tasks[[#This Row],[_IsSummary]],COUNTIF(Tasks[WBS],Tasks[[#This Row],[WBS]]&amp;".*"),0)</f>
        <v>0</v>
      </c>
      <c r="CH165" s="43" t="n">
        <f aca="false">IF(AND(Tasks[[#This Row],[Task Name]]&lt;&gt;"",NOT(Tasks[[#This Row],[_IsSummary]])),1,0)</f>
        <v>0</v>
      </c>
      <c r="CI165" s="43" t="n">
        <f aca="false">IF(N(Tasks[[#This Row],[_Pred1UID]])=0,0,IFERROR(MATCH(Tasks[[#This Row],[_Pred1UID]],Tasks[UID],0),-1))</f>
        <v>0</v>
      </c>
      <c r="CJ165" s="43" t="n">
        <f aca="false">IF(N(Tasks[[#This Row],[_Pred2UID]])=0,0,IFERROR(MATCH(Tasks[[#This Row],[_Pred2UID]],Tasks[UID],0),-1))</f>
        <v>0</v>
      </c>
      <c r="CK165" s="43" t="n">
        <f aca="false">IF(N(Tasks[[#This Row],[_Pred3UID]])=0,0,IFERROR(MATCH(Tasks[[#This Row],[_Pred3UID]],Tasks[UID],0),-1))</f>
        <v>0</v>
      </c>
      <c r="CL165" s="43" t="n">
        <f aca="false">IF(N(Tasks[[#This Row],[_Pred4UID]])=0,0,IFERROR(MATCH(Tasks[[#This Row],[_Pred4UID]],Tasks[UID],0),-1))</f>
        <v>0</v>
      </c>
      <c r="CM1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5" s="91" t="n">
        <f aca="false">IF(OR(Tasks[[#This Row],[_ConstraintCode]]=2,Tasks[[#This Row],[_ConstraintCode]]=3,Tasks[[#This Row],[_ConstraintCode]]=4,Tasks[[#This Row],[_ConstraintCode]]=6),Tasks[[#This Row],[_ConstraintStart]],0)</f>
        <v>0</v>
      </c>
      <c r="CP165" s="91" t="n">
        <f aca="false">IF(OR(Tasks[[#This Row],[_ConstraintCode]]=2,Tasks[[#This Row],[_ConstraintCode]]=3,Tasks[[#This Row],[_ConstraintCode]]=5,Tasks[[#This Row],[_ConstraintCode]]=7),Tasks[[#This Row],[_ConstraintStart]],2958465)</f>
        <v>2958465</v>
      </c>
      <c r="CQ1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91" t="str">
        <f aca="false">IF(NOT(Tasks[[#This Row],[_IsLeaf]]=1),"",IF(N(Tasks[[#This Row],[_Days]])&lt;=0,Tasks[[#This Row],[_LeafCalcStart]],WORKDAY.INTL(Tasks[[#This Row],[_LeafCalcStart]],Tasks[[#This Row],[_Days]]-1,WorkWeek,Holidays)))</f>
        <v/>
      </c>
      <c r="CS1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3" t="str">
        <f aca="false">IF(Tasks[[#This Row],[_Predecessors]]="","",TRIM(MID(SUBSTITUTE(SUBSTITUTE(SUBSTITUTE(UPPER(Tasks[[#This Row],[_Predecessors]]),";",",")," ",""),",",REPT(" ",99)),1,99)))</f>
        <v/>
      </c>
      <c r="CV165" s="43" t="str">
        <f aca="false">IF(Tasks[[#This Row],[_Pred1Text]]="","",IFERROR(VALUE(LEFT(Tasks[[#This Row],[_Pred1Text]],MIN(FIND("F",Tasks[[#This Row],[_Pred1Text]]&amp;"F"),FIND("S",Tasks[[#This Row],[_Pred1Text]]&amp;"S"),FIND("+",Tasks[[#This Row],[_Pred1Text]]&amp;"+"),FIND("-",Tasks[[#This Row],[_Pred1Text]]&amp;"-"))-1)),""))</f>
        <v/>
      </c>
      <c r="CW1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3" t="str">
        <f aca="false">IF(Tasks[[#This Row],[_Pred1Text]]="","",TRIM(MID(SUBSTITUTE(SUBSTITUTE(SUBSTITUTE(UPPER(Tasks[[#This Row],[_Predecessors]]),";",",")," ",""),",",REPT(" ",99)),100,99)))</f>
        <v/>
      </c>
      <c r="CZ165" s="43" t="str">
        <f aca="false">IF(Tasks[[#This Row],[_Pred2Text]]="","",IFERROR(VALUE(LEFT(Tasks[[#This Row],[_Pred2Text]],MIN(FIND("F",Tasks[[#This Row],[_Pred2Text]]&amp;"F"),FIND("S",Tasks[[#This Row],[_Pred2Text]]&amp;"S"),FIND("+",Tasks[[#This Row],[_Pred2Text]]&amp;"+"),FIND("-",Tasks[[#This Row],[_Pred2Text]]&amp;"-"))-1)),""))</f>
        <v/>
      </c>
      <c r="DA1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3" t="str">
        <f aca="false">IF(Tasks[[#This Row],[_Pred2Text]]="","",TRIM(MID(SUBSTITUTE(SUBSTITUTE(SUBSTITUTE(UPPER(Tasks[[#This Row],[_Predecessors]]),";",",")," ",""),",",REPT(" ",99)),199,99)))</f>
        <v/>
      </c>
      <c r="DD165" s="43" t="str">
        <f aca="false">IF(Tasks[[#This Row],[_Pred3Text]]="","",IFERROR(VALUE(LEFT(Tasks[[#This Row],[_Pred3Text]],MIN(FIND("F",Tasks[[#This Row],[_Pred3Text]]&amp;"F"),FIND("S",Tasks[[#This Row],[_Pred3Text]]&amp;"S"),FIND("+",Tasks[[#This Row],[_Pred3Text]]&amp;"+"),FIND("-",Tasks[[#This Row],[_Pred3Text]]&amp;"-"))-1)),""))</f>
        <v/>
      </c>
      <c r="DE1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3" t="str">
        <f aca="false">IF(Tasks[[#This Row],[_Pred3Text]]="","",TRIM(MID(SUBSTITUTE(SUBSTITUTE(SUBSTITUTE(UPPER(Tasks[[#This Row],[_Predecessors]]),";",",")," ",""),",",REPT(" ",99)),298,99)))</f>
        <v/>
      </c>
      <c r="DH165" s="43" t="str">
        <f aca="false">IF(Tasks[[#This Row],[_Pred4Text]]="","",IFERROR(VALUE(LEFT(Tasks[[#This Row],[_Pred4Text]],MIN(FIND("F",Tasks[[#This Row],[_Pred4Text]]&amp;"F"),FIND("S",Tasks[[#This Row],[_Pred4Text]]&amp;"S"),FIND("+",Tasks[[#This Row],[_Pred4Text]]&amp;"+"),FIND("-",Tasks[[#This Row],[_Pred4Text]]&amp;"-"))-1)),""))</f>
        <v/>
      </c>
      <c r="DI1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3" t="str">
        <f aca="false">IF(OR(Tasks[[#This Row],[Task Name]]="",Tasks[[#This Row],[_Resources]]=""),"",TRIM(MID(SUBSTITUTE(Tasks[[#This Row],[_Resources]],",",REPT(" ",99)),1,99)))</f>
        <v/>
      </c>
      <c r="DL165" s="43" t="str">
        <f aca="false">IF(Tasks[[#This Row],[_Res1Text]]="","",TRIM(MID(SUBSTITUTE(Tasks[[#This Row],[_Resources]],",",REPT(" ",99)),100,99)))</f>
        <v/>
      </c>
      <c r="DM165" s="43" t="str">
        <f aca="false">IF(Tasks[[#This Row],[_Res2Text]]="","",TRIM(MID(SUBSTITUTE(Tasks[[#This Row],[_Resources]],",",REPT(" ",99)),199,99)))</f>
        <v/>
      </c>
      <c r="DN165" s="43" t="str">
        <f aca="false">IF(Tasks[[#This Row],[_Res3Text]]="","",TRIM(MID(SUBSTITUTE(Tasks[[#This Row],[_Resources]],",",REPT(" ",99)),298,99)))</f>
        <v/>
      </c>
      <c r="DO165" s="43" t="n">
        <f aca="false">IF(Tasks[[#This Row],[_Res1Text]]="",0,IFERROR(MATCH(TRIM(LEFT(Tasks[[#This Row],[_Res1Text]],FIND("[",Tasks[[#This Row],[_Res1Text]]&amp;"[")-1)),res_Name,0),IFERROR(MATCH(TRIM(LEFT(Tasks[[#This Row],[_Res1Text]],FIND("[",Tasks[[#This Row],[_Res1Text]]&amp;"[")-1)),res_Initials,0),0)))</f>
        <v>0</v>
      </c>
      <c r="DP165" s="43" t="n">
        <f aca="false">IF(Tasks[[#This Row],[_Res2Text]]="",0,IFERROR(MATCH(TRIM(LEFT(Tasks[[#This Row],[_Res2Text]],FIND("[",Tasks[[#This Row],[_Res2Text]]&amp;"[")-1)),res_Name,0),IFERROR(MATCH(TRIM(LEFT(Tasks[[#This Row],[_Res2Text]],FIND("[",Tasks[[#This Row],[_Res2Text]]&amp;"[")-1)),res_Initials,0),0)))</f>
        <v>0</v>
      </c>
      <c r="DQ165" s="43" t="n">
        <f aca="false">IF(Tasks[[#This Row],[_Res3Text]]="",0,IFERROR(MATCH(TRIM(LEFT(Tasks[[#This Row],[_Res3Text]],FIND("[",Tasks[[#This Row],[_Res3Text]]&amp;"[")-1)),res_Name,0),IFERROR(MATCH(TRIM(LEFT(Tasks[[#This Row],[_Res3Text]],FIND("[",Tasks[[#This Row],[_Res3Text]]&amp;"[")-1)),res_Initials,0),0)))</f>
        <v>0</v>
      </c>
      <c r="DR165" s="43" t="n">
        <f aca="false">IF(Tasks[[#This Row],[_Res4Text]]="",0,IFERROR(MATCH(TRIM(LEFT(Tasks[[#This Row],[_Res4Text]],FIND("[",Tasks[[#This Row],[_Res4Text]]&amp;"[")-1)),res_Name,0),IFERROR(MATCH(TRIM(LEFT(Tasks[[#This Row],[_Res4Text]],FIND("[",Tasks[[#This Row],[_Res4Text]]&amp;"[")-1)),res_Initials,0),0)))</f>
        <v>0</v>
      </c>
      <c r="DS165" s="43" t="str">
        <f aca="false">IF(Tasks[[#This Row],[_Res1Text]]="","",IF(Tasks[[#This Row],[_Res1Row]]&gt;0,INDEX(res_Name,Tasks[[#This Row],[_Res1Row]]),TRIM(LEFT(Tasks[[#This Row],[_Res1Text]],FIND("[",Tasks[[#This Row],[_Res1Text]]&amp;"[")-1))))</f>
        <v/>
      </c>
      <c r="DT1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3" t="n">
        <f aca="false">IF(NOT(Tasks[[#This Row],[_IsLeaf]]=1),0,(Tasks[[#This Row],[_Resource1]]&lt;&gt;"")+(Tasks[[#This Row],[_Res2]]&lt;&gt;"")+(Tasks[[#This Row],[_Res3]]&lt;&gt;"")+(Tasks[[#This Row],[_Res4]]&lt;&gt;""))</f>
        <v>0</v>
      </c>
      <c r="DV165" s="43" t="str">
        <f aca="false">IF(Tasks[[#This Row],[_Res2Text]]="","",IF(Tasks[[#This Row],[_Res2Row]]&gt;0,INDEX(res_Name,Tasks[[#This Row],[_Res2Row]]),TRIM(LEFT(Tasks[[#This Row],[_Res2Text]],FIND("[",Tasks[[#This Row],[_Res2Text]]&amp;"[")-1))))</f>
        <v/>
      </c>
      <c r="DW1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3" t="n">
        <f aca="false">IF(OR(NOT(Tasks[[#This Row],[_IsLeaf]]=1),Tasks[[#This Row],[_Res2Row]]=0),0,N(Tasks[[#This Row],[_Days]])*HoursPerDay*IF(Tasks[[#This Row],[_Res2Units]]="",DefaultUnits,Tasks[[#This Row],[_Res2Units]]))</f>
        <v>0</v>
      </c>
      <c r="DY165" s="43" t="n">
        <f aca="false">IF(AND(AND(Tasks[[#This Row],[_IsLeaf]]=1,Tasks[[#This Row],[_LeafTotalWork]]&gt;0),Tasks[[#This Row],[_Res2Work]]&gt;0),Tasks[[#This Row],[_Res2Work]]/(Tasks[[#This Row],[_FinishWorkday]]-Tasks[[#This Row],[_StartWorkday]]+1),0)</f>
        <v>0</v>
      </c>
      <c r="DZ165" s="43" t="n">
        <f aca="false">Tasks[[#This Row],[_Res2WorkPerWD]]*MAX(0,Tasks[[#This Row],[_StartWorkday]]-1)</f>
        <v>0</v>
      </c>
      <c r="EA165" s="43" t="n">
        <f aca="false">Tasks[[#This Row],[_Res2Work]]*Tasks[[#This Row],[_LeafProgress]]</f>
        <v>0</v>
      </c>
      <c r="EB165" s="43" t="str">
        <f aca="false">IF(Tasks[[#This Row],[_Res3Text]]="","",IF(Tasks[[#This Row],[_Res3Row]]&gt;0,INDEX(res_Name,Tasks[[#This Row],[_Res3Row]]),TRIM(LEFT(Tasks[[#This Row],[_Res3Text]],FIND("[",Tasks[[#This Row],[_Res3Text]]&amp;"[")-1))))</f>
        <v/>
      </c>
      <c r="EC1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3" t="n">
        <f aca="false">IF(OR(NOT(Tasks[[#This Row],[_IsLeaf]]=1),Tasks[[#This Row],[_Res3Row]]=0),0,N(Tasks[[#This Row],[_Days]])*HoursPerDay*IF(Tasks[[#This Row],[_Res3Units]]="",DefaultUnits,Tasks[[#This Row],[_Res3Units]]))</f>
        <v>0</v>
      </c>
      <c r="EE165" s="43" t="n">
        <f aca="false">IF(AND(AND(Tasks[[#This Row],[_IsLeaf]]=1,Tasks[[#This Row],[_LeafTotalWork]]&gt;0),Tasks[[#This Row],[_Res3Work]]&gt;0),Tasks[[#This Row],[_Res3Work]]/(Tasks[[#This Row],[_FinishWorkday]]-Tasks[[#This Row],[_StartWorkday]]+1),0)</f>
        <v>0</v>
      </c>
      <c r="EF165" s="43" t="n">
        <f aca="false">Tasks[[#This Row],[_Res3WorkPerWD]]*MAX(0,Tasks[[#This Row],[_StartWorkday]]-1)</f>
        <v>0</v>
      </c>
      <c r="EG165" s="43" t="n">
        <f aca="false">Tasks[[#This Row],[_Res3Work]]*Tasks[[#This Row],[_LeafProgress]]</f>
        <v>0</v>
      </c>
      <c r="EH165" s="43" t="str">
        <f aca="false">IF(Tasks[[#This Row],[_Res4Text]]="","",IF(Tasks[[#This Row],[_Res4Row]]&gt;0,INDEX(res_Name,Tasks[[#This Row],[_Res4Row]]),TRIM(LEFT(Tasks[[#This Row],[_Res4Text]],FIND("[",Tasks[[#This Row],[_Res4Text]]&amp;"[")-1))))</f>
        <v/>
      </c>
      <c r="EI1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3" t="n">
        <f aca="false">IF(OR(NOT(Tasks[[#This Row],[_IsLeaf]]=1),Tasks[[#This Row],[_Res4Row]]=0),0,N(Tasks[[#This Row],[_Days]])*HoursPerDay*IF(Tasks[[#This Row],[_Res4Units]]="",DefaultUnits,Tasks[[#This Row],[_Res4Units]]))</f>
        <v>0</v>
      </c>
      <c r="EK165" s="43" t="n">
        <f aca="false">IF(AND(AND(Tasks[[#This Row],[_IsLeaf]]=1,Tasks[[#This Row],[_LeafTotalWork]]&gt;0),Tasks[[#This Row],[_Res4Work]]&gt;0),Tasks[[#This Row],[_Res4Work]]/(Tasks[[#This Row],[_FinishWorkday]]-Tasks[[#This Row],[_StartWorkday]]+1),0)</f>
        <v>0</v>
      </c>
      <c r="EL165" s="43" t="n">
        <f aca="false">Tasks[[#This Row],[_Res4WorkPerWD]]*MAX(0,Tasks[[#This Row],[_StartWorkday]]-1)</f>
        <v>0</v>
      </c>
      <c r="EM165" s="43" t="n">
        <f aca="false">Tasks[[#This Row],[_Res4Work]]*Tasks[[#This Row],[_LeafProgress]]</f>
        <v>0</v>
      </c>
      <c r="EN165" s="43" t="n">
        <f aca="false">IF(ISNUMBER(Tasks[[#This Row],[% Complete]]),Tasks[[#This Row],[% Complete]],IF(Tasks[[#This Row],[Stage]]="",0,IFERROR(INDEX(stg_Pct,MATCH(Tasks[[#This Row],[Stage]],stg_Name,0)),0)))</f>
        <v>0</v>
      </c>
      <c r="EO165" s="43" t="n">
        <f aca="false">IF(NOT(Tasks[[#This Row],[_IsLeaf]]=1),0,IF(N(Tasks[[#This Row],[Actual Finish]])&gt;0,1,MIN(1,Tasks[[#This Row],[_Pct]])))</f>
        <v>0</v>
      </c>
      <c r="EP165" s="43" t="n">
        <f aca="false">IF(OR(NOT(Tasks[[#This Row],[_IsLeaf]]=1),Tasks[[#This Row],[_Res1Row]]=0),0,N(Tasks[[#This Row],[_Days]])*HoursPerDay*IF(Tasks[[#This Row],[_Units1]]="",DefaultUnits,Tasks[[#This Row],[_Units1]]))</f>
        <v>0</v>
      </c>
      <c r="EQ165" s="43" t="n">
        <f aca="false">Tasks[[#This Row],[_LeafWork]]+Tasks[[#This Row],[_Res2Work]]+Tasks[[#This Row],[_Res3Work]]+Tasks[[#This Row],[_Res4Work]]</f>
        <v>0</v>
      </c>
      <c r="ER1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3" t="n">
        <f aca="false">IF(NOT(Tasks[[#This Row],[_IsLeaf]]=1),0,MAX(_xlfn.MAXIFS(Tasks[_Row],Tasks[_Pred1UID],Tasks[[#This Row],[UID]]),_xlfn.MAXIFS(Tasks[_Row],Tasks[_Pred2UID],Tasks[[#This Row],[UID]]),_xlfn.MAXIFS(Tasks[_Row],Tasks[_Pred3UID],Tasks[[#This Row],[UID]]),_xlfn.MAXIFS(Tasks[_Row],Tasks[_Pred4UID],Tasks[[#This Row],[UID]])))</f>
        <v>0</v>
      </c>
      <c r="FA1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91" t="str">
        <f aca="false">IF(NOT(Tasks[[#This Row],[_IsLeaf]]=1),"",IF(N(Tasks[[#This Row],[_Days]])&lt;=0,Tasks[[#This Row],[_LeafLateFinish]],WORKDAY.INTL(Tasks[[#This Row],[_LeafLateFinish]],-(Tasks[[#This Row],[_Days]]-1),WorkWeek,Holidays)))</f>
        <v/>
      </c>
      <c r="FD1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5" s="90" t="b">
        <f aca="false">AND(Tasks[[#This Row],[_IsLeaf]]=1,Tasks[[#This Row],[_LeafProgress]]&lt;1,N(Tasks[[#This Row],[_LeafTotalSlack]])&lt;=CriticalSlackDays)</f>
        <v>0</v>
      </c>
      <c r="FF165" s="43" t="n">
        <f aca="false">IF(AND(Tasks[[#This Row],[_IsLeaf]]=1,Tasks[[#This Row],[_ConstraintCode]]=1,Tasks[[#This Row],[Mode]]&lt;&gt;"Manual",N(Tasks[[#This Row],[Actual Start]])=0),MAX(0,N(Tasks[[#This Row],[Free Slack]])),0)</f>
        <v>0</v>
      </c>
      <c r="FG165" s="91" t="str">
        <f aca="false">IF(NOT(Tasks[[#This Row],[_IsLeaf]]=1),"",IF(Tasks[[#This Row],[_AlapShift]]=0,Tasks[[#This Row],[_LeafCalcStart]],WORKDAY.INTL(Tasks[[#This Row],[_LeafCalcStart]],Tasks[[#This Row],[_AlapShift]],WorkWeek,Holidays)))</f>
        <v/>
      </c>
      <c r="FH165" s="91" t="str">
        <f aca="false">IF(NOT(Tasks[[#This Row],[_IsLeaf]]=1),"",IF(Tasks[[#This Row],[_AlapShift]]=0,Tasks[[#This Row],[_LeafCalcFinish]],WORKDAY.INTL(Tasks[[#This Row],[_LeafCalcFinish]],Tasks[[#This Row],[_AlapShift]],WorkWeek,Holidays)))</f>
        <v/>
      </c>
      <c r="FI165" s="91" t="str">
        <f aca="false">IF(NOT(Tasks[[#This Row],[_IsLeaf]]=1),"",IF(Tasks[[#This Row],[_AlapShift]]=0,Tasks[[#This Row],[_LeafFcstStart]],WORKDAY.INTL(Tasks[[#This Row],[_LeafFcstStart]],Tasks[[#This Row],[_AlapShift]],WorkWeek,Holidays)))</f>
        <v/>
      </c>
      <c r="FJ165" s="91" t="str">
        <f aca="false">IF(NOT(Tasks[[#This Row],[_IsLeaf]]=1),"",IF(Tasks[[#This Row],[_AlapShift]]=0,Tasks[[#This Row],[_LeafFcstFinish]],WORKDAY.INTL(Tasks[[#This Row],[_LeafFcstFinish]],Tasks[[#This Row],[_AlapShift]],WorkWeek,Holidays)))</f>
        <v/>
      </c>
      <c r="FK165" s="91" t="str">
        <f aca="false">IF(Tasks[[#This Row],[Task Name]]="","",IF(Tasks[[#This Row],[_IsSummary]],MIN(INDEX(Tasks[_ShownCalcStart],Tasks[[#This Row],[_Row]]+1):INDEX(Tasks[_ShownCalcStart],Tasks[[#This Row],[_Row]]+Tasks[[#This Row],[_Descendants]])),Tasks[[#This Row],[_ShownCalcStart]]))</f>
        <v/>
      </c>
      <c r="FL165" s="91" t="str">
        <f aca="false">IF(Tasks[[#This Row],[Task Name]]="","",IF(Tasks[[#This Row],[_IsSummary]],MAX(INDEX(Tasks[_ShownCalcFinish],Tasks[[#This Row],[_Row]]+1):INDEX(Tasks[_ShownCalcFinish],Tasks[[#This Row],[_Row]]+Tasks[[#This Row],[_Descendants]])),Tasks[[#This Row],[_ShownCalcFinish]]))</f>
        <v/>
      </c>
      <c r="FM1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5" s="43" t="n">
        <f aca="false">IF(AND(Tasks[[#This Row],[_IsLeaf]]=1,Tasks[[#This Row],[_LeafTotalWork]]&gt;0),NETWORKDAYS.INTL(ProjectStart,Tasks[[#This Row],[_ShownFcstStart]],WorkWeek,Holidays),0)</f>
        <v>0</v>
      </c>
      <c r="FZ165" s="43" t="n">
        <f aca="false">IF(AND(Tasks[[#This Row],[_IsLeaf]]=1,Tasks[[#This Row],[_LeafTotalWork]]&gt;0),MAX(Tasks[[#This Row],[_StartWorkday]],NETWORKDAYS.INTL(ProjectStart,Tasks[[#This Row],[_ShownFcstFinish]],WorkWeek,Holidays)),0)</f>
        <v>0</v>
      </c>
      <c r="GA165" s="43" t="n">
        <f aca="false">IF(AND(Tasks[[#This Row],[_IsLeaf]]=1,Tasks[[#This Row],[_LeafTotalWork]]&gt;0),Tasks[[#This Row],[_LeafWork]]/(Tasks[[#This Row],[_FinishWorkday]]-Tasks[[#This Row],[_StartWorkday]]+1),0)</f>
        <v>0</v>
      </c>
      <c r="GB165" s="43" t="n">
        <f aca="false">Tasks[[#This Row],[_WorkPerWorkday]]*(Tasks[[#This Row],[_StartWorkday]]-1)</f>
        <v>-0</v>
      </c>
      <c r="GC165" s="43" t="n">
        <f aca="false">IF(Tasks[[#This Row],[_IsLeaf]]=1,MAX(N(Tasks[[#This Row],[_Days]]),0.1),0)</f>
        <v>0</v>
      </c>
      <c r="GD165" s="43" t="n">
        <f aca="false">Tasks[[#This Row],[_WeightDur]]*Tasks[[#This Row],[_LeafProgress]]</f>
        <v>0</v>
      </c>
      <c r="GE165" s="43" t="n">
        <f aca="false">Tasks[[#This Row],[_WeightDur]]*Tasks[[#This Row],[_PlannedPct]]</f>
        <v>0</v>
      </c>
      <c r="GF1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3" t="str">
        <f aca="false">IF(AND(Tasks[[#This Row],[_IsLeaf]]=1,N(Tasks[[#This Row],[_Days]])=0,Tasks[[#This Row],[_LeafProgress]]&lt;1),Tasks[[#This Row],[_ShownFcstFinish]]+Tasks[[#This Row],[_Row]]/100000,"")</f>
        <v/>
      </c>
      <c r="GH1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5" s="43" t="str">
        <f aca="false">IF(Tasks[[#This Row],[Task Name]]="","",LEFT(Tasks[[#This Row],[WBS]],FIND(".",Tasks[[#This Row],[WBS]]&amp;".")-1))</f>
        <v/>
      </c>
      <c r="GJ165" s="43" t="str">
        <f aca="false">IF(AND(Tasks[[#This Row],[Task Name]]&lt;&gt;"",Tasks[[#This Row],[_Level]]=1),Tasks[[#This Row],[_Row]],"")</f>
        <v/>
      </c>
      <c r="GK165" s="43" t="str">
        <f aca="false">IF(AND(Tasks[[#This Row],[_IsLeaf]]=1,N(Tasks[[#This Row],[_Days]])=0),Tasks[[#This Row],[Planned Finish]]+Tasks[[#This Row],[_Row]]/100000,"")</f>
        <v/>
      </c>
      <c r="GL165" s="43" t="str">
        <f aca="false">IF(AND(Tasks[[#This Row],[_IsLeaf]]=1,Tasks[[#This Row],[_LeafProgress]]&lt;1,OR(N(Tasks[[#This Row],[Finish Var]])&gt;0,Tasks[[#This Row],[Status]]="Late Start")),MAX(0,Tasks[[#This Row],[Finish Var]])+1-Tasks[[#This Row],[_Row]]/1000000,"")</f>
        <v/>
      </c>
      <c r="GM165" s="43" t="str">
        <f aca="false">IF(AND(Tasks[[#This Row],[_IsLeaf]]=1,N(Tasks[[#This Row],[Actual Start]])=0,Tasks[[#This Row],[_ShownFcstStart]]&gt;=StatusDate,Tasks[[#This Row],[_ShownFcstStart]]&lt;=LookaheadEnd),Tasks[[#This Row],[_ShownFcstStart]]+Tasks[[#This Row],[_Row]]/100000,"")</f>
        <v/>
      </c>
      <c r="GN165" s="43" t="str">
        <f aca="false">IF(AND(Tasks[[#This Row],[_IsLeaf]]=1,Tasks[[#This Row],[_LeafProgress]]&lt;1,Tasks[[#This Row],[_ShownFcstFinish]]&gt;=StatusDate,Tasks[[#This Row],[_ShownFcstFinish]]&lt;=LookaheadEnd),Tasks[[#This Row],[_ShownFcstFinish]]+Tasks[[#This Row],[_Row]]/100000,"")</f>
        <v/>
      </c>
      <c r="GO165" s="43" t="str">
        <f aca="false">IF(Tasks[[#This Row],[_LeafCritical]],Tasks[[#This Row],[_ShownFcstStart]]+Tasks[[#This Row],[_Row]]/100000,"")</f>
        <v/>
      </c>
      <c r="GP165" s="43" t="n">
        <f aca="false">Tasks[[#This Row],[_LeafWork]]*Tasks[[#This Row],[_LeafProgress]]</f>
        <v>0</v>
      </c>
      <c r="GQ165" s="91" t="str">
        <f aca="false">IF(AND(Tasks[[#This Row],[_IsLeaf]]=1,Tasks[[#This Row],[_LeafProgress]]&gt;=1),IF(N(Tasks[[#This Row],[Actual Finish]])&gt;0,Tasks[[#This Row],[Actual Finish]],Tasks[[#This Row],[_ShownFcstFinish]]),"")</f>
        <v/>
      </c>
      <c r="GR165" s="43" t="n">
        <f aca="false">IF(Tasks[[#This Row],[_IsLeaf]]=1,N(Tasks[[#This Row],[Story Points]]),0)</f>
        <v>0</v>
      </c>
      <c r="GS165" s="43" t="str">
        <f aca="false">""</f>
        <v/>
      </c>
      <c r="GT165" s="90" t="b">
        <f aca="false">IF(Tasks[[#This Row],[Task Name]]="",FALSE(),AND(Tasks[[#This Row],[_IsLeaf]]=1,N(Tasks[[#This Row],[_Days]])=0))</f>
        <v>0</v>
      </c>
      <c r="GU165" s="91" t="n">
        <f aca="false">IF(Tasks[[#This Row],[Task Name]]="",0,IF(AND(Tasks[[#This Row],[_IsLeaf]]=1,NOT(Tasks[[#This Row],[_IsMilestone]]),N(Tasks[[#This Row],[Progress]])&gt;0),Tasks[[#This Row],[Start]],0))</f>
        <v>0</v>
      </c>
      <c r="GV165" s="91" t="n">
        <f aca="false">IF(Tasks[[#This Row],[_DoneFrom]]=0,0,IF(Tasks[[#This Row],[Progress]]&gt;=1,Tasks[[#This Row],[Finish]],MAX(Tasks[[#This Row],[_DoneFrom]],Tasks[[#This Row],[Start]]+ROUND((Tasks[[#This Row],[Finish]]-Tasks[[#This Row],[Start]]+1)*Tasks[[#This Row],[Progress]],0)-1)))</f>
        <v>0</v>
      </c>
      <c r="GW165" s="91" t="n">
        <f aca="false">IF(Tasks[[#This Row],[Task Name]]="",0,IF(OR(NOT(Tasks[[#This Row],[_IsLeaf]]=1),Tasks[[#This Row],[_IsMilestone]],N(Tasks[[#This Row],[Progress]])&gt;=1),0,IF(Tasks[[#This Row],[_DoneTo]]&gt;0,Tasks[[#This Row],[_DoneTo]]+1,Tasks[[#This Row],[Start]])))</f>
        <v>0</v>
      </c>
      <c r="GX165" s="91" t="n">
        <f aca="false">IF(Tasks[[#This Row],[_RemFrom]]=0,0,Tasks[[#This Row],[Finish]])</f>
        <v>0</v>
      </c>
      <c r="GY165" s="90" t="b">
        <f aca="false">IF(Tasks[[#This Row],[Task Name]]="",FALSE(),OR(NOT(BaselineSet),N(Tasks[[#This Row],[Baseline Start]])&gt;0))</f>
        <v>0</v>
      </c>
      <c r="GZ16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92" t="str">
        <f aca="false">IF(Tasks[[#This Row],[_IsLeaf]]=1,Tasks[[#This Row],[_Row]],"")</f>
        <v/>
      </c>
      <c r="HD165" s="92" t="str">
        <f aca="false">IFERROR(INDEX(Tasks[UID],SMALL(Tasks[_PickKey],Tasks[[#This Row],[_Row]]))&amp;" "&amp;INDEX(Tasks[Task Name],SMALL(Tasks[_PickKey],Tasks[[#This Row],[_Row]])),"")</f>
        <v/>
      </c>
      <c r="HE165" s="43" t="str">
        <f aca="false">IF(Tasks[[#This Row],[Task Name]]="","",IF(Tasks[[#This Row],[_IsSummary]],NETWORKDAYS.INTL(Tasks[[#This Row],[Start]],Tasks[[#This Row],[Finish]],WorkWeek,Holidays),N(Tasks[[#This Row],[_Days]])))</f>
        <v/>
      </c>
      <c r="HF165" s="43" t="n">
        <f aca="false">IF(Tasks[[#This Row],[Expected]]="",0,((Tasks[[#This Row],[Pessimistic]]-Tasks[[#This Row],[Optimistic]])/6)^2)</f>
        <v>0</v>
      </c>
      <c r="HG165" s="43" t="n">
        <f aca="false">IF(Tasks[[#This Row],[Expected]]="",0,Tasks[[#This Row],[Expected]]-N(Tasks[[#This Row],[_Days]]))</f>
        <v>0</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4"/>
      <c r="U166" s="23"/>
      <c r="V166" s="84"/>
      <c r="W166" s="23"/>
      <c r="X166" s="84"/>
      <c r="Y166" s="23"/>
      <c r="Z166" s="84"/>
      <c r="AA166" s="23"/>
      <c r="AB166" s="23"/>
      <c r="AC166" s="7"/>
      <c r="AD166" s="7"/>
      <c r="AE166" s="63" t="str">
        <f aca="false">IF(Tasks[[#This Row],[Task Name]]="","",IF(Tasks[[#This Row],[_IsSummary]],MIN(INDEX(Tasks[_ShownFcstStart],Tasks[[#This Row],[_Row]]+1):INDEX(Tasks[_ShownFcstStart],Tasks[[#This Row],[_Row]]+Tasks[[#This Row],[_Descendants]])),Tasks[[#This Row],[_ShownFcstStart]]))</f>
        <v/>
      </c>
      <c r="AF166" s="63"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6" s="7"/>
      <c r="AK166" s="22"/>
      <c r="AL166" s="23"/>
      <c r="AM166" s="7"/>
      <c r="AN166" s="47"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3" t="str">
        <f aca="false">IF(Tasks[[#This Row],[Task Name]]="","",IF(N(Tasks[[#This Row],[Baseline Start]])&gt;0,Tasks[[#This Row],[Baseline Start]],Tasks[[#This Row],[_CalcStart]]))</f>
        <v/>
      </c>
      <c r="AR166" s="63" t="str">
        <f aca="false">IF(Tasks[[#This Row],[Task Name]]="","",IF(N(Tasks[[#This Row],[Baseline Finish]])&gt;0,Tasks[[#This Row],[Baseline Finish]],Tasks[[#This Row],[_CalcFinish]]))</f>
        <v/>
      </c>
      <c r="AS166" s="47" t="str">
        <f aca="false">IF(Tasks[[#This Row],[Task Name]]="","",IF(Tasks[[#This Row],[Start]]&gt;=Tasks[[#This Row],[Planned Start]],NETWORKDAYS.INTL(Tasks[[#This Row],[Planned Start]],Tasks[[#This Row],[Start]],WorkWeek,Holidays)-1,1-NETWORKDAYS.INTL(Tasks[[#This Row],[Start]],Tasks[[#This Row],[Planned Start]],WorkWeek,Holidays)))</f>
        <v/>
      </c>
      <c r="AT166" s="63" t="str">
        <f aca="false">IF(Tasks[[#This Row],[Task Name]]="","",IF(Tasks[[#This Row],[_IsSummary]],MIN(INDEX(Tasks[_LeafLateStart],Tasks[[#This Row],[_Row]]+1):INDEX(Tasks[_LeafLateStart],Tasks[[#This Row],[_Row]]+Tasks[[#This Row],[_Descendants]])),Tasks[[#This Row],[_LeafLateStart]]))</f>
        <v/>
      </c>
      <c r="AU166" s="63" t="str">
        <f aca="false">IF(Tasks[[#This Row],[Task Name]]="","",IF(Tasks[[#This Row],[_IsSummary]],MAX(INDEX(Tasks[_LeafLateFinish],Tasks[[#This Row],[_Row]]+1):INDEX(Tasks[_LeafLateFinish],Tasks[[#This Row],[_Row]]+Tasks[[#This Row],[_Descendants]])),Tasks[[#This Row],[_LeafLateFinish]]))</f>
        <v/>
      </c>
      <c r="AV166" s="47"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5"/>
      <c r="BA1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6"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7"/>
      <c r="BJ166" s="22"/>
      <c r="BK166" s="47" t="str">
        <f aca="false">IF(OR(Tasks[[#This Row],[Task Name]]="",Tasks[[#This Row],[Baseline Duration]]=""),"",Tasks[[#This Row],[_SpanDays]]-N(Tasks[[#This Row],[Baseline Duration]]))</f>
        <v/>
      </c>
      <c r="BL166" s="86" t="str">
        <f aca="false">IF(OR(Tasks[[#This Row],[Task Name]]="",Tasks[[#This Row],[Baseline Work]]=""),"",Tasks[[#This Row],[Work]]-N(Tasks[[#This Row],[Baseline Work]]))</f>
        <v/>
      </c>
      <c r="BM166" s="63" t="str">
        <f aca="false">IF(Tasks[[#This Row],[Task Name]]="","",IF(OR(TakeBaseline="Yes",N(Tasks[[#This Row],[Baseline Start]])=0),Tasks[[#This Row],[Start]],Tasks[[#This Row],[Baseline Start]]))</f>
        <v/>
      </c>
      <c r="BN166" s="63" t="str">
        <f aca="false">IF(Tasks[[#This Row],[Task Name]]="","",IF(OR(TakeBaseline="Yes",N(Tasks[[#This Row],[Baseline Finish]])=0),Tasks[[#This Row],[Finish]],Tasks[[#This Row],[Baseline Finish]]))</f>
        <v/>
      </c>
      <c r="BO166" s="21" t="str">
        <f aca="false">IF(Tasks[[#This Row],[Task Name]]="","",IF(OR(TakeBaseline="Yes",N(Tasks[[#This Row],[Baseline Duration]])=0),Tasks[[#This Row],[_SpanDays]],Tasks[[#This Row],[Baseline Duration]]))</f>
        <v/>
      </c>
      <c r="BP166" s="86" t="str">
        <f aca="false">IF(Tasks[[#This Row],[Task Name]]="","",IF(OR(TakeBaseline="Yes",N(Tasks[[#This Row],[Baseline Work]])=0),Tasks[[#This Row],[Work]],Tasks[[#This Row],[Baseline Work]]))</f>
        <v/>
      </c>
      <c r="BQ166" s="7"/>
      <c r="BR166" s="7"/>
      <c r="BS166" s="22"/>
      <c r="BT166" s="88"/>
      <c r="BU166" s="23"/>
      <c r="BV166" s="23"/>
      <c r="BW166" s="23"/>
      <c r="BX166" s="89" t="str">
        <f aca="false">IF(AND(Tasks[[#This Row],[_IsLeaf]]=1,ISNUMBER(Tasks[[#This Row],[Optimistic]]),ISNUMBER(Tasks[[#This Row],[Pessimistic]])),ROUND((Tasks[[#This Row],[Optimistic]]+4*N(Tasks[[#This Row],[_Days]])+Tasks[[#This Row],[Pessimistic]])/6,1),"")</f>
        <v/>
      </c>
      <c r="BY166" s="87"/>
      <c r="BZ166" s="87"/>
      <c r="CA166" s="22"/>
      <c r="CB166" s="43" t="str">
        <f aca="false">IF(Tasks[[#This Row],[Task Name]]="","",MAX(1,N(Tasks[[#This Row],[Level]])))</f>
        <v/>
      </c>
      <c r="CC166" s="43" t="n">
        <f aca="false">ROW()-ROW(Tasks[[#Headers],[ID]])</f>
        <v>161</v>
      </c>
      <c r="CD166" s="43" t="n">
        <f aca="false">IF(OR(Tasks[[#This Row],[Task Name]]="",Tasks[[#This Row],[_Level]]&lt;=1),0,IFERROR(LOOKUP(2,1/(Tasks[[#Headers],[_Level]]:Tasks[[#This Row],[_Level]]=Tasks[[#This Row],[_Level]]-1),ROW(Tasks[[#Headers],[_Level]]:Tasks[[#This Row],[_Level]])),0))</f>
        <v>0</v>
      </c>
      <c r="CE166" s="43" t="n">
        <f aca="false">IFERROR(N(INDEX(Tasks[_Level],Tasks[[#This Row],[_Row]]+1)),0)</f>
        <v>0</v>
      </c>
      <c r="CF166" s="90" t="b">
        <f aca="false">AND(Tasks[[#This Row],[Task Name]]&lt;&gt;"",Tasks[[#This Row],[_NextLevel]]&gt;Tasks[[#This Row],[_Level]])</f>
        <v>0</v>
      </c>
      <c r="CG166" s="43" t="n">
        <f aca="false">IF(Tasks[[#This Row],[_IsSummary]],COUNTIF(Tasks[WBS],Tasks[[#This Row],[WBS]]&amp;".*"),0)</f>
        <v>0</v>
      </c>
      <c r="CH166" s="43" t="n">
        <f aca="false">IF(AND(Tasks[[#This Row],[Task Name]]&lt;&gt;"",NOT(Tasks[[#This Row],[_IsSummary]])),1,0)</f>
        <v>0</v>
      </c>
      <c r="CI166" s="43" t="n">
        <f aca="false">IF(N(Tasks[[#This Row],[_Pred1UID]])=0,0,IFERROR(MATCH(Tasks[[#This Row],[_Pred1UID]],Tasks[UID],0),-1))</f>
        <v>0</v>
      </c>
      <c r="CJ166" s="43" t="n">
        <f aca="false">IF(N(Tasks[[#This Row],[_Pred2UID]])=0,0,IFERROR(MATCH(Tasks[[#This Row],[_Pred2UID]],Tasks[UID],0),-1))</f>
        <v>0</v>
      </c>
      <c r="CK166" s="43" t="n">
        <f aca="false">IF(N(Tasks[[#This Row],[_Pred3UID]])=0,0,IFERROR(MATCH(Tasks[[#This Row],[_Pred3UID]],Tasks[UID],0),-1))</f>
        <v>0</v>
      </c>
      <c r="CL166" s="43" t="n">
        <f aca="false">IF(N(Tasks[[#This Row],[_Pred4UID]])=0,0,IFERROR(MATCH(Tasks[[#This Row],[_Pred4UID]],Tasks[UID],0),-1))</f>
        <v>0</v>
      </c>
      <c r="CM1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6" s="91" t="n">
        <f aca="false">IF(OR(Tasks[[#This Row],[_ConstraintCode]]=2,Tasks[[#This Row],[_ConstraintCode]]=3,Tasks[[#This Row],[_ConstraintCode]]=4,Tasks[[#This Row],[_ConstraintCode]]=6),Tasks[[#This Row],[_ConstraintStart]],0)</f>
        <v>0</v>
      </c>
      <c r="CP166" s="91" t="n">
        <f aca="false">IF(OR(Tasks[[#This Row],[_ConstraintCode]]=2,Tasks[[#This Row],[_ConstraintCode]]=3,Tasks[[#This Row],[_ConstraintCode]]=5,Tasks[[#This Row],[_ConstraintCode]]=7),Tasks[[#This Row],[_ConstraintStart]],2958465)</f>
        <v>2958465</v>
      </c>
      <c r="CQ1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91" t="str">
        <f aca="false">IF(NOT(Tasks[[#This Row],[_IsLeaf]]=1),"",IF(N(Tasks[[#This Row],[_Days]])&lt;=0,Tasks[[#This Row],[_LeafCalcStart]],WORKDAY.INTL(Tasks[[#This Row],[_LeafCalcStart]],Tasks[[#This Row],[_Days]]-1,WorkWeek,Holidays)))</f>
        <v/>
      </c>
      <c r="CS1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3" t="str">
        <f aca="false">IF(Tasks[[#This Row],[_Predecessors]]="","",TRIM(MID(SUBSTITUTE(SUBSTITUTE(SUBSTITUTE(UPPER(Tasks[[#This Row],[_Predecessors]]),";",",")," ",""),",",REPT(" ",99)),1,99)))</f>
        <v/>
      </c>
      <c r="CV166" s="43" t="str">
        <f aca="false">IF(Tasks[[#This Row],[_Pred1Text]]="","",IFERROR(VALUE(LEFT(Tasks[[#This Row],[_Pred1Text]],MIN(FIND("F",Tasks[[#This Row],[_Pred1Text]]&amp;"F"),FIND("S",Tasks[[#This Row],[_Pred1Text]]&amp;"S"),FIND("+",Tasks[[#This Row],[_Pred1Text]]&amp;"+"),FIND("-",Tasks[[#This Row],[_Pred1Text]]&amp;"-"))-1)),""))</f>
        <v/>
      </c>
      <c r="CW1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3" t="str">
        <f aca="false">IF(Tasks[[#This Row],[_Pred1Text]]="","",TRIM(MID(SUBSTITUTE(SUBSTITUTE(SUBSTITUTE(UPPER(Tasks[[#This Row],[_Predecessors]]),";",",")," ",""),",",REPT(" ",99)),100,99)))</f>
        <v/>
      </c>
      <c r="CZ166" s="43" t="str">
        <f aca="false">IF(Tasks[[#This Row],[_Pred2Text]]="","",IFERROR(VALUE(LEFT(Tasks[[#This Row],[_Pred2Text]],MIN(FIND("F",Tasks[[#This Row],[_Pred2Text]]&amp;"F"),FIND("S",Tasks[[#This Row],[_Pred2Text]]&amp;"S"),FIND("+",Tasks[[#This Row],[_Pred2Text]]&amp;"+"),FIND("-",Tasks[[#This Row],[_Pred2Text]]&amp;"-"))-1)),""))</f>
        <v/>
      </c>
      <c r="DA1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3" t="str">
        <f aca="false">IF(Tasks[[#This Row],[_Pred2Text]]="","",TRIM(MID(SUBSTITUTE(SUBSTITUTE(SUBSTITUTE(UPPER(Tasks[[#This Row],[_Predecessors]]),";",",")," ",""),",",REPT(" ",99)),199,99)))</f>
        <v/>
      </c>
      <c r="DD166" s="43" t="str">
        <f aca="false">IF(Tasks[[#This Row],[_Pred3Text]]="","",IFERROR(VALUE(LEFT(Tasks[[#This Row],[_Pred3Text]],MIN(FIND("F",Tasks[[#This Row],[_Pred3Text]]&amp;"F"),FIND("S",Tasks[[#This Row],[_Pred3Text]]&amp;"S"),FIND("+",Tasks[[#This Row],[_Pred3Text]]&amp;"+"),FIND("-",Tasks[[#This Row],[_Pred3Text]]&amp;"-"))-1)),""))</f>
        <v/>
      </c>
      <c r="DE1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3" t="str">
        <f aca="false">IF(Tasks[[#This Row],[_Pred3Text]]="","",TRIM(MID(SUBSTITUTE(SUBSTITUTE(SUBSTITUTE(UPPER(Tasks[[#This Row],[_Predecessors]]),";",",")," ",""),",",REPT(" ",99)),298,99)))</f>
        <v/>
      </c>
      <c r="DH166" s="43" t="str">
        <f aca="false">IF(Tasks[[#This Row],[_Pred4Text]]="","",IFERROR(VALUE(LEFT(Tasks[[#This Row],[_Pred4Text]],MIN(FIND("F",Tasks[[#This Row],[_Pred4Text]]&amp;"F"),FIND("S",Tasks[[#This Row],[_Pred4Text]]&amp;"S"),FIND("+",Tasks[[#This Row],[_Pred4Text]]&amp;"+"),FIND("-",Tasks[[#This Row],[_Pred4Text]]&amp;"-"))-1)),""))</f>
        <v/>
      </c>
      <c r="DI1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3" t="str">
        <f aca="false">IF(OR(Tasks[[#This Row],[Task Name]]="",Tasks[[#This Row],[_Resources]]=""),"",TRIM(MID(SUBSTITUTE(Tasks[[#This Row],[_Resources]],",",REPT(" ",99)),1,99)))</f>
        <v/>
      </c>
      <c r="DL166" s="43" t="str">
        <f aca="false">IF(Tasks[[#This Row],[_Res1Text]]="","",TRIM(MID(SUBSTITUTE(Tasks[[#This Row],[_Resources]],",",REPT(" ",99)),100,99)))</f>
        <v/>
      </c>
      <c r="DM166" s="43" t="str">
        <f aca="false">IF(Tasks[[#This Row],[_Res2Text]]="","",TRIM(MID(SUBSTITUTE(Tasks[[#This Row],[_Resources]],",",REPT(" ",99)),199,99)))</f>
        <v/>
      </c>
      <c r="DN166" s="43" t="str">
        <f aca="false">IF(Tasks[[#This Row],[_Res3Text]]="","",TRIM(MID(SUBSTITUTE(Tasks[[#This Row],[_Resources]],",",REPT(" ",99)),298,99)))</f>
        <v/>
      </c>
      <c r="DO166" s="43" t="n">
        <f aca="false">IF(Tasks[[#This Row],[_Res1Text]]="",0,IFERROR(MATCH(TRIM(LEFT(Tasks[[#This Row],[_Res1Text]],FIND("[",Tasks[[#This Row],[_Res1Text]]&amp;"[")-1)),res_Name,0),IFERROR(MATCH(TRIM(LEFT(Tasks[[#This Row],[_Res1Text]],FIND("[",Tasks[[#This Row],[_Res1Text]]&amp;"[")-1)),res_Initials,0),0)))</f>
        <v>0</v>
      </c>
      <c r="DP166" s="43" t="n">
        <f aca="false">IF(Tasks[[#This Row],[_Res2Text]]="",0,IFERROR(MATCH(TRIM(LEFT(Tasks[[#This Row],[_Res2Text]],FIND("[",Tasks[[#This Row],[_Res2Text]]&amp;"[")-1)),res_Name,0),IFERROR(MATCH(TRIM(LEFT(Tasks[[#This Row],[_Res2Text]],FIND("[",Tasks[[#This Row],[_Res2Text]]&amp;"[")-1)),res_Initials,0),0)))</f>
        <v>0</v>
      </c>
      <c r="DQ166" s="43" t="n">
        <f aca="false">IF(Tasks[[#This Row],[_Res3Text]]="",0,IFERROR(MATCH(TRIM(LEFT(Tasks[[#This Row],[_Res3Text]],FIND("[",Tasks[[#This Row],[_Res3Text]]&amp;"[")-1)),res_Name,0),IFERROR(MATCH(TRIM(LEFT(Tasks[[#This Row],[_Res3Text]],FIND("[",Tasks[[#This Row],[_Res3Text]]&amp;"[")-1)),res_Initials,0),0)))</f>
        <v>0</v>
      </c>
      <c r="DR166" s="43" t="n">
        <f aca="false">IF(Tasks[[#This Row],[_Res4Text]]="",0,IFERROR(MATCH(TRIM(LEFT(Tasks[[#This Row],[_Res4Text]],FIND("[",Tasks[[#This Row],[_Res4Text]]&amp;"[")-1)),res_Name,0),IFERROR(MATCH(TRIM(LEFT(Tasks[[#This Row],[_Res4Text]],FIND("[",Tasks[[#This Row],[_Res4Text]]&amp;"[")-1)),res_Initials,0),0)))</f>
        <v>0</v>
      </c>
      <c r="DS166" s="43" t="str">
        <f aca="false">IF(Tasks[[#This Row],[_Res1Text]]="","",IF(Tasks[[#This Row],[_Res1Row]]&gt;0,INDEX(res_Name,Tasks[[#This Row],[_Res1Row]]),TRIM(LEFT(Tasks[[#This Row],[_Res1Text]],FIND("[",Tasks[[#This Row],[_Res1Text]]&amp;"[")-1))))</f>
        <v/>
      </c>
      <c r="DT1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3" t="n">
        <f aca="false">IF(NOT(Tasks[[#This Row],[_IsLeaf]]=1),0,(Tasks[[#This Row],[_Resource1]]&lt;&gt;"")+(Tasks[[#This Row],[_Res2]]&lt;&gt;"")+(Tasks[[#This Row],[_Res3]]&lt;&gt;"")+(Tasks[[#This Row],[_Res4]]&lt;&gt;""))</f>
        <v>0</v>
      </c>
      <c r="DV166" s="43" t="str">
        <f aca="false">IF(Tasks[[#This Row],[_Res2Text]]="","",IF(Tasks[[#This Row],[_Res2Row]]&gt;0,INDEX(res_Name,Tasks[[#This Row],[_Res2Row]]),TRIM(LEFT(Tasks[[#This Row],[_Res2Text]],FIND("[",Tasks[[#This Row],[_Res2Text]]&amp;"[")-1))))</f>
        <v/>
      </c>
      <c r="DW1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3" t="n">
        <f aca="false">IF(OR(NOT(Tasks[[#This Row],[_IsLeaf]]=1),Tasks[[#This Row],[_Res2Row]]=0),0,N(Tasks[[#This Row],[_Days]])*HoursPerDay*IF(Tasks[[#This Row],[_Res2Units]]="",DefaultUnits,Tasks[[#This Row],[_Res2Units]]))</f>
        <v>0</v>
      </c>
      <c r="DY166" s="43" t="n">
        <f aca="false">IF(AND(AND(Tasks[[#This Row],[_IsLeaf]]=1,Tasks[[#This Row],[_LeafTotalWork]]&gt;0),Tasks[[#This Row],[_Res2Work]]&gt;0),Tasks[[#This Row],[_Res2Work]]/(Tasks[[#This Row],[_FinishWorkday]]-Tasks[[#This Row],[_StartWorkday]]+1),0)</f>
        <v>0</v>
      </c>
      <c r="DZ166" s="43" t="n">
        <f aca="false">Tasks[[#This Row],[_Res2WorkPerWD]]*MAX(0,Tasks[[#This Row],[_StartWorkday]]-1)</f>
        <v>0</v>
      </c>
      <c r="EA166" s="43" t="n">
        <f aca="false">Tasks[[#This Row],[_Res2Work]]*Tasks[[#This Row],[_LeafProgress]]</f>
        <v>0</v>
      </c>
      <c r="EB166" s="43" t="str">
        <f aca="false">IF(Tasks[[#This Row],[_Res3Text]]="","",IF(Tasks[[#This Row],[_Res3Row]]&gt;0,INDEX(res_Name,Tasks[[#This Row],[_Res3Row]]),TRIM(LEFT(Tasks[[#This Row],[_Res3Text]],FIND("[",Tasks[[#This Row],[_Res3Text]]&amp;"[")-1))))</f>
        <v/>
      </c>
      <c r="EC1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3" t="n">
        <f aca="false">IF(OR(NOT(Tasks[[#This Row],[_IsLeaf]]=1),Tasks[[#This Row],[_Res3Row]]=0),0,N(Tasks[[#This Row],[_Days]])*HoursPerDay*IF(Tasks[[#This Row],[_Res3Units]]="",DefaultUnits,Tasks[[#This Row],[_Res3Units]]))</f>
        <v>0</v>
      </c>
      <c r="EE166" s="43" t="n">
        <f aca="false">IF(AND(AND(Tasks[[#This Row],[_IsLeaf]]=1,Tasks[[#This Row],[_LeafTotalWork]]&gt;0),Tasks[[#This Row],[_Res3Work]]&gt;0),Tasks[[#This Row],[_Res3Work]]/(Tasks[[#This Row],[_FinishWorkday]]-Tasks[[#This Row],[_StartWorkday]]+1),0)</f>
        <v>0</v>
      </c>
      <c r="EF166" s="43" t="n">
        <f aca="false">Tasks[[#This Row],[_Res3WorkPerWD]]*MAX(0,Tasks[[#This Row],[_StartWorkday]]-1)</f>
        <v>0</v>
      </c>
      <c r="EG166" s="43" t="n">
        <f aca="false">Tasks[[#This Row],[_Res3Work]]*Tasks[[#This Row],[_LeafProgress]]</f>
        <v>0</v>
      </c>
      <c r="EH166" s="43" t="str">
        <f aca="false">IF(Tasks[[#This Row],[_Res4Text]]="","",IF(Tasks[[#This Row],[_Res4Row]]&gt;0,INDEX(res_Name,Tasks[[#This Row],[_Res4Row]]),TRIM(LEFT(Tasks[[#This Row],[_Res4Text]],FIND("[",Tasks[[#This Row],[_Res4Text]]&amp;"[")-1))))</f>
        <v/>
      </c>
      <c r="EI1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3" t="n">
        <f aca="false">IF(OR(NOT(Tasks[[#This Row],[_IsLeaf]]=1),Tasks[[#This Row],[_Res4Row]]=0),0,N(Tasks[[#This Row],[_Days]])*HoursPerDay*IF(Tasks[[#This Row],[_Res4Units]]="",DefaultUnits,Tasks[[#This Row],[_Res4Units]]))</f>
        <v>0</v>
      </c>
      <c r="EK166" s="43" t="n">
        <f aca="false">IF(AND(AND(Tasks[[#This Row],[_IsLeaf]]=1,Tasks[[#This Row],[_LeafTotalWork]]&gt;0),Tasks[[#This Row],[_Res4Work]]&gt;0),Tasks[[#This Row],[_Res4Work]]/(Tasks[[#This Row],[_FinishWorkday]]-Tasks[[#This Row],[_StartWorkday]]+1),0)</f>
        <v>0</v>
      </c>
      <c r="EL166" s="43" t="n">
        <f aca="false">Tasks[[#This Row],[_Res4WorkPerWD]]*MAX(0,Tasks[[#This Row],[_StartWorkday]]-1)</f>
        <v>0</v>
      </c>
      <c r="EM166" s="43" t="n">
        <f aca="false">Tasks[[#This Row],[_Res4Work]]*Tasks[[#This Row],[_LeafProgress]]</f>
        <v>0</v>
      </c>
      <c r="EN166" s="43" t="n">
        <f aca="false">IF(ISNUMBER(Tasks[[#This Row],[% Complete]]),Tasks[[#This Row],[% Complete]],IF(Tasks[[#This Row],[Stage]]="",0,IFERROR(INDEX(stg_Pct,MATCH(Tasks[[#This Row],[Stage]],stg_Name,0)),0)))</f>
        <v>0</v>
      </c>
      <c r="EO166" s="43" t="n">
        <f aca="false">IF(NOT(Tasks[[#This Row],[_IsLeaf]]=1),0,IF(N(Tasks[[#This Row],[Actual Finish]])&gt;0,1,MIN(1,Tasks[[#This Row],[_Pct]])))</f>
        <v>0</v>
      </c>
      <c r="EP166" s="43" t="n">
        <f aca="false">IF(OR(NOT(Tasks[[#This Row],[_IsLeaf]]=1),Tasks[[#This Row],[_Res1Row]]=0),0,N(Tasks[[#This Row],[_Days]])*HoursPerDay*IF(Tasks[[#This Row],[_Units1]]="",DefaultUnits,Tasks[[#This Row],[_Units1]]))</f>
        <v>0</v>
      </c>
      <c r="EQ166" s="43" t="n">
        <f aca="false">Tasks[[#This Row],[_LeafWork]]+Tasks[[#This Row],[_Res2Work]]+Tasks[[#This Row],[_Res3Work]]+Tasks[[#This Row],[_Res4Work]]</f>
        <v>0</v>
      </c>
      <c r="ER1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3" t="n">
        <f aca="false">IF(NOT(Tasks[[#This Row],[_IsLeaf]]=1),0,MAX(_xlfn.MAXIFS(Tasks[_Row],Tasks[_Pred1UID],Tasks[[#This Row],[UID]]),_xlfn.MAXIFS(Tasks[_Row],Tasks[_Pred2UID],Tasks[[#This Row],[UID]]),_xlfn.MAXIFS(Tasks[_Row],Tasks[_Pred3UID],Tasks[[#This Row],[UID]]),_xlfn.MAXIFS(Tasks[_Row],Tasks[_Pred4UID],Tasks[[#This Row],[UID]])))</f>
        <v>0</v>
      </c>
      <c r="FA1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91" t="str">
        <f aca="false">IF(NOT(Tasks[[#This Row],[_IsLeaf]]=1),"",IF(N(Tasks[[#This Row],[_Days]])&lt;=0,Tasks[[#This Row],[_LeafLateFinish]],WORKDAY.INTL(Tasks[[#This Row],[_LeafLateFinish]],-(Tasks[[#This Row],[_Days]]-1),WorkWeek,Holidays)))</f>
        <v/>
      </c>
      <c r="FD1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6" s="90" t="b">
        <f aca="false">AND(Tasks[[#This Row],[_IsLeaf]]=1,Tasks[[#This Row],[_LeafProgress]]&lt;1,N(Tasks[[#This Row],[_LeafTotalSlack]])&lt;=CriticalSlackDays)</f>
        <v>0</v>
      </c>
      <c r="FF166" s="43" t="n">
        <f aca="false">IF(AND(Tasks[[#This Row],[_IsLeaf]]=1,Tasks[[#This Row],[_ConstraintCode]]=1,Tasks[[#This Row],[Mode]]&lt;&gt;"Manual",N(Tasks[[#This Row],[Actual Start]])=0),MAX(0,N(Tasks[[#This Row],[Free Slack]])),0)</f>
        <v>0</v>
      </c>
      <c r="FG166" s="91" t="str">
        <f aca="false">IF(NOT(Tasks[[#This Row],[_IsLeaf]]=1),"",IF(Tasks[[#This Row],[_AlapShift]]=0,Tasks[[#This Row],[_LeafCalcStart]],WORKDAY.INTL(Tasks[[#This Row],[_LeafCalcStart]],Tasks[[#This Row],[_AlapShift]],WorkWeek,Holidays)))</f>
        <v/>
      </c>
      <c r="FH166" s="91" t="str">
        <f aca="false">IF(NOT(Tasks[[#This Row],[_IsLeaf]]=1),"",IF(Tasks[[#This Row],[_AlapShift]]=0,Tasks[[#This Row],[_LeafCalcFinish]],WORKDAY.INTL(Tasks[[#This Row],[_LeafCalcFinish]],Tasks[[#This Row],[_AlapShift]],WorkWeek,Holidays)))</f>
        <v/>
      </c>
      <c r="FI166" s="91" t="str">
        <f aca="false">IF(NOT(Tasks[[#This Row],[_IsLeaf]]=1),"",IF(Tasks[[#This Row],[_AlapShift]]=0,Tasks[[#This Row],[_LeafFcstStart]],WORKDAY.INTL(Tasks[[#This Row],[_LeafFcstStart]],Tasks[[#This Row],[_AlapShift]],WorkWeek,Holidays)))</f>
        <v/>
      </c>
      <c r="FJ166" s="91" t="str">
        <f aca="false">IF(NOT(Tasks[[#This Row],[_IsLeaf]]=1),"",IF(Tasks[[#This Row],[_AlapShift]]=0,Tasks[[#This Row],[_LeafFcstFinish]],WORKDAY.INTL(Tasks[[#This Row],[_LeafFcstFinish]],Tasks[[#This Row],[_AlapShift]],WorkWeek,Holidays)))</f>
        <v/>
      </c>
      <c r="FK166" s="91" t="str">
        <f aca="false">IF(Tasks[[#This Row],[Task Name]]="","",IF(Tasks[[#This Row],[_IsSummary]],MIN(INDEX(Tasks[_ShownCalcStart],Tasks[[#This Row],[_Row]]+1):INDEX(Tasks[_ShownCalcStart],Tasks[[#This Row],[_Row]]+Tasks[[#This Row],[_Descendants]])),Tasks[[#This Row],[_ShownCalcStart]]))</f>
        <v/>
      </c>
      <c r="FL166" s="91" t="str">
        <f aca="false">IF(Tasks[[#This Row],[Task Name]]="","",IF(Tasks[[#This Row],[_IsSummary]],MAX(INDEX(Tasks[_ShownCalcFinish],Tasks[[#This Row],[_Row]]+1):INDEX(Tasks[_ShownCalcFinish],Tasks[[#This Row],[_Row]]+Tasks[[#This Row],[_Descendants]])),Tasks[[#This Row],[_ShownCalcFinish]]))</f>
        <v/>
      </c>
      <c r="FM1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6" s="43" t="n">
        <f aca="false">IF(AND(Tasks[[#This Row],[_IsLeaf]]=1,Tasks[[#This Row],[_LeafTotalWork]]&gt;0),NETWORKDAYS.INTL(ProjectStart,Tasks[[#This Row],[_ShownFcstStart]],WorkWeek,Holidays),0)</f>
        <v>0</v>
      </c>
      <c r="FZ166" s="43" t="n">
        <f aca="false">IF(AND(Tasks[[#This Row],[_IsLeaf]]=1,Tasks[[#This Row],[_LeafTotalWork]]&gt;0),MAX(Tasks[[#This Row],[_StartWorkday]],NETWORKDAYS.INTL(ProjectStart,Tasks[[#This Row],[_ShownFcstFinish]],WorkWeek,Holidays)),0)</f>
        <v>0</v>
      </c>
      <c r="GA166" s="43" t="n">
        <f aca="false">IF(AND(Tasks[[#This Row],[_IsLeaf]]=1,Tasks[[#This Row],[_LeafTotalWork]]&gt;0),Tasks[[#This Row],[_LeafWork]]/(Tasks[[#This Row],[_FinishWorkday]]-Tasks[[#This Row],[_StartWorkday]]+1),0)</f>
        <v>0</v>
      </c>
      <c r="GB166" s="43" t="n">
        <f aca="false">Tasks[[#This Row],[_WorkPerWorkday]]*(Tasks[[#This Row],[_StartWorkday]]-1)</f>
        <v>-0</v>
      </c>
      <c r="GC166" s="43" t="n">
        <f aca="false">IF(Tasks[[#This Row],[_IsLeaf]]=1,MAX(N(Tasks[[#This Row],[_Days]]),0.1),0)</f>
        <v>0</v>
      </c>
      <c r="GD166" s="43" t="n">
        <f aca="false">Tasks[[#This Row],[_WeightDur]]*Tasks[[#This Row],[_LeafProgress]]</f>
        <v>0</v>
      </c>
      <c r="GE166" s="43" t="n">
        <f aca="false">Tasks[[#This Row],[_WeightDur]]*Tasks[[#This Row],[_PlannedPct]]</f>
        <v>0</v>
      </c>
      <c r="GF1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3" t="str">
        <f aca="false">IF(AND(Tasks[[#This Row],[_IsLeaf]]=1,N(Tasks[[#This Row],[_Days]])=0,Tasks[[#This Row],[_LeafProgress]]&lt;1),Tasks[[#This Row],[_ShownFcstFinish]]+Tasks[[#This Row],[_Row]]/100000,"")</f>
        <v/>
      </c>
      <c r="GH1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6" s="43" t="str">
        <f aca="false">IF(Tasks[[#This Row],[Task Name]]="","",LEFT(Tasks[[#This Row],[WBS]],FIND(".",Tasks[[#This Row],[WBS]]&amp;".")-1))</f>
        <v/>
      </c>
      <c r="GJ166" s="43" t="str">
        <f aca="false">IF(AND(Tasks[[#This Row],[Task Name]]&lt;&gt;"",Tasks[[#This Row],[_Level]]=1),Tasks[[#This Row],[_Row]],"")</f>
        <v/>
      </c>
      <c r="GK166" s="43" t="str">
        <f aca="false">IF(AND(Tasks[[#This Row],[_IsLeaf]]=1,N(Tasks[[#This Row],[_Days]])=0),Tasks[[#This Row],[Planned Finish]]+Tasks[[#This Row],[_Row]]/100000,"")</f>
        <v/>
      </c>
      <c r="GL166" s="43" t="str">
        <f aca="false">IF(AND(Tasks[[#This Row],[_IsLeaf]]=1,Tasks[[#This Row],[_LeafProgress]]&lt;1,OR(N(Tasks[[#This Row],[Finish Var]])&gt;0,Tasks[[#This Row],[Status]]="Late Start")),MAX(0,Tasks[[#This Row],[Finish Var]])+1-Tasks[[#This Row],[_Row]]/1000000,"")</f>
        <v/>
      </c>
      <c r="GM166" s="43" t="str">
        <f aca="false">IF(AND(Tasks[[#This Row],[_IsLeaf]]=1,N(Tasks[[#This Row],[Actual Start]])=0,Tasks[[#This Row],[_ShownFcstStart]]&gt;=StatusDate,Tasks[[#This Row],[_ShownFcstStart]]&lt;=LookaheadEnd),Tasks[[#This Row],[_ShownFcstStart]]+Tasks[[#This Row],[_Row]]/100000,"")</f>
        <v/>
      </c>
      <c r="GN166" s="43" t="str">
        <f aca="false">IF(AND(Tasks[[#This Row],[_IsLeaf]]=1,Tasks[[#This Row],[_LeafProgress]]&lt;1,Tasks[[#This Row],[_ShownFcstFinish]]&gt;=StatusDate,Tasks[[#This Row],[_ShownFcstFinish]]&lt;=LookaheadEnd),Tasks[[#This Row],[_ShownFcstFinish]]+Tasks[[#This Row],[_Row]]/100000,"")</f>
        <v/>
      </c>
      <c r="GO166" s="43" t="str">
        <f aca="false">IF(Tasks[[#This Row],[_LeafCritical]],Tasks[[#This Row],[_ShownFcstStart]]+Tasks[[#This Row],[_Row]]/100000,"")</f>
        <v/>
      </c>
      <c r="GP166" s="43" t="n">
        <f aca="false">Tasks[[#This Row],[_LeafWork]]*Tasks[[#This Row],[_LeafProgress]]</f>
        <v>0</v>
      </c>
      <c r="GQ166" s="91" t="str">
        <f aca="false">IF(AND(Tasks[[#This Row],[_IsLeaf]]=1,Tasks[[#This Row],[_LeafProgress]]&gt;=1),IF(N(Tasks[[#This Row],[Actual Finish]])&gt;0,Tasks[[#This Row],[Actual Finish]],Tasks[[#This Row],[_ShownFcstFinish]]),"")</f>
        <v/>
      </c>
      <c r="GR166" s="43" t="n">
        <f aca="false">IF(Tasks[[#This Row],[_IsLeaf]]=1,N(Tasks[[#This Row],[Story Points]]),0)</f>
        <v>0</v>
      </c>
      <c r="GS166" s="43" t="str">
        <f aca="false">""</f>
        <v/>
      </c>
      <c r="GT166" s="90" t="b">
        <f aca="false">IF(Tasks[[#This Row],[Task Name]]="",FALSE(),AND(Tasks[[#This Row],[_IsLeaf]]=1,N(Tasks[[#This Row],[_Days]])=0))</f>
        <v>0</v>
      </c>
      <c r="GU166" s="91" t="n">
        <f aca="false">IF(Tasks[[#This Row],[Task Name]]="",0,IF(AND(Tasks[[#This Row],[_IsLeaf]]=1,NOT(Tasks[[#This Row],[_IsMilestone]]),N(Tasks[[#This Row],[Progress]])&gt;0),Tasks[[#This Row],[Start]],0))</f>
        <v>0</v>
      </c>
      <c r="GV166" s="91" t="n">
        <f aca="false">IF(Tasks[[#This Row],[_DoneFrom]]=0,0,IF(Tasks[[#This Row],[Progress]]&gt;=1,Tasks[[#This Row],[Finish]],MAX(Tasks[[#This Row],[_DoneFrom]],Tasks[[#This Row],[Start]]+ROUND((Tasks[[#This Row],[Finish]]-Tasks[[#This Row],[Start]]+1)*Tasks[[#This Row],[Progress]],0)-1)))</f>
        <v>0</v>
      </c>
      <c r="GW166" s="91" t="n">
        <f aca="false">IF(Tasks[[#This Row],[Task Name]]="",0,IF(OR(NOT(Tasks[[#This Row],[_IsLeaf]]=1),Tasks[[#This Row],[_IsMilestone]],N(Tasks[[#This Row],[Progress]])&gt;=1),0,IF(Tasks[[#This Row],[_DoneTo]]&gt;0,Tasks[[#This Row],[_DoneTo]]+1,Tasks[[#This Row],[Start]])))</f>
        <v>0</v>
      </c>
      <c r="GX166" s="91" t="n">
        <f aca="false">IF(Tasks[[#This Row],[_RemFrom]]=0,0,Tasks[[#This Row],[Finish]])</f>
        <v>0</v>
      </c>
      <c r="GY166" s="90" t="b">
        <f aca="false">IF(Tasks[[#This Row],[Task Name]]="",FALSE(),OR(NOT(BaselineSet),N(Tasks[[#This Row],[Baseline Start]])&gt;0))</f>
        <v>0</v>
      </c>
      <c r="GZ16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92" t="str">
        <f aca="false">IF(Tasks[[#This Row],[_IsLeaf]]=1,Tasks[[#This Row],[_Row]],"")</f>
        <v/>
      </c>
      <c r="HD166" s="92" t="str">
        <f aca="false">IFERROR(INDEX(Tasks[UID],SMALL(Tasks[_PickKey],Tasks[[#This Row],[_Row]]))&amp;" "&amp;INDEX(Tasks[Task Name],SMALL(Tasks[_PickKey],Tasks[[#This Row],[_Row]])),"")</f>
        <v/>
      </c>
      <c r="HE166" s="43" t="str">
        <f aca="false">IF(Tasks[[#This Row],[Task Name]]="","",IF(Tasks[[#This Row],[_IsSummary]],NETWORKDAYS.INTL(Tasks[[#This Row],[Start]],Tasks[[#This Row],[Finish]],WorkWeek,Holidays),N(Tasks[[#This Row],[_Days]])))</f>
        <v/>
      </c>
      <c r="HF166" s="43" t="n">
        <f aca="false">IF(Tasks[[#This Row],[Expected]]="",0,((Tasks[[#This Row],[Pessimistic]]-Tasks[[#This Row],[Optimistic]])/6)^2)</f>
        <v>0</v>
      </c>
      <c r="HG166" s="43" t="n">
        <f aca="false">IF(Tasks[[#This Row],[Expected]]="",0,Tasks[[#This Row],[Expected]]-N(Tasks[[#This Row],[_Days]]))</f>
        <v>0</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4"/>
      <c r="U167" s="23"/>
      <c r="V167" s="84"/>
      <c r="W167" s="23"/>
      <c r="X167" s="84"/>
      <c r="Y167" s="23"/>
      <c r="Z167" s="84"/>
      <c r="AA167" s="23"/>
      <c r="AB167" s="23"/>
      <c r="AC167" s="7"/>
      <c r="AD167" s="7"/>
      <c r="AE167" s="63" t="str">
        <f aca="false">IF(Tasks[[#This Row],[Task Name]]="","",IF(Tasks[[#This Row],[_IsSummary]],MIN(INDEX(Tasks[_ShownFcstStart],Tasks[[#This Row],[_Row]]+1):INDEX(Tasks[_ShownFcstStart],Tasks[[#This Row],[_Row]]+Tasks[[#This Row],[_Descendants]])),Tasks[[#This Row],[_ShownFcstStart]]))</f>
        <v/>
      </c>
      <c r="AF167" s="63"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7" s="7"/>
      <c r="AK167" s="22"/>
      <c r="AL167" s="23"/>
      <c r="AM167" s="7"/>
      <c r="AN167" s="47"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3" t="str">
        <f aca="false">IF(Tasks[[#This Row],[Task Name]]="","",IF(N(Tasks[[#This Row],[Baseline Start]])&gt;0,Tasks[[#This Row],[Baseline Start]],Tasks[[#This Row],[_CalcStart]]))</f>
        <v/>
      </c>
      <c r="AR167" s="63" t="str">
        <f aca="false">IF(Tasks[[#This Row],[Task Name]]="","",IF(N(Tasks[[#This Row],[Baseline Finish]])&gt;0,Tasks[[#This Row],[Baseline Finish]],Tasks[[#This Row],[_CalcFinish]]))</f>
        <v/>
      </c>
      <c r="AS167" s="47" t="str">
        <f aca="false">IF(Tasks[[#This Row],[Task Name]]="","",IF(Tasks[[#This Row],[Start]]&gt;=Tasks[[#This Row],[Planned Start]],NETWORKDAYS.INTL(Tasks[[#This Row],[Planned Start]],Tasks[[#This Row],[Start]],WorkWeek,Holidays)-1,1-NETWORKDAYS.INTL(Tasks[[#This Row],[Start]],Tasks[[#This Row],[Planned Start]],WorkWeek,Holidays)))</f>
        <v/>
      </c>
      <c r="AT167" s="63" t="str">
        <f aca="false">IF(Tasks[[#This Row],[Task Name]]="","",IF(Tasks[[#This Row],[_IsSummary]],MIN(INDEX(Tasks[_LeafLateStart],Tasks[[#This Row],[_Row]]+1):INDEX(Tasks[_LeafLateStart],Tasks[[#This Row],[_Row]]+Tasks[[#This Row],[_Descendants]])),Tasks[[#This Row],[_LeafLateStart]]))</f>
        <v/>
      </c>
      <c r="AU167" s="63" t="str">
        <f aca="false">IF(Tasks[[#This Row],[Task Name]]="","",IF(Tasks[[#This Row],[_IsSummary]],MAX(INDEX(Tasks[_LeafLateFinish],Tasks[[#This Row],[_Row]]+1):INDEX(Tasks[_LeafLateFinish],Tasks[[#This Row],[_Row]]+Tasks[[#This Row],[_Descendants]])),Tasks[[#This Row],[_LeafLateFinish]]))</f>
        <v/>
      </c>
      <c r="AV167" s="47"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5"/>
      <c r="BA1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6"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7"/>
      <c r="BJ167" s="22"/>
      <c r="BK167" s="47" t="str">
        <f aca="false">IF(OR(Tasks[[#This Row],[Task Name]]="",Tasks[[#This Row],[Baseline Duration]]=""),"",Tasks[[#This Row],[_SpanDays]]-N(Tasks[[#This Row],[Baseline Duration]]))</f>
        <v/>
      </c>
      <c r="BL167" s="86" t="str">
        <f aca="false">IF(OR(Tasks[[#This Row],[Task Name]]="",Tasks[[#This Row],[Baseline Work]]=""),"",Tasks[[#This Row],[Work]]-N(Tasks[[#This Row],[Baseline Work]]))</f>
        <v/>
      </c>
      <c r="BM167" s="63" t="str">
        <f aca="false">IF(Tasks[[#This Row],[Task Name]]="","",IF(OR(TakeBaseline="Yes",N(Tasks[[#This Row],[Baseline Start]])=0),Tasks[[#This Row],[Start]],Tasks[[#This Row],[Baseline Start]]))</f>
        <v/>
      </c>
      <c r="BN167" s="63" t="str">
        <f aca="false">IF(Tasks[[#This Row],[Task Name]]="","",IF(OR(TakeBaseline="Yes",N(Tasks[[#This Row],[Baseline Finish]])=0),Tasks[[#This Row],[Finish]],Tasks[[#This Row],[Baseline Finish]]))</f>
        <v/>
      </c>
      <c r="BO167" s="21" t="str">
        <f aca="false">IF(Tasks[[#This Row],[Task Name]]="","",IF(OR(TakeBaseline="Yes",N(Tasks[[#This Row],[Baseline Duration]])=0),Tasks[[#This Row],[_SpanDays]],Tasks[[#This Row],[Baseline Duration]]))</f>
        <v/>
      </c>
      <c r="BP167" s="86" t="str">
        <f aca="false">IF(Tasks[[#This Row],[Task Name]]="","",IF(OR(TakeBaseline="Yes",N(Tasks[[#This Row],[Baseline Work]])=0),Tasks[[#This Row],[Work]],Tasks[[#This Row],[Baseline Work]]))</f>
        <v/>
      </c>
      <c r="BQ167" s="7"/>
      <c r="BR167" s="7"/>
      <c r="BS167" s="22"/>
      <c r="BT167" s="88"/>
      <c r="BU167" s="23"/>
      <c r="BV167" s="23"/>
      <c r="BW167" s="23"/>
      <c r="BX167" s="89" t="str">
        <f aca="false">IF(AND(Tasks[[#This Row],[_IsLeaf]]=1,ISNUMBER(Tasks[[#This Row],[Optimistic]]),ISNUMBER(Tasks[[#This Row],[Pessimistic]])),ROUND((Tasks[[#This Row],[Optimistic]]+4*N(Tasks[[#This Row],[_Days]])+Tasks[[#This Row],[Pessimistic]])/6,1),"")</f>
        <v/>
      </c>
      <c r="BY167" s="87"/>
      <c r="BZ167" s="87"/>
      <c r="CA167" s="22"/>
      <c r="CB167" s="43" t="str">
        <f aca="false">IF(Tasks[[#This Row],[Task Name]]="","",MAX(1,N(Tasks[[#This Row],[Level]])))</f>
        <v/>
      </c>
      <c r="CC167" s="43" t="n">
        <f aca="false">ROW()-ROW(Tasks[[#Headers],[ID]])</f>
        <v>162</v>
      </c>
      <c r="CD167" s="43" t="n">
        <f aca="false">IF(OR(Tasks[[#This Row],[Task Name]]="",Tasks[[#This Row],[_Level]]&lt;=1),0,IFERROR(LOOKUP(2,1/(Tasks[[#Headers],[_Level]]:Tasks[[#This Row],[_Level]]=Tasks[[#This Row],[_Level]]-1),ROW(Tasks[[#Headers],[_Level]]:Tasks[[#This Row],[_Level]])),0))</f>
        <v>0</v>
      </c>
      <c r="CE167" s="43" t="n">
        <f aca="false">IFERROR(N(INDEX(Tasks[_Level],Tasks[[#This Row],[_Row]]+1)),0)</f>
        <v>0</v>
      </c>
      <c r="CF167" s="90" t="b">
        <f aca="false">AND(Tasks[[#This Row],[Task Name]]&lt;&gt;"",Tasks[[#This Row],[_NextLevel]]&gt;Tasks[[#This Row],[_Level]])</f>
        <v>0</v>
      </c>
      <c r="CG167" s="43" t="n">
        <f aca="false">IF(Tasks[[#This Row],[_IsSummary]],COUNTIF(Tasks[WBS],Tasks[[#This Row],[WBS]]&amp;".*"),0)</f>
        <v>0</v>
      </c>
      <c r="CH167" s="43" t="n">
        <f aca="false">IF(AND(Tasks[[#This Row],[Task Name]]&lt;&gt;"",NOT(Tasks[[#This Row],[_IsSummary]])),1,0)</f>
        <v>0</v>
      </c>
      <c r="CI167" s="43" t="n">
        <f aca="false">IF(N(Tasks[[#This Row],[_Pred1UID]])=0,0,IFERROR(MATCH(Tasks[[#This Row],[_Pred1UID]],Tasks[UID],0),-1))</f>
        <v>0</v>
      </c>
      <c r="CJ167" s="43" t="n">
        <f aca="false">IF(N(Tasks[[#This Row],[_Pred2UID]])=0,0,IFERROR(MATCH(Tasks[[#This Row],[_Pred2UID]],Tasks[UID],0),-1))</f>
        <v>0</v>
      </c>
      <c r="CK167" s="43" t="n">
        <f aca="false">IF(N(Tasks[[#This Row],[_Pred3UID]])=0,0,IFERROR(MATCH(Tasks[[#This Row],[_Pred3UID]],Tasks[UID],0),-1))</f>
        <v>0</v>
      </c>
      <c r="CL167" s="43" t="n">
        <f aca="false">IF(N(Tasks[[#This Row],[_Pred4UID]])=0,0,IFERROR(MATCH(Tasks[[#This Row],[_Pred4UID]],Tasks[UID],0),-1))</f>
        <v>0</v>
      </c>
      <c r="CM1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7" s="91" t="n">
        <f aca="false">IF(OR(Tasks[[#This Row],[_ConstraintCode]]=2,Tasks[[#This Row],[_ConstraintCode]]=3,Tasks[[#This Row],[_ConstraintCode]]=4,Tasks[[#This Row],[_ConstraintCode]]=6),Tasks[[#This Row],[_ConstraintStart]],0)</f>
        <v>0</v>
      </c>
      <c r="CP167" s="91" t="n">
        <f aca="false">IF(OR(Tasks[[#This Row],[_ConstraintCode]]=2,Tasks[[#This Row],[_ConstraintCode]]=3,Tasks[[#This Row],[_ConstraintCode]]=5,Tasks[[#This Row],[_ConstraintCode]]=7),Tasks[[#This Row],[_ConstraintStart]],2958465)</f>
        <v>2958465</v>
      </c>
      <c r="CQ1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91" t="str">
        <f aca="false">IF(NOT(Tasks[[#This Row],[_IsLeaf]]=1),"",IF(N(Tasks[[#This Row],[_Days]])&lt;=0,Tasks[[#This Row],[_LeafCalcStart]],WORKDAY.INTL(Tasks[[#This Row],[_LeafCalcStart]],Tasks[[#This Row],[_Days]]-1,WorkWeek,Holidays)))</f>
        <v/>
      </c>
      <c r="CS1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3" t="str">
        <f aca="false">IF(Tasks[[#This Row],[_Predecessors]]="","",TRIM(MID(SUBSTITUTE(SUBSTITUTE(SUBSTITUTE(UPPER(Tasks[[#This Row],[_Predecessors]]),";",",")," ",""),",",REPT(" ",99)),1,99)))</f>
        <v/>
      </c>
      <c r="CV167" s="43" t="str">
        <f aca="false">IF(Tasks[[#This Row],[_Pred1Text]]="","",IFERROR(VALUE(LEFT(Tasks[[#This Row],[_Pred1Text]],MIN(FIND("F",Tasks[[#This Row],[_Pred1Text]]&amp;"F"),FIND("S",Tasks[[#This Row],[_Pred1Text]]&amp;"S"),FIND("+",Tasks[[#This Row],[_Pred1Text]]&amp;"+"),FIND("-",Tasks[[#This Row],[_Pred1Text]]&amp;"-"))-1)),""))</f>
        <v/>
      </c>
      <c r="CW1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3" t="str">
        <f aca="false">IF(Tasks[[#This Row],[_Pred1Text]]="","",TRIM(MID(SUBSTITUTE(SUBSTITUTE(SUBSTITUTE(UPPER(Tasks[[#This Row],[_Predecessors]]),";",",")," ",""),",",REPT(" ",99)),100,99)))</f>
        <v/>
      </c>
      <c r="CZ167" s="43" t="str">
        <f aca="false">IF(Tasks[[#This Row],[_Pred2Text]]="","",IFERROR(VALUE(LEFT(Tasks[[#This Row],[_Pred2Text]],MIN(FIND("F",Tasks[[#This Row],[_Pred2Text]]&amp;"F"),FIND("S",Tasks[[#This Row],[_Pred2Text]]&amp;"S"),FIND("+",Tasks[[#This Row],[_Pred2Text]]&amp;"+"),FIND("-",Tasks[[#This Row],[_Pred2Text]]&amp;"-"))-1)),""))</f>
        <v/>
      </c>
      <c r="DA1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3" t="str">
        <f aca="false">IF(Tasks[[#This Row],[_Pred2Text]]="","",TRIM(MID(SUBSTITUTE(SUBSTITUTE(SUBSTITUTE(UPPER(Tasks[[#This Row],[_Predecessors]]),";",",")," ",""),",",REPT(" ",99)),199,99)))</f>
        <v/>
      </c>
      <c r="DD167" s="43" t="str">
        <f aca="false">IF(Tasks[[#This Row],[_Pred3Text]]="","",IFERROR(VALUE(LEFT(Tasks[[#This Row],[_Pred3Text]],MIN(FIND("F",Tasks[[#This Row],[_Pred3Text]]&amp;"F"),FIND("S",Tasks[[#This Row],[_Pred3Text]]&amp;"S"),FIND("+",Tasks[[#This Row],[_Pred3Text]]&amp;"+"),FIND("-",Tasks[[#This Row],[_Pred3Text]]&amp;"-"))-1)),""))</f>
        <v/>
      </c>
      <c r="DE1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3" t="str">
        <f aca="false">IF(Tasks[[#This Row],[_Pred3Text]]="","",TRIM(MID(SUBSTITUTE(SUBSTITUTE(SUBSTITUTE(UPPER(Tasks[[#This Row],[_Predecessors]]),";",",")," ",""),",",REPT(" ",99)),298,99)))</f>
        <v/>
      </c>
      <c r="DH167" s="43" t="str">
        <f aca="false">IF(Tasks[[#This Row],[_Pred4Text]]="","",IFERROR(VALUE(LEFT(Tasks[[#This Row],[_Pred4Text]],MIN(FIND("F",Tasks[[#This Row],[_Pred4Text]]&amp;"F"),FIND("S",Tasks[[#This Row],[_Pred4Text]]&amp;"S"),FIND("+",Tasks[[#This Row],[_Pred4Text]]&amp;"+"),FIND("-",Tasks[[#This Row],[_Pred4Text]]&amp;"-"))-1)),""))</f>
        <v/>
      </c>
      <c r="DI1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3" t="str">
        <f aca="false">IF(OR(Tasks[[#This Row],[Task Name]]="",Tasks[[#This Row],[_Resources]]=""),"",TRIM(MID(SUBSTITUTE(Tasks[[#This Row],[_Resources]],",",REPT(" ",99)),1,99)))</f>
        <v/>
      </c>
      <c r="DL167" s="43" t="str">
        <f aca="false">IF(Tasks[[#This Row],[_Res1Text]]="","",TRIM(MID(SUBSTITUTE(Tasks[[#This Row],[_Resources]],",",REPT(" ",99)),100,99)))</f>
        <v/>
      </c>
      <c r="DM167" s="43" t="str">
        <f aca="false">IF(Tasks[[#This Row],[_Res2Text]]="","",TRIM(MID(SUBSTITUTE(Tasks[[#This Row],[_Resources]],",",REPT(" ",99)),199,99)))</f>
        <v/>
      </c>
      <c r="DN167" s="43" t="str">
        <f aca="false">IF(Tasks[[#This Row],[_Res3Text]]="","",TRIM(MID(SUBSTITUTE(Tasks[[#This Row],[_Resources]],",",REPT(" ",99)),298,99)))</f>
        <v/>
      </c>
      <c r="DO167" s="43" t="n">
        <f aca="false">IF(Tasks[[#This Row],[_Res1Text]]="",0,IFERROR(MATCH(TRIM(LEFT(Tasks[[#This Row],[_Res1Text]],FIND("[",Tasks[[#This Row],[_Res1Text]]&amp;"[")-1)),res_Name,0),IFERROR(MATCH(TRIM(LEFT(Tasks[[#This Row],[_Res1Text]],FIND("[",Tasks[[#This Row],[_Res1Text]]&amp;"[")-1)),res_Initials,0),0)))</f>
        <v>0</v>
      </c>
      <c r="DP167" s="43" t="n">
        <f aca="false">IF(Tasks[[#This Row],[_Res2Text]]="",0,IFERROR(MATCH(TRIM(LEFT(Tasks[[#This Row],[_Res2Text]],FIND("[",Tasks[[#This Row],[_Res2Text]]&amp;"[")-1)),res_Name,0),IFERROR(MATCH(TRIM(LEFT(Tasks[[#This Row],[_Res2Text]],FIND("[",Tasks[[#This Row],[_Res2Text]]&amp;"[")-1)),res_Initials,0),0)))</f>
        <v>0</v>
      </c>
      <c r="DQ167" s="43" t="n">
        <f aca="false">IF(Tasks[[#This Row],[_Res3Text]]="",0,IFERROR(MATCH(TRIM(LEFT(Tasks[[#This Row],[_Res3Text]],FIND("[",Tasks[[#This Row],[_Res3Text]]&amp;"[")-1)),res_Name,0),IFERROR(MATCH(TRIM(LEFT(Tasks[[#This Row],[_Res3Text]],FIND("[",Tasks[[#This Row],[_Res3Text]]&amp;"[")-1)),res_Initials,0),0)))</f>
        <v>0</v>
      </c>
      <c r="DR167" s="43" t="n">
        <f aca="false">IF(Tasks[[#This Row],[_Res4Text]]="",0,IFERROR(MATCH(TRIM(LEFT(Tasks[[#This Row],[_Res4Text]],FIND("[",Tasks[[#This Row],[_Res4Text]]&amp;"[")-1)),res_Name,0),IFERROR(MATCH(TRIM(LEFT(Tasks[[#This Row],[_Res4Text]],FIND("[",Tasks[[#This Row],[_Res4Text]]&amp;"[")-1)),res_Initials,0),0)))</f>
        <v>0</v>
      </c>
      <c r="DS167" s="43" t="str">
        <f aca="false">IF(Tasks[[#This Row],[_Res1Text]]="","",IF(Tasks[[#This Row],[_Res1Row]]&gt;0,INDEX(res_Name,Tasks[[#This Row],[_Res1Row]]),TRIM(LEFT(Tasks[[#This Row],[_Res1Text]],FIND("[",Tasks[[#This Row],[_Res1Text]]&amp;"[")-1))))</f>
        <v/>
      </c>
      <c r="DT1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3" t="n">
        <f aca="false">IF(NOT(Tasks[[#This Row],[_IsLeaf]]=1),0,(Tasks[[#This Row],[_Resource1]]&lt;&gt;"")+(Tasks[[#This Row],[_Res2]]&lt;&gt;"")+(Tasks[[#This Row],[_Res3]]&lt;&gt;"")+(Tasks[[#This Row],[_Res4]]&lt;&gt;""))</f>
        <v>0</v>
      </c>
      <c r="DV167" s="43" t="str">
        <f aca="false">IF(Tasks[[#This Row],[_Res2Text]]="","",IF(Tasks[[#This Row],[_Res2Row]]&gt;0,INDEX(res_Name,Tasks[[#This Row],[_Res2Row]]),TRIM(LEFT(Tasks[[#This Row],[_Res2Text]],FIND("[",Tasks[[#This Row],[_Res2Text]]&amp;"[")-1))))</f>
        <v/>
      </c>
      <c r="DW1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3" t="n">
        <f aca="false">IF(OR(NOT(Tasks[[#This Row],[_IsLeaf]]=1),Tasks[[#This Row],[_Res2Row]]=0),0,N(Tasks[[#This Row],[_Days]])*HoursPerDay*IF(Tasks[[#This Row],[_Res2Units]]="",DefaultUnits,Tasks[[#This Row],[_Res2Units]]))</f>
        <v>0</v>
      </c>
      <c r="DY167" s="43" t="n">
        <f aca="false">IF(AND(AND(Tasks[[#This Row],[_IsLeaf]]=1,Tasks[[#This Row],[_LeafTotalWork]]&gt;0),Tasks[[#This Row],[_Res2Work]]&gt;0),Tasks[[#This Row],[_Res2Work]]/(Tasks[[#This Row],[_FinishWorkday]]-Tasks[[#This Row],[_StartWorkday]]+1),0)</f>
        <v>0</v>
      </c>
      <c r="DZ167" s="43" t="n">
        <f aca="false">Tasks[[#This Row],[_Res2WorkPerWD]]*MAX(0,Tasks[[#This Row],[_StartWorkday]]-1)</f>
        <v>0</v>
      </c>
      <c r="EA167" s="43" t="n">
        <f aca="false">Tasks[[#This Row],[_Res2Work]]*Tasks[[#This Row],[_LeafProgress]]</f>
        <v>0</v>
      </c>
      <c r="EB167" s="43" t="str">
        <f aca="false">IF(Tasks[[#This Row],[_Res3Text]]="","",IF(Tasks[[#This Row],[_Res3Row]]&gt;0,INDEX(res_Name,Tasks[[#This Row],[_Res3Row]]),TRIM(LEFT(Tasks[[#This Row],[_Res3Text]],FIND("[",Tasks[[#This Row],[_Res3Text]]&amp;"[")-1))))</f>
        <v/>
      </c>
      <c r="EC1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3" t="n">
        <f aca="false">IF(OR(NOT(Tasks[[#This Row],[_IsLeaf]]=1),Tasks[[#This Row],[_Res3Row]]=0),0,N(Tasks[[#This Row],[_Days]])*HoursPerDay*IF(Tasks[[#This Row],[_Res3Units]]="",DefaultUnits,Tasks[[#This Row],[_Res3Units]]))</f>
        <v>0</v>
      </c>
      <c r="EE167" s="43" t="n">
        <f aca="false">IF(AND(AND(Tasks[[#This Row],[_IsLeaf]]=1,Tasks[[#This Row],[_LeafTotalWork]]&gt;0),Tasks[[#This Row],[_Res3Work]]&gt;0),Tasks[[#This Row],[_Res3Work]]/(Tasks[[#This Row],[_FinishWorkday]]-Tasks[[#This Row],[_StartWorkday]]+1),0)</f>
        <v>0</v>
      </c>
      <c r="EF167" s="43" t="n">
        <f aca="false">Tasks[[#This Row],[_Res3WorkPerWD]]*MAX(0,Tasks[[#This Row],[_StartWorkday]]-1)</f>
        <v>0</v>
      </c>
      <c r="EG167" s="43" t="n">
        <f aca="false">Tasks[[#This Row],[_Res3Work]]*Tasks[[#This Row],[_LeafProgress]]</f>
        <v>0</v>
      </c>
      <c r="EH167" s="43" t="str">
        <f aca="false">IF(Tasks[[#This Row],[_Res4Text]]="","",IF(Tasks[[#This Row],[_Res4Row]]&gt;0,INDEX(res_Name,Tasks[[#This Row],[_Res4Row]]),TRIM(LEFT(Tasks[[#This Row],[_Res4Text]],FIND("[",Tasks[[#This Row],[_Res4Text]]&amp;"[")-1))))</f>
        <v/>
      </c>
      <c r="EI1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3" t="n">
        <f aca="false">IF(OR(NOT(Tasks[[#This Row],[_IsLeaf]]=1),Tasks[[#This Row],[_Res4Row]]=0),0,N(Tasks[[#This Row],[_Days]])*HoursPerDay*IF(Tasks[[#This Row],[_Res4Units]]="",DefaultUnits,Tasks[[#This Row],[_Res4Units]]))</f>
        <v>0</v>
      </c>
      <c r="EK167" s="43" t="n">
        <f aca="false">IF(AND(AND(Tasks[[#This Row],[_IsLeaf]]=1,Tasks[[#This Row],[_LeafTotalWork]]&gt;0),Tasks[[#This Row],[_Res4Work]]&gt;0),Tasks[[#This Row],[_Res4Work]]/(Tasks[[#This Row],[_FinishWorkday]]-Tasks[[#This Row],[_StartWorkday]]+1),0)</f>
        <v>0</v>
      </c>
      <c r="EL167" s="43" t="n">
        <f aca="false">Tasks[[#This Row],[_Res4WorkPerWD]]*MAX(0,Tasks[[#This Row],[_StartWorkday]]-1)</f>
        <v>0</v>
      </c>
      <c r="EM167" s="43" t="n">
        <f aca="false">Tasks[[#This Row],[_Res4Work]]*Tasks[[#This Row],[_LeafProgress]]</f>
        <v>0</v>
      </c>
      <c r="EN167" s="43" t="n">
        <f aca="false">IF(ISNUMBER(Tasks[[#This Row],[% Complete]]),Tasks[[#This Row],[% Complete]],IF(Tasks[[#This Row],[Stage]]="",0,IFERROR(INDEX(stg_Pct,MATCH(Tasks[[#This Row],[Stage]],stg_Name,0)),0)))</f>
        <v>0</v>
      </c>
      <c r="EO167" s="43" t="n">
        <f aca="false">IF(NOT(Tasks[[#This Row],[_IsLeaf]]=1),0,IF(N(Tasks[[#This Row],[Actual Finish]])&gt;0,1,MIN(1,Tasks[[#This Row],[_Pct]])))</f>
        <v>0</v>
      </c>
      <c r="EP167" s="43" t="n">
        <f aca="false">IF(OR(NOT(Tasks[[#This Row],[_IsLeaf]]=1),Tasks[[#This Row],[_Res1Row]]=0),0,N(Tasks[[#This Row],[_Days]])*HoursPerDay*IF(Tasks[[#This Row],[_Units1]]="",DefaultUnits,Tasks[[#This Row],[_Units1]]))</f>
        <v>0</v>
      </c>
      <c r="EQ167" s="43" t="n">
        <f aca="false">Tasks[[#This Row],[_LeafWork]]+Tasks[[#This Row],[_Res2Work]]+Tasks[[#This Row],[_Res3Work]]+Tasks[[#This Row],[_Res4Work]]</f>
        <v>0</v>
      </c>
      <c r="ER1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3" t="n">
        <f aca="false">IF(NOT(Tasks[[#This Row],[_IsLeaf]]=1),0,MAX(_xlfn.MAXIFS(Tasks[_Row],Tasks[_Pred1UID],Tasks[[#This Row],[UID]]),_xlfn.MAXIFS(Tasks[_Row],Tasks[_Pred2UID],Tasks[[#This Row],[UID]]),_xlfn.MAXIFS(Tasks[_Row],Tasks[_Pred3UID],Tasks[[#This Row],[UID]]),_xlfn.MAXIFS(Tasks[_Row],Tasks[_Pred4UID],Tasks[[#This Row],[UID]])))</f>
        <v>0</v>
      </c>
      <c r="FA1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91" t="str">
        <f aca="false">IF(NOT(Tasks[[#This Row],[_IsLeaf]]=1),"",IF(N(Tasks[[#This Row],[_Days]])&lt;=0,Tasks[[#This Row],[_LeafLateFinish]],WORKDAY.INTL(Tasks[[#This Row],[_LeafLateFinish]],-(Tasks[[#This Row],[_Days]]-1),WorkWeek,Holidays)))</f>
        <v/>
      </c>
      <c r="FD1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7" s="90" t="b">
        <f aca="false">AND(Tasks[[#This Row],[_IsLeaf]]=1,Tasks[[#This Row],[_LeafProgress]]&lt;1,N(Tasks[[#This Row],[_LeafTotalSlack]])&lt;=CriticalSlackDays)</f>
        <v>0</v>
      </c>
      <c r="FF167" s="43" t="n">
        <f aca="false">IF(AND(Tasks[[#This Row],[_IsLeaf]]=1,Tasks[[#This Row],[_ConstraintCode]]=1,Tasks[[#This Row],[Mode]]&lt;&gt;"Manual",N(Tasks[[#This Row],[Actual Start]])=0),MAX(0,N(Tasks[[#This Row],[Free Slack]])),0)</f>
        <v>0</v>
      </c>
      <c r="FG167" s="91" t="str">
        <f aca="false">IF(NOT(Tasks[[#This Row],[_IsLeaf]]=1),"",IF(Tasks[[#This Row],[_AlapShift]]=0,Tasks[[#This Row],[_LeafCalcStart]],WORKDAY.INTL(Tasks[[#This Row],[_LeafCalcStart]],Tasks[[#This Row],[_AlapShift]],WorkWeek,Holidays)))</f>
        <v/>
      </c>
      <c r="FH167" s="91" t="str">
        <f aca="false">IF(NOT(Tasks[[#This Row],[_IsLeaf]]=1),"",IF(Tasks[[#This Row],[_AlapShift]]=0,Tasks[[#This Row],[_LeafCalcFinish]],WORKDAY.INTL(Tasks[[#This Row],[_LeafCalcFinish]],Tasks[[#This Row],[_AlapShift]],WorkWeek,Holidays)))</f>
        <v/>
      </c>
      <c r="FI167" s="91" t="str">
        <f aca="false">IF(NOT(Tasks[[#This Row],[_IsLeaf]]=1),"",IF(Tasks[[#This Row],[_AlapShift]]=0,Tasks[[#This Row],[_LeafFcstStart]],WORKDAY.INTL(Tasks[[#This Row],[_LeafFcstStart]],Tasks[[#This Row],[_AlapShift]],WorkWeek,Holidays)))</f>
        <v/>
      </c>
      <c r="FJ167" s="91" t="str">
        <f aca="false">IF(NOT(Tasks[[#This Row],[_IsLeaf]]=1),"",IF(Tasks[[#This Row],[_AlapShift]]=0,Tasks[[#This Row],[_LeafFcstFinish]],WORKDAY.INTL(Tasks[[#This Row],[_LeafFcstFinish]],Tasks[[#This Row],[_AlapShift]],WorkWeek,Holidays)))</f>
        <v/>
      </c>
      <c r="FK167" s="91" t="str">
        <f aca="false">IF(Tasks[[#This Row],[Task Name]]="","",IF(Tasks[[#This Row],[_IsSummary]],MIN(INDEX(Tasks[_ShownCalcStart],Tasks[[#This Row],[_Row]]+1):INDEX(Tasks[_ShownCalcStart],Tasks[[#This Row],[_Row]]+Tasks[[#This Row],[_Descendants]])),Tasks[[#This Row],[_ShownCalcStart]]))</f>
        <v/>
      </c>
      <c r="FL167" s="91" t="str">
        <f aca="false">IF(Tasks[[#This Row],[Task Name]]="","",IF(Tasks[[#This Row],[_IsSummary]],MAX(INDEX(Tasks[_ShownCalcFinish],Tasks[[#This Row],[_Row]]+1):INDEX(Tasks[_ShownCalcFinish],Tasks[[#This Row],[_Row]]+Tasks[[#This Row],[_Descendants]])),Tasks[[#This Row],[_ShownCalcFinish]]))</f>
        <v/>
      </c>
      <c r="FM1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7" s="43" t="n">
        <f aca="false">IF(AND(Tasks[[#This Row],[_IsLeaf]]=1,Tasks[[#This Row],[_LeafTotalWork]]&gt;0),NETWORKDAYS.INTL(ProjectStart,Tasks[[#This Row],[_ShownFcstStart]],WorkWeek,Holidays),0)</f>
        <v>0</v>
      </c>
      <c r="FZ167" s="43" t="n">
        <f aca="false">IF(AND(Tasks[[#This Row],[_IsLeaf]]=1,Tasks[[#This Row],[_LeafTotalWork]]&gt;0),MAX(Tasks[[#This Row],[_StartWorkday]],NETWORKDAYS.INTL(ProjectStart,Tasks[[#This Row],[_ShownFcstFinish]],WorkWeek,Holidays)),0)</f>
        <v>0</v>
      </c>
      <c r="GA167" s="43" t="n">
        <f aca="false">IF(AND(Tasks[[#This Row],[_IsLeaf]]=1,Tasks[[#This Row],[_LeafTotalWork]]&gt;0),Tasks[[#This Row],[_LeafWork]]/(Tasks[[#This Row],[_FinishWorkday]]-Tasks[[#This Row],[_StartWorkday]]+1),0)</f>
        <v>0</v>
      </c>
      <c r="GB167" s="43" t="n">
        <f aca="false">Tasks[[#This Row],[_WorkPerWorkday]]*(Tasks[[#This Row],[_StartWorkday]]-1)</f>
        <v>-0</v>
      </c>
      <c r="GC167" s="43" t="n">
        <f aca="false">IF(Tasks[[#This Row],[_IsLeaf]]=1,MAX(N(Tasks[[#This Row],[_Days]]),0.1),0)</f>
        <v>0</v>
      </c>
      <c r="GD167" s="43" t="n">
        <f aca="false">Tasks[[#This Row],[_WeightDur]]*Tasks[[#This Row],[_LeafProgress]]</f>
        <v>0</v>
      </c>
      <c r="GE167" s="43" t="n">
        <f aca="false">Tasks[[#This Row],[_WeightDur]]*Tasks[[#This Row],[_PlannedPct]]</f>
        <v>0</v>
      </c>
      <c r="GF1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3" t="str">
        <f aca="false">IF(AND(Tasks[[#This Row],[_IsLeaf]]=1,N(Tasks[[#This Row],[_Days]])=0,Tasks[[#This Row],[_LeafProgress]]&lt;1),Tasks[[#This Row],[_ShownFcstFinish]]+Tasks[[#This Row],[_Row]]/100000,"")</f>
        <v/>
      </c>
      <c r="GH1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7" s="43" t="str">
        <f aca="false">IF(Tasks[[#This Row],[Task Name]]="","",LEFT(Tasks[[#This Row],[WBS]],FIND(".",Tasks[[#This Row],[WBS]]&amp;".")-1))</f>
        <v/>
      </c>
      <c r="GJ167" s="43" t="str">
        <f aca="false">IF(AND(Tasks[[#This Row],[Task Name]]&lt;&gt;"",Tasks[[#This Row],[_Level]]=1),Tasks[[#This Row],[_Row]],"")</f>
        <v/>
      </c>
      <c r="GK167" s="43" t="str">
        <f aca="false">IF(AND(Tasks[[#This Row],[_IsLeaf]]=1,N(Tasks[[#This Row],[_Days]])=0),Tasks[[#This Row],[Planned Finish]]+Tasks[[#This Row],[_Row]]/100000,"")</f>
        <v/>
      </c>
      <c r="GL167" s="43" t="str">
        <f aca="false">IF(AND(Tasks[[#This Row],[_IsLeaf]]=1,Tasks[[#This Row],[_LeafProgress]]&lt;1,OR(N(Tasks[[#This Row],[Finish Var]])&gt;0,Tasks[[#This Row],[Status]]="Late Start")),MAX(0,Tasks[[#This Row],[Finish Var]])+1-Tasks[[#This Row],[_Row]]/1000000,"")</f>
        <v/>
      </c>
      <c r="GM167" s="43" t="str">
        <f aca="false">IF(AND(Tasks[[#This Row],[_IsLeaf]]=1,N(Tasks[[#This Row],[Actual Start]])=0,Tasks[[#This Row],[_ShownFcstStart]]&gt;=StatusDate,Tasks[[#This Row],[_ShownFcstStart]]&lt;=LookaheadEnd),Tasks[[#This Row],[_ShownFcstStart]]+Tasks[[#This Row],[_Row]]/100000,"")</f>
        <v/>
      </c>
      <c r="GN167" s="43" t="str">
        <f aca="false">IF(AND(Tasks[[#This Row],[_IsLeaf]]=1,Tasks[[#This Row],[_LeafProgress]]&lt;1,Tasks[[#This Row],[_ShownFcstFinish]]&gt;=StatusDate,Tasks[[#This Row],[_ShownFcstFinish]]&lt;=LookaheadEnd),Tasks[[#This Row],[_ShownFcstFinish]]+Tasks[[#This Row],[_Row]]/100000,"")</f>
        <v/>
      </c>
      <c r="GO167" s="43" t="str">
        <f aca="false">IF(Tasks[[#This Row],[_LeafCritical]],Tasks[[#This Row],[_ShownFcstStart]]+Tasks[[#This Row],[_Row]]/100000,"")</f>
        <v/>
      </c>
      <c r="GP167" s="43" t="n">
        <f aca="false">Tasks[[#This Row],[_LeafWork]]*Tasks[[#This Row],[_LeafProgress]]</f>
        <v>0</v>
      </c>
      <c r="GQ167" s="91" t="str">
        <f aca="false">IF(AND(Tasks[[#This Row],[_IsLeaf]]=1,Tasks[[#This Row],[_LeafProgress]]&gt;=1),IF(N(Tasks[[#This Row],[Actual Finish]])&gt;0,Tasks[[#This Row],[Actual Finish]],Tasks[[#This Row],[_ShownFcstFinish]]),"")</f>
        <v/>
      </c>
      <c r="GR167" s="43" t="n">
        <f aca="false">IF(Tasks[[#This Row],[_IsLeaf]]=1,N(Tasks[[#This Row],[Story Points]]),0)</f>
        <v>0</v>
      </c>
      <c r="GS167" s="43" t="str">
        <f aca="false">""</f>
        <v/>
      </c>
      <c r="GT167" s="90" t="b">
        <f aca="false">IF(Tasks[[#This Row],[Task Name]]="",FALSE(),AND(Tasks[[#This Row],[_IsLeaf]]=1,N(Tasks[[#This Row],[_Days]])=0))</f>
        <v>0</v>
      </c>
      <c r="GU167" s="91" t="n">
        <f aca="false">IF(Tasks[[#This Row],[Task Name]]="",0,IF(AND(Tasks[[#This Row],[_IsLeaf]]=1,NOT(Tasks[[#This Row],[_IsMilestone]]),N(Tasks[[#This Row],[Progress]])&gt;0),Tasks[[#This Row],[Start]],0))</f>
        <v>0</v>
      </c>
      <c r="GV167" s="91" t="n">
        <f aca="false">IF(Tasks[[#This Row],[_DoneFrom]]=0,0,IF(Tasks[[#This Row],[Progress]]&gt;=1,Tasks[[#This Row],[Finish]],MAX(Tasks[[#This Row],[_DoneFrom]],Tasks[[#This Row],[Start]]+ROUND((Tasks[[#This Row],[Finish]]-Tasks[[#This Row],[Start]]+1)*Tasks[[#This Row],[Progress]],0)-1)))</f>
        <v>0</v>
      </c>
      <c r="GW167" s="91" t="n">
        <f aca="false">IF(Tasks[[#This Row],[Task Name]]="",0,IF(OR(NOT(Tasks[[#This Row],[_IsLeaf]]=1),Tasks[[#This Row],[_IsMilestone]],N(Tasks[[#This Row],[Progress]])&gt;=1),0,IF(Tasks[[#This Row],[_DoneTo]]&gt;0,Tasks[[#This Row],[_DoneTo]]+1,Tasks[[#This Row],[Start]])))</f>
        <v>0</v>
      </c>
      <c r="GX167" s="91" t="n">
        <f aca="false">IF(Tasks[[#This Row],[_RemFrom]]=0,0,Tasks[[#This Row],[Finish]])</f>
        <v>0</v>
      </c>
      <c r="GY167" s="90" t="b">
        <f aca="false">IF(Tasks[[#This Row],[Task Name]]="",FALSE(),OR(NOT(BaselineSet),N(Tasks[[#This Row],[Baseline Start]])&gt;0))</f>
        <v>0</v>
      </c>
      <c r="GZ16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92" t="str">
        <f aca="false">IF(Tasks[[#This Row],[_IsLeaf]]=1,Tasks[[#This Row],[_Row]],"")</f>
        <v/>
      </c>
      <c r="HD167" s="92" t="str">
        <f aca="false">IFERROR(INDEX(Tasks[UID],SMALL(Tasks[_PickKey],Tasks[[#This Row],[_Row]]))&amp;" "&amp;INDEX(Tasks[Task Name],SMALL(Tasks[_PickKey],Tasks[[#This Row],[_Row]])),"")</f>
        <v/>
      </c>
      <c r="HE167" s="43" t="str">
        <f aca="false">IF(Tasks[[#This Row],[Task Name]]="","",IF(Tasks[[#This Row],[_IsSummary]],NETWORKDAYS.INTL(Tasks[[#This Row],[Start]],Tasks[[#This Row],[Finish]],WorkWeek,Holidays),N(Tasks[[#This Row],[_Days]])))</f>
        <v/>
      </c>
      <c r="HF167" s="43" t="n">
        <f aca="false">IF(Tasks[[#This Row],[Expected]]="",0,((Tasks[[#This Row],[Pessimistic]]-Tasks[[#This Row],[Optimistic]])/6)^2)</f>
        <v>0</v>
      </c>
      <c r="HG167" s="43" t="n">
        <f aca="false">IF(Tasks[[#This Row],[Expected]]="",0,Tasks[[#This Row],[Expected]]-N(Tasks[[#This Row],[_Days]]))</f>
        <v>0</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4"/>
      <c r="U168" s="23"/>
      <c r="V168" s="84"/>
      <c r="W168" s="23"/>
      <c r="X168" s="84"/>
      <c r="Y168" s="23"/>
      <c r="Z168" s="84"/>
      <c r="AA168" s="23"/>
      <c r="AB168" s="23"/>
      <c r="AC168" s="7"/>
      <c r="AD168" s="7"/>
      <c r="AE168" s="63" t="str">
        <f aca="false">IF(Tasks[[#This Row],[Task Name]]="","",IF(Tasks[[#This Row],[_IsSummary]],MIN(INDEX(Tasks[_ShownFcstStart],Tasks[[#This Row],[_Row]]+1):INDEX(Tasks[_ShownFcstStart],Tasks[[#This Row],[_Row]]+Tasks[[#This Row],[_Descendants]])),Tasks[[#This Row],[_ShownFcstStart]]))</f>
        <v/>
      </c>
      <c r="AF168" s="63"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8" s="7"/>
      <c r="AK168" s="22"/>
      <c r="AL168" s="23"/>
      <c r="AM168" s="7"/>
      <c r="AN168" s="47"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3" t="str">
        <f aca="false">IF(Tasks[[#This Row],[Task Name]]="","",IF(N(Tasks[[#This Row],[Baseline Start]])&gt;0,Tasks[[#This Row],[Baseline Start]],Tasks[[#This Row],[_CalcStart]]))</f>
        <v/>
      </c>
      <c r="AR168" s="63" t="str">
        <f aca="false">IF(Tasks[[#This Row],[Task Name]]="","",IF(N(Tasks[[#This Row],[Baseline Finish]])&gt;0,Tasks[[#This Row],[Baseline Finish]],Tasks[[#This Row],[_CalcFinish]]))</f>
        <v/>
      </c>
      <c r="AS168" s="47" t="str">
        <f aca="false">IF(Tasks[[#This Row],[Task Name]]="","",IF(Tasks[[#This Row],[Start]]&gt;=Tasks[[#This Row],[Planned Start]],NETWORKDAYS.INTL(Tasks[[#This Row],[Planned Start]],Tasks[[#This Row],[Start]],WorkWeek,Holidays)-1,1-NETWORKDAYS.INTL(Tasks[[#This Row],[Start]],Tasks[[#This Row],[Planned Start]],WorkWeek,Holidays)))</f>
        <v/>
      </c>
      <c r="AT168" s="63" t="str">
        <f aca="false">IF(Tasks[[#This Row],[Task Name]]="","",IF(Tasks[[#This Row],[_IsSummary]],MIN(INDEX(Tasks[_LeafLateStart],Tasks[[#This Row],[_Row]]+1):INDEX(Tasks[_LeafLateStart],Tasks[[#This Row],[_Row]]+Tasks[[#This Row],[_Descendants]])),Tasks[[#This Row],[_LeafLateStart]]))</f>
        <v/>
      </c>
      <c r="AU168" s="63" t="str">
        <f aca="false">IF(Tasks[[#This Row],[Task Name]]="","",IF(Tasks[[#This Row],[_IsSummary]],MAX(INDEX(Tasks[_LeafLateFinish],Tasks[[#This Row],[_Row]]+1):INDEX(Tasks[_LeafLateFinish],Tasks[[#This Row],[_Row]]+Tasks[[#This Row],[_Descendants]])),Tasks[[#This Row],[_LeafLateFinish]]))</f>
        <v/>
      </c>
      <c r="AV168" s="47"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5"/>
      <c r="BA1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6"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7"/>
      <c r="BJ168" s="22"/>
      <c r="BK168" s="47" t="str">
        <f aca="false">IF(OR(Tasks[[#This Row],[Task Name]]="",Tasks[[#This Row],[Baseline Duration]]=""),"",Tasks[[#This Row],[_SpanDays]]-N(Tasks[[#This Row],[Baseline Duration]]))</f>
        <v/>
      </c>
      <c r="BL168" s="86" t="str">
        <f aca="false">IF(OR(Tasks[[#This Row],[Task Name]]="",Tasks[[#This Row],[Baseline Work]]=""),"",Tasks[[#This Row],[Work]]-N(Tasks[[#This Row],[Baseline Work]]))</f>
        <v/>
      </c>
      <c r="BM168" s="63" t="str">
        <f aca="false">IF(Tasks[[#This Row],[Task Name]]="","",IF(OR(TakeBaseline="Yes",N(Tasks[[#This Row],[Baseline Start]])=0),Tasks[[#This Row],[Start]],Tasks[[#This Row],[Baseline Start]]))</f>
        <v/>
      </c>
      <c r="BN168" s="63" t="str">
        <f aca="false">IF(Tasks[[#This Row],[Task Name]]="","",IF(OR(TakeBaseline="Yes",N(Tasks[[#This Row],[Baseline Finish]])=0),Tasks[[#This Row],[Finish]],Tasks[[#This Row],[Baseline Finish]]))</f>
        <v/>
      </c>
      <c r="BO168" s="21" t="str">
        <f aca="false">IF(Tasks[[#This Row],[Task Name]]="","",IF(OR(TakeBaseline="Yes",N(Tasks[[#This Row],[Baseline Duration]])=0),Tasks[[#This Row],[_SpanDays]],Tasks[[#This Row],[Baseline Duration]]))</f>
        <v/>
      </c>
      <c r="BP168" s="86" t="str">
        <f aca="false">IF(Tasks[[#This Row],[Task Name]]="","",IF(OR(TakeBaseline="Yes",N(Tasks[[#This Row],[Baseline Work]])=0),Tasks[[#This Row],[Work]],Tasks[[#This Row],[Baseline Work]]))</f>
        <v/>
      </c>
      <c r="BQ168" s="7"/>
      <c r="BR168" s="7"/>
      <c r="BS168" s="22"/>
      <c r="BT168" s="88"/>
      <c r="BU168" s="23"/>
      <c r="BV168" s="23"/>
      <c r="BW168" s="23"/>
      <c r="BX168" s="89" t="str">
        <f aca="false">IF(AND(Tasks[[#This Row],[_IsLeaf]]=1,ISNUMBER(Tasks[[#This Row],[Optimistic]]),ISNUMBER(Tasks[[#This Row],[Pessimistic]])),ROUND((Tasks[[#This Row],[Optimistic]]+4*N(Tasks[[#This Row],[_Days]])+Tasks[[#This Row],[Pessimistic]])/6,1),"")</f>
        <v/>
      </c>
      <c r="BY168" s="87"/>
      <c r="BZ168" s="87"/>
      <c r="CA168" s="22"/>
      <c r="CB168" s="43" t="str">
        <f aca="false">IF(Tasks[[#This Row],[Task Name]]="","",MAX(1,N(Tasks[[#This Row],[Level]])))</f>
        <v/>
      </c>
      <c r="CC168" s="43" t="n">
        <f aca="false">ROW()-ROW(Tasks[[#Headers],[ID]])</f>
        <v>163</v>
      </c>
      <c r="CD168" s="43" t="n">
        <f aca="false">IF(OR(Tasks[[#This Row],[Task Name]]="",Tasks[[#This Row],[_Level]]&lt;=1),0,IFERROR(LOOKUP(2,1/(Tasks[[#Headers],[_Level]]:Tasks[[#This Row],[_Level]]=Tasks[[#This Row],[_Level]]-1),ROW(Tasks[[#Headers],[_Level]]:Tasks[[#This Row],[_Level]])),0))</f>
        <v>0</v>
      </c>
      <c r="CE168" s="43" t="n">
        <f aca="false">IFERROR(N(INDEX(Tasks[_Level],Tasks[[#This Row],[_Row]]+1)),0)</f>
        <v>0</v>
      </c>
      <c r="CF168" s="90" t="b">
        <f aca="false">AND(Tasks[[#This Row],[Task Name]]&lt;&gt;"",Tasks[[#This Row],[_NextLevel]]&gt;Tasks[[#This Row],[_Level]])</f>
        <v>0</v>
      </c>
      <c r="CG168" s="43" t="n">
        <f aca="false">IF(Tasks[[#This Row],[_IsSummary]],COUNTIF(Tasks[WBS],Tasks[[#This Row],[WBS]]&amp;".*"),0)</f>
        <v>0</v>
      </c>
      <c r="CH168" s="43" t="n">
        <f aca="false">IF(AND(Tasks[[#This Row],[Task Name]]&lt;&gt;"",NOT(Tasks[[#This Row],[_IsSummary]])),1,0)</f>
        <v>0</v>
      </c>
      <c r="CI168" s="43" t="n">
        <f aca="false">IF(N(Tasks[[#This Row],[_Pred1UID]])=0,0,IFERROR(MATCH(Tasks[[#This Row],[_Pred1UID]],Tasks[UID],0),-1))</f>
        <v>0</v>
      </c>
      <c r="CJ168" s="43" t="n">
        <f aca="false">IF(N(Tasks[[#This Row],[_Pred2UID]])=0,0,IFERROR(MATCH(Tasks[[#This Row],[_Pred2UID]],Tasks[UID],0),-1))</f>
        <v>0</v>
      </c>
      <c r="CK168" s="43" t="n">
        <f aca="false">IF(N(Tasks[[#This Row],[_Pred3UID]])=0,0,IFERROR(MATCH(Tasks[[#This Row],[_Pred3UID]],Tasks[UID],0),-1))</f>
        <v>0</v>
      </c>
      <c r="CL168" s="43" t="n">
        <f aca="false">IF(N(Tasks[[#This Row],[_Pred4UID]])=0,0,IFERROR(MATCH(Tasks[[#This Row],[_Pred4UID]],Tasks[UID],0),-1))</f>
        <v>0</v>
      </c>
      <c r="CM1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8" s="91" t="n">
        <f aca="false">IF(OR(Tasks[[#This Row],[_ConstraintCode]]=2,Tasks[[#This Row],[_ConstraintCode]]=3,Tasks[[#This Row],[_ConstraintCode]]=4,Tasks[[#This Row],[_ConstraintCode]]=6),Tasks[[#This Row],[_ConstraintStart]],0)</f>
        <v>0</v>
      </c>
      <c r="CP168" s="91" t="n">
        <f aca="false">IF(OR(Tasks[[#This Row],[_ConstraintCode]]=2,Tasks[[#This Row],[_ConstraintCode]]=3,Tasks[[#This Row],[_ConstraintCode]]=5,Tasks[[#This Row],[_ConstraintCode]]=7),Tasks[[#This Row],[_ConstraintStart]],2958465)</f>
        <v>2958465</v>
      </c>
      <c r="CQ1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91" t="str">
        <f aca="false">IF(NOT(Tasks[[#This Row],[_IsLeaf]]=1),"",IF(N(Tasks[[#This Row],[_Days]])&lt;=0,Tasks[[#This Row],[_LeafCalcStart]],WORKDAY.INTL(Tasks[[#This Row],[_LeafCalcStart]],Tasks[[#This Row],[_Days]]-1,WorkWeek,Holidays)))</f>
        <v/>
      </c>
      <c r="CS1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3" t="str">
        <f aca="false">IF(Tasks[[#This Row],[_Predecessors]]="","",TRIM(MID(SUBSTITUTE(SUBSTITUTE(SUBSTITUTE(UPPER(Tasks[[#This Row],[_Predecessors]]),";",",")," ",""),",",REPT(" ",99)),1,99)))</f>
        <v/>
      </c>
      <c r="CV168" s="43" t="str">
        <f aca="false">IF(Tasks[[#This Row],[_Pred1Text]]="","",IFERROR(VALUE(LEFT(Tasks[[#This Row],[_Pred1Text]],MIN(FIND("F",Tasks[[#This Row],[_Pred1Text]]&amp;"F"),FIND("S",Tasks[[#This Row],[_Pred1Text]]&amp;"S"),FIND("+",Tasks[[#This Row],[_Pred1Text]]&amp;"+"),FIND("-",Tasks[[#This Row],[_Pred1Text]]&amp;"-"))-1)),""))</f>
        <v/>
      </c>
      <c r="CW1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3" t="str">
        <f aca="false">IF(Tasks[[#This Row],[_Pred1Text]]="","",TRIM(MID(SUBSTITUTE(SUBSTITUTE(SUBSTITUTE(UPPER(Tasks[[#This Row],[_Predecessors]]),";",",")," ",""),",",REPT(" ",99)),100,99)))</f>
        <v/>
      </c>
      <c r="CZ168" s="43" t="str">
        <f aca="false">IF(Tasks[[#This Row],[_Pred2Text]]="","",IFERROR(VALUE(LEFT(Tasks[[#This Row],[_Pred2Text]],MIN(FIND("F",Tasks[[#This Row],[_Pred2Text]]&amp;"F"),FIND("S",Tasks[[#This Row],[_Pred2Text]]&amp;"S"),FIND("+",Tasks[[#This Row],[_Pred2Text]]&amp;"+"),FIND("-",Tasks[[#This Row],[_Pred2Text]]&amp;"-"))-1)),""))</f>
        <v/>
      </c>
      <c r="DA1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3" t="str">
        <f aca="false">IF(Tasks[[#This Row],[_Pred2Text]]="","",TRIM(MID(SUBSTITUTE(SUBSTITUTE(SUBSTITUTE(UPPER(Tasks[[#This Row],[_Predecessors]]),";",",")," ",""),",",REPT(" ",99)),199,99)))</f>
        <v/>
      </c>
      <c r="DD168" s="43" t="str">
        <f aca="false">IF(Tasks[[#This Row],[_Pred3Text]]="","",IFERROR(VALUE(LEFT(Tasks[[#This Row],[_Pred3Text]],MIN(FIND("F",Tasks[[#This Row],[_Pred3Text]]&amp;"F"),FIND("S",Tasks[[#This Row],[_Pred3Text]]&amp;"S"),FIND("+",Tasks[[#This Row],[_Pred3Text]]&amp;"+"),FIND("-",Tasks[[#This Row],[_Pred3Text]]&amp;"-"))-1)),""))</f>
        <v/>
      </c>
      <c r="DE1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3" t="str">
        <f aca="false">IF(Tasks[[#This Row],[_Pred3Text]]="","",TRIM(MID(SUBSTITUTE(SUBSTITUTE(SUBSTITUTE(UPPER(Tasks[[#This Row],[_Predecessors]]),";",",")," ",""),",",REPT(" ",99)),298,99)))</f>
        <v/>
      </c>
      <c r="DH168" s="43" t="str">
        <f aca="false">IF(Tasks[[#This Row],[_Pred4Text]]="","",IFERROR(VALUE(LEFT(Tasks[[#This Row],[_Pred4Text]],MIN(FIND("F",Tasks[[#This Row],[_Pred4Text]]&amp;"F"),FIND("S",Tasks[[#This Row],[_Pred4Text]]&amp;"S"),FIND("+",Tasks[[#This Row],[_Pred4Text]]&amp;"+"),FIND("-",Tasks[[#This Row],[_Pred4Text]]&amp;"-"))-1)),""))</f>
        <v/>
      </c>
      <c r="DI1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3" t="str">
        <f aca="false">IF(OR(Tasks[[#This Row],[Task Name]]="",Tasks[[#This Row],[_Resources]]=""),"",TRIM(MID(SUBSTITUTE(Tasks[[#This Row],[_Resources]],",",REPT(" ",99)),1,99)))</f>
        <v/>
      </c>
      <c r="DL168" s="43" t="str">
        <f aca="false">IF(Tasks[[#This Row],[_Res1Text]]="","",TRIM(MID(SUBSTITUTE(Tasks[[#This Row],[_Resources]],",",REPT(" ",99)),100,99)))</f>
        <v/>
      </c>
      <c r="DM168" s="43" t="str">
        <f aca="false">IF(Tasks[[#This Row],[_Res2Text]]="","",TRIM(MID(SUBSTITUTE(Tasks[[#This Row],[_Resources]],",",REPT(" ",99)),199,99)))</f>
        <v/>
      </c>
      <c r="DN168" s="43" t="str">
        <f aca="false">IF(Tasks[[#This Row],[_Res3Text]]="","",TRIM(MID(SUBSTITUTE(Tasks[[#This Row],[_Resources]],",",REPT(" ",99)),298,99)))</f>
        <v/>
      </c>
      <c r="DO168" s="43" t="n">
        <f aca="false">IF(Tasks[[#This Row],[_Res1Text]]="",0,IFERROR(MATCH(TRIM(LEFT(Tasks[[#This Row],[_Res1Text]],FIND("[",Tasks[[#This Row],[_Res1Text]]&amp;"[")-1)),res_Name,0),IFERROR(MATCH(TRIM(LEFT(Tasks[[#This Row],[_Res1Text]],FIND("[",Tasks[[#This Row],[_Res1Text]]&amp;"[")-1)),res_Initials,0),0)))</f>
        <v>0</v>
      </c>
      <c r="DP168" s="43" t="n">
        <f aca="false">IF(Tasks[[#This Row],[_Res2Text]]="",0,IFERROR(MATCH(TRIM(LEFT(Tasks[[#This Row],[_Res2Text]],FIND("[",Tasks[[#This Row],[_Res2Text]]&amp;"[")-1)),res_Name,0),IFERROR(MATCH(TRIM(LEFT(Tasks[[#This Row],[_Res2Text]],FIND("[",Tasks[[#This Row],[_Res2Text]]&amp;"[")-1)),res_Initials,0),0)))</f>
        <v>0</v>
      </c>
      <c r="DQ168" s="43" t="n">
        <f aca="false">IF(Tasks[[#This Row],[_Res3Text]]="",0,IFERROR(MATCH(TRIM(LEFT(Tasks[[#This Row],[_Res3Text]],FIND("[",Tasks[[#This Row],[_Res3Text]]&amp;"[")-1)),res_Name,0),IFERROR(MATCH(TRIM(LEFT(Tasks[[#This Row],[_Res3Text]],FIND("[",Tasks[[#This Row],[_Res3Text]]&amp;"[")-1)),res_Initials,0),0)))</f>
        <v>0</v>
      </c>
      <c r="DR168" s="43" t="n">
        <f aca="false">IF(Tasks[[#This Row],[_Res4Text]]="",0,IFERROR(MATCH(TRIM(LEFT(Tasks[[#This Row],[_Res4Text]],FIND("[",Tasks[[#This Row],[_Res4Text]]&amp;"[")-1)),res_Name,0),IFERROR(MATCH(TRIM(LEFT(Tasks[[#This Row],[_Res4Text]],FIND("[",Tasks[[#This Row],[_Res4Text]]&amp;"[")-1)),res_Initials,0),0)))</f>
        <v>0</v>
      </c>
      <c r="DS168" s="43" t="str">
        <f aca="false">IF(Tasks[[#This Row],[_Res1Text]]="","",IF(Tasks[[#This Row],[_Res1Row]]&gt;0,INDEX(res_Name,Tasks[[#This Row],[_Res1Row]]),TRIM(LEFT(Tasks[[#This Row],[_Res1Text]],FIND("[",Tasks[[#This Row],[_Res1Text]]&amp;"[")-1))))</f>
        <v/>
      </c>
      <c r="DT1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3" t="n">
        <f aca="false">IF(NOT(Tasks[[#This Row],[_IsLeaf]]=1),0,(Tasks[[#This Row],[_Resource1]]&lt;&gt;"")+(Tasks[[#This Row],[_Res2]]&lt;&gt;"")+(Tasks[[#This Row],[_Res3]]&lt;&gt;"")+(Tasks[[#This Row],[_Res4]]&lt;&gt;""))</f>
        <v>0</v>
      </c>
      <c r="DV168" s="43" t="str">
        <f aca="false">IF(Tasks[[#This Row],[_Res2Text]]="","",IF(Tasks[[#This Row],[_Res2Row]]&gt;0,INDEX(res_Name,Tasks[[#This Row],[_Res2Row]]),TRIM(LEFT(Tasks[[#This Row],[_Res2Text]],FIND("[",Tasks[[#This Row],[_Res2Text]]&amp;"[")-1))))</f>
        <v/>
      </c>
      <c r="DW1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3" t="n">
        <f aca="false">IF(OR(NOT(Tasks[[#This Row],[_IsLeaf]]=1),Tasks[[#This Row],[_Res2Row]]=0),0,N(Tasks[[#This Row],[_Days]])*HoursPerDay*IF(Tasks[[#This Row],[_Res2Units]]="",DefaultUnits,Tasks[[#This Row],[_Res2Units]]))</f>
        <v>0</v>
      </c>
      <c r="DY168" s="43" t="n">
        <f aca="false">IF(AND(AND(Tasks[[#This Row],[_IsLeaf]]=1,Tasks[[#This Row],[_LeafTotalWork]]&gt;0),Tasks[[#This Row],[_Res2Work]]&gt;0),Tasks[[#This Row],[_Res2Work]]/(Tasks[[#This Row],[_FinishWorkday]]-Tasks[[#This Row],[_StartWorkday]]+1),0)</f>
        <v>0</v>
      </c>
      <c r="DZ168" s="43" t="n">
        <f aca="false">Tasks[[#This Row],[_Res2WorkPerWD]]*MAX(0,Tasks[[#This Row],[_StartWorkday]]-1)</f>
        <v>0</v>
      </c>
      <c r="EA168" s="43" t="n">
        <f aca="false">Tasks[[#This Row],[_Res2Work]]*Tasks[[#This Row],[_LeafProgress]]</f>
        <v>0</v>
      </c>
      <c r="EB168" s="43" t="str">
        <f aca="false">IF(Tasks[[#This Row],[_Res3Text]]="","",IF(Tasks[[#This Row],[_Res3Row]]&gt;0,INDEX(res_Name,Tasks[[#This Row],[_Res3Row]]),TRIM(LEFT(Tasks[[#This Row],[_Res3Text]],FIND("[",Tasks[[#This Row],[_Res3Text]]&amp;"[")-1))))</f>
        <v/>
      </c>
      <c r="EC1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3" t="n">
        <f aca="false">IF(OR(NOT(Tasks[[#This Row],[_IsLeaf]]=1),Tasks[[#This Row],[_Res3Row]]=0),0,N(Tasks[[#This Row],[_Days]])*HoursPerDay*IF(Tasks[[#This Row],[_Res3Units]]="",DefaultUnits,Tasks[[#This Row],[_Res3Units]]))</f>
        <v>0</v>
      </c>
      <c r="EE168" s="43" t="n">
        <f aca="false">IF(AND(AND(Tasks[[#This Row],[_IsLeaf]]=1,Tasks[[#This Row],[_LeafTotalWork]]&gt;0),Tasks[[#This Row],[_Res3Work]]&gt;0),Tasks[[#This Row],[_Res3Work]]/(Tasks[[#This Row],[_FinishWorkday]]-Tasks[[#This Row],[_StartWorkday]]+1),0)</f>
        <v>0</v>
      </c>
      <c r="EF168" s="43" t="n">
        <f aca="false">Tasks[[#This Row],[_Res3WorkPerWD]]*MAX(0,Tasks[[#This Row],[_StartWorkday]]-1)</f>
        <v>0</v>
      </c>
      <c r="EG168" s="43" t="n">
        <f aca="false">Tasks[[#This Row],[_Res3Work]]*Tasks[[#This Row],[_LeafProgress]]</f>
        <v>0</v>
      </c>
      <c r="EH168" s="43" t="str">
        <f aca="false">IF(Tasks[[#This Row],[_Res4Text]]="","",IF(Tasks[[#This Row],[_Res4Row]]&gt;0,INDEX(res_Name,Tasks[[#This Row],[_Res4Row]]),TRIM(LEFT(Tasks[[#This Row],[_Res4Text]],FIND("[",Tasks[[#This Row],[_Res4Text]]&amp;"[")-1))))</f>
        <v/>
      </c>
      <c r="EI1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3" t="n">
        <f aca="false">IF(OR(NOT(Tasks[[#This Row],[_IsLeaf]]=1),Tasks[[#This Row],[_Res4Row]]=0),0,N(Tasks[[#This Row],[_Days]])*HoursPerDay*IF(Tasks[[#This Row],[_Res4Units]]="",DefaultUnits,Tasks[[#This Row],[_Res4Units]]))</f>
        <v>0</v>
      </c>
      <c r="EK168" s="43" t="n">
        <f aca="false">IF(AND(AND(Tasks[[#This Row],[_IsLeaf]]=1,Tasks[[#This Row],[_LeafTotalWork]]&gt;0),Tasks[[#This Row],[_Res4Work]]&gt;0),Tasks[[#This Row],[_Res4Work]]/(Tasks[[#This Row],[_FinishWorkday]]-Tasks[[#This Row],[_StartWorkday]]+1),0)</f>
        <v>0</v>
      </c>
      <c r="EL168" s="43" t="n">
        <f aca="false">Tasks[[#This Row],[_Res4WorkPerWD]]*MAX(0,Tasks[[#This Row],[_StartWorkday]]-1)</f>
        <v>0</v>
      </c>
      <c r="EM168" s="43" t="n">
        <f aca="false">Tasks[[#This Row],[_Res4Work]]*Tasks[[#This Row],[_LeafProgress]]</f>
        <v>0</v>
      </c>
      <c r="EN168" s="43" t="n">
        <f aca="false">IF(ISNUMBER(Tasks[[#This Row],[% Complete]]),Tasks[[#This Row],[% Complete]],IF(Tasks[[#This Row],[Stage]]="",0,IFERROR(INDEX(stg_Pct,MATCH(Tasks[[#This Row],[Stage]],stg_Name,0)),0)))</f>
        <v>0</v>
      </c>
      <c r="EO168" s="43" t="n">
        <f aca="false">IF(NOT(Tasks[[#This Row],[_IsLeaf]]=1),0,IF(N(Tasks[[#This Row],[Actual Finish]])&gt;0,1,MIN(1,Tasks[[#This Row],[_Pct]])))</f>
        <v>0</v>
      </c>
      <c r="EP168" s="43" t="n">
        <f aca="false">IF(OR(NOT(Tasks[[#This Row],[_IsLeaf]]=1),Tasks[[#This Row],[_Res1Row]]=0),0,N(Tasks[[#This Row],[_Days]])*HoursPerDay*IF(Tasks[[#This Row],[_Units1]]="",DefaultUnits,Tasks[[#This Row],[_Units1]]))</f>
        <v>0</v>
      </c>
      <c r="EQ168" s="43" t="n">
        <f aca="false">Tasks[[#This Row],[_LeafWork]]+Tasks[[#This Row],[_Res2Work]]+Tasks[[#This Row],[_Res3Work]]+Tasks[[#This Row],[_Res4Work]]</f>
        <v>0</v>
      </c>
      <c r="ER1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3" t="n">
        <f aca="false">IF(NOT(Tasks[[#This Row],[_IsLeaf]]=1),0,MAX(_xlfn.MAXIFS(Tasks[_Row],Tasks[_Pred1UID],Tasks[[#This Row],[UID]]),_xlfn.MAXIFS(Tasks[_Row],Tasks[_Pred2UID],Tasks[[#This Row],[UID]]),_xlfn.MAXIFS(Tasks[_Row],Tasks[_Pred3UID],Tasks[[#This Row],[UID]]),_xlfn.MAXIFS(Tasks[_Row],Tasks[_Pred4UID],Tasks[[#This Row],[UID]])))</f>
        <v>0</v>
      </c>
      <c r="FA1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91" t="str">
        <f aca="false">IF(NOT(Tasks[[#This Row],[_IsLeaf]]=1),"",IF(N(Tasks[[#This Row],[_Days]])&lt;=0,Tasks[[#This Row],[_LeafLateFinish]],WORKDAY.INTL(Tasks[[#This Row],[_LeafLateFinish]],-(Tasks[[#This Row],[_Days]]-1),WorkWeek,Holidays)))</f>
        <v/>
      </c>
      <c r="FD1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8" s="90" t="b">
        <f aca="false">AND(Tasks[[#This Row],[_IsLeaf]]=1,Tasks[[#This Row],[_LeafProgress]]&lt;1,N(Tasks[[#This Row],[_LeafTotalSlack]])&lt;=CriticalSlackDays)</f>
        <v>0</v>
      </c>
      <c r="FF168" s="43" t="n">
        <f aca="false">IF(AND(Tasks[[#This Row],[_IsLeaf]]=1,Tasks[[#This Row],[_ConstraintCode]]=1,Tasks[[#This Row],[Mode]]&lt;&gt;"Manual",N(Tasks[[#This Row],[Actual Start]])=0),MAX(0,N(Tasks[[#This Row],[Free Slack]])),0)</f>
        <v>0</v>
      </c>
      <c r="FG168" s="91" t="str">
        <f aca="false">IF(NOT(Tasks[[#This Row],[_IsLeaf]]=1),"",IF(Tasks[[#This Row],[_AlapShift]]=0,Tasks[[#This Row],[_LeafCalcStart]],WORKDAY.INTL(Tasks[[#This Row],[_LeafCalcStart]],Tasks[[#This Row],[_AlapShift]],WorkWeek,Holidays)))</f>
        <v/>
      </c>
      <c r="FH168" s="91" t="str">
        <f aca="false">IF(NOT(Tasks[[#This Row],[_IsLeaf]]=1),"",IF(Tasks[[#This Row],[_AlapShift]]=0,Tasks[[#This Row],[_LeafCalcFinish]],WORKDAY.INTL(Tasks[[#This Row],[_LeafCalcFinish]],Tasks[[#This Row],[_AlapShift]],WorkWeek,Holidays)))</f>
        <v/>
      </c>
      <c r="FI168" s="91" t="str">
        <f aca="false">IF(NOT(Tasks[[#This Row],[_IsLeaf]]=1),"",IF(Tasks[[#This Row],[_AlapShift]]=0,Tasks[[#This Row],[_LeafFcstStart]],WORKDAY.INTL(Tasks[[#This Row],[_LeafFcstStart]],Tasks[[#This Row],[_AlapShift]],WorkWeek,Holidays)))</f>
        <v/>
      </c>
      <c r="FJ168" s="91" t="str">
        <f aca="false">IF(NOT(Tasks[[#This Row],[_IsLeaf]]=1),"",IF(Tasks[[#This Row],[_AlapShift]]=0,Tasks[[#This Row],[_LeafFcstFinish]],WORKDAY.INTL(Tasks[[#This Row],[_LeafFcstFinish]],Tasks[[#This Row],[_AlapShift]],WorkWeek,Holidays)))</f>
        <v/>
      </c>
      <c r="FK168" s="91" t="str">
        <f aca="false">IF(Tasks[[#This Row],[Task Name]]="","",IF(Tasks[[#This Row],[_IsSummary]],MIN(INDEX(Tasks[_ShownCalcStart],Tasks[[#This Row],[_Row]]+1):INDEX(Tasks[_ShownCalcStart],Tasks[[#This Row],[_Row]]+Tasks[[#This Row],[_Descendants]])),Tasks[[#This Row],[_ShownCalcStart]]))</f>
        <v/>
      </c>
      <c r="FL168" s="91" t="str">
        <f aca="false">IF(Tasks[[#This Row],[Task Name]]="","",IF(Tasks[[#This Row],[_IsSummary]],MAX(INDEX(Tasks[_ShownCalcFinish],Tasks[[#This Row],[_Row]]+1):INDEX(Tasks[_ShownCalcFinish],Tasks[[#This Row],[_Row]]+Tasks[[#This Row],[_Descendants]])),Tasks[[#This Row],[_ShownCalcFinish]]))</f>
        <v/>
      </c>
      <c r="FM1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8" s="43" t="n">
        <f aca="false">IF(AND(Tasks[[#This Row],[_IsLeaf]]=1,Tasks[[#This Row],[_LeafTotalWork]]&gt;0),NETWORKDAYS.INTL(ProjectStart,Tasks[[#This Row],[_ShownFcstStart]],WorkWeek,Holidays),0)</f>
        <v>0</v>
      </c>
      <c r="FZ168" s="43" t="n">
        <f aca="false">IF(AND(Tasks[[#This Row],[_IsLeaf]]=1,Tasks[[#This Row],[_LeafTotalWork]]&gt;0),MAX(Tasks[[#This Row],[_StartWorkday]],NETWORKDAYS.INTL(ProjectStart,Tasks[[#This Row],[_ShownFcstFinish]],WorkWeek,Holidays)),0)</f>
        <v>0</v>
      </c>
      <c r="GA168" s="43" t="n">
        <f aca="false">IF(AND(Tasks[[#This Row],[_IsLeaf]]=1,Tasks[[#This Row],[_LeafTotalWork]]&gt;0),Tasks[[#This Row],[_LeafWork]]/(Tasks[[#This Row],[_FinishWorkday]]-Tasks[[#This Row],[_StartWorkday]]+1),0)</f>
        <v>0</v>
      </c>
      <c r="GB168" s="43" t="n">
        <f aca="false">Tasks[[#This Row],[_WorkPerWorkday]]*(Tasks[[#This Row],[_StartWorkday]]-1)</f>
        <v>-0</v>
      </c>
      <c r="GC168" s="43" t="n">
        <f aca="false">IF(Tasks[[#This Row],[_IsLeaf]]=1,MAX(N(Tasks[[#This Row],[_Days]]),0.1),0)</f>
        <v>0</v>
      </c>
      <c r="GD168" s="43" t="n">
        <f aca="false">Tasks[[#This Row],[_WeightDur]]*Tasks[[#This Row],[_LeafProgress]]</f>
        <v>0</v>
      </c>
      <c r="GE168" s="43" t="n">
        <f aca="false">Tasks[[#This Row],[_WeightDur]]*Tasks[[#This Row],[_PlannedPct]]</f>
        <v>0</v>
      </c>
      <c r="GF1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3" t="str">
        <f aca="false">IF(AND(Tasks[[#This Row],[_IsLeaf]]=1,N(Tasks[[#This Row],[_Days]])=0,Tasks[[#This Row],[_LeafProgress]]&lt;1),Tasks[[#This Row],[_ShownFcstFinish]]+Tasks[[#This Row],[_Row]]/100000,"")</f>
        <v/>
      </c>
      <c r="GH1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8" s="43" t="str">
        <f aca="false">IF(Tasks[[#This Row],[Task Name]]="","",LEFT(Tasks[[#This Row],[WBS]],FIND(".",Tasks[[#This Row],[WBS]]&amp;".")-1))</f>
        <v/>
      </c>
      <c r="GJ168" s="43" t="str">
        <f aca="false">IF(AND(Tasks[[#This Row],[Task Name]]&lt;&gt;"",Tasks[[#This Row],[_Level]]=1),Tasks[[#This Row],[_Row]],"")</f>
        <v/>
      </c>
      <c r="GK168" s="43" t="str">
        <f aca="false">IF(AND(Tasks[[#This Row],[_IsLeaf]]=1,N(Tasks[[#This Row],[_Days]])=0),Tasks[[#This Row],[Planned Finish]]+Tasks[[#This Row],[_Row]]/100000,"")</f>
        <v/>
      </c>
      <c r="GL168" s="43" t="str">
        <f aca="false">IF(AND(Tasks[[#This Row],[_IsLeaf]]=1,Tasks[[#This Row],[_LeafProgress]]&lt;1,OR(N(Tasks[[#This Row],[Finish Var]])&gt;0,Tasks[[#This Row],[Status]]="Late Start")),MAX(0,Tasks[[#This Row],[Finish Var]])+1-Tasks[[#This Row],[_Row]]/1000000,"")</f>
        <v/>
      </c>
      <c r="GM168" s="43" t="str">
        <f aca="false">IF(AND(Tasks[[#This Row],[_IsLeaf]]=1,N(Tasks[[#This Row],[Actual Start]])=0,Tasks[[#This Row],[_ShownFcstStart]]&gt;=StatusDate,Tasks[[#This Row],[_ShownFcstStart]]&lt;=LookaheadEnd),Tasks[[#This Row],[_ShownFcstStart]]+Tasks[[#This Row],[_Row]]/100000,"")</f>
        <v/>
      </c>
      <c r="GN168" s="43" t="str">
        <f aca="false">IF(AND(Tasks[[#This Row],[_IsLeaf]]=1,Tasks[[#This Row],[_LeafProgress]]&lt;1,Tasks[[#This Row],[_ShownFcstFinish]]&gt;=StatusDate,Tasks[[#This Row],[_ShownFcstFinish]]&lt;=LookaheadEnd),Tasks[[#This Row],[_ShownFcstFinish]]+Tasks[[#This Row],[_Row]]/100000,"")</f>
        <v/>
      </c>
      <c r="GO168" s="43" t="str">
        <f aca="false">IF(Tasks[[#This Row],[_LeafCritical]],Tasks[[#This Row],[_ShownFcstStart]]+Tasks[[#This Row],[_Row]]/100000,"")</f>
        <v/>
      </c>
      <c r="GP168" s="43" t="n">
        <f aca="false">Tasks[[#This Row],[_LeafWork]]*Tasks[[#This Row],[_LeafProgress]]</f>
        <v>0</v>
      </c>
      <c r="GQ168" s="91" t="str">
        <f aca="false">IF(AND(Tasks[[#This Row],[_IsLeaf]]=1,Tasks[[#This Row],[_LeafProgress]]&gt;=1),IF(N(Tasks[[#This Row],[Actual Finish]])&gt;0,Tasks[[#This Row],[Actual Finish]],Tasks[[#This Row],[_ShownFcstFinish]]),"")</f>
        <v/>
      </c>
      <c r="GR168" s="43" t="n">
        <f aca="false">IF(Tasks[[#This Row],[_IsLeaf]]=1,N(Tasks[[#This Row],[Story Points]]),0)</f>
        <v>0</v>
      </c>
      <c r="GS168" s="43" t="str">
        <f aca="false">""</f>
        <v/>
      </c>
      <c r="GT168" s="90" t="b">
        <f aca="false">IF(Tasks[[#This Row],[Task Name]]="",FALSE(),AND(Tasks[[#This Row],[_IsLeaf]]=1,N(Tasks[[#This Row],[_Days]])=0))</f>
        <v>0</v>
      </c>
      <c r="GU168" s="91" t="n">
        <f aca="false">IF(Tasks[[#This Row],[Task Name]]="",0,IF(AND(Tasks[[#This Row],[_IsLeaf]]=1,NOT(Tasks[[#This Row],[_IsMilestone]]),N(Tasks[[#This Row],[Progress]])&gt;0),Tasks[[#This Row],[Start]],0))</f>
        <v>0</v>
      </c>
      <c r="GV168" s="91" t="n">
        <f aca="false">IF(Tasks[[#This Row],[_DoneFrom]]=0,0,IF(Tasks[[#This Row],[Progress]]&gt;=1,Tasks[[#This Row],[Finish]],MAX(Tasks[[#This Row],[_DoneFrom]],Tasks[[#This Row],[Start]]+ROUND((Tasks[[#This Row],[Finish]]-Tasks[[#This Row],[Start]]+1)*Tasks[[#This Row],[Progress]],0)-1)))</f>
        <v>0</v>
      </c>
      <c r="GW168" s="91" t="n">
        <f aca="false">IF(Tasks[[#This Row],[Task Name]]="",0,IF(OR(NOT(Tasks[[#This Row],[_IsLeaf]]=1),Tasks[[#This Row],[_IsMilestone]],N(Tasks[[#This Row],[Progress]])&gt;=1),0,IF(Tasks[[#This Row],[_DoneTo]]&gt;0,Tasks[[#This Row],[_DoneTo]]+1,Tasks[[#This Row],[Start]])))</f>
        <v>0</v>
      </c>
      <c r="GX168" s="91" t="n">
        <f aca="false">IF(Tasks[[#This Row],[_RemFrom]]=0,0,Tasks[[#This Row],[Finish]])</f>
        <v>0</v>
      </c>
      <c r="GY168" s="90" t="b">
        <f aca="false">IF(Tasks[[#This Row],[Task Name]]="",FALSE(),OR(NOT(BaselineSet),N(Tasks[[#This Row],[Baseline Start]])&gt;0))</f>
        <v>0</v>
      </c>
      <c r="GZ16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92" t="str">
        <f aca="false">IF(Tasks[[#This Row],[_IsLeaf]]=1,Tasks[[#This Row],[_Row]],"")</f>
        <v/>
      </c>
      <c r="HD168" s="92" t="str">
        <f aca="false">IFERROR(INDEX(Tasks[UID],SMALL(Tasks[_PickKey],Tasks[[#This Row],[_Row]]))&amp;" "&amp;INDEX(Tasks[Task Name],SMALL(Tasks[_PickKey],Tasks[[#This Row],[_Row]])),"")</f>
        <v/>
      </c>
      <c r="HE168" s="43" t="str">
        <f aca="false">IF(Tasks[[#This Row],[Task Name]]="","",IF(Tasks[[#This Row],[_IsSummary]],NETWORKDAYS.INTL(Tasks[[#This Row],[Start]],Tasks[[#This Row],[Finish]],WorkWeek,Holidays),N(Tasks[[#This Row],[_Days]])))</f>
        <v/>
      </c>
      <c r="HF168" s="43" t="n">
        <f aca="false">IF(Tasks[[#This Row],[Expected]]="",0,((Tasks[[#This Row],[Pessimistic]]-Tasks[[#This Row],[Optimistic]])/6)^2)</f>
        <v>0</v>
      </c>
      <c r="HG168" s="43" t="n">
        <f aca="false">IF(Tasks[[#This Row],[Expected]]="",0,Tasks[[#This Row],[Expected]]-N(Tasks[[#This Row],[_Days]]))</f>
        <v>0</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4"/>
      <c r="U169" s="23"/>
      <c r="V169" s="84"/>
      <c r="W169" s="23"/>
      <c r="X169" s="84"/>
      <c r="Y169" s="23"/>
      <c r="Z169" s="84"/>
      <c r="AA169" s="23"/>
      <c r="AB169" s="23"/>
      <c r="AC169" s="7"/>
      <c r="AD169" s="7"/>
      <c r="AE169" s="63" t="str">
        <f aca="false">IF(Tasks[[#This Row],[Task Name]]="","",IF(Tasks[[#This Row],[_IsSummary]],MIN(INDEX(Tasks[_ShownFcstStart],Tasks[[#This Row],[_Row]]+1):INDEX(Tasks[_ShownFcstStart],Tasks[[#This Row],[_Row]]+Tasks[[#This Row],[_Descendants]])),Tasks[[#This Row],[_ShownFcstStart]]))</f>
        <v/>
      </c>
      <c r="AF169" s="63"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9" s="7"/>
      <c r="AK169" s="22"/>
      <c r="AL169" s="23"/>
      <c r="AM169" s="7"/>
      <c r="AN169" s="47"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3" t="str">
        <f aca="false">IF(Tasks[[#This Row],[Task Name]]="","",IF(N(Tasks[[#This Row],[Baseline Start]])&gt;0,Tasks[[#This Row],[Baseline Start]],Tasks[[#This Row],[_CalcStart]]))</f>
        <v/>
      </c>
      <c r="AR169" s="63" t="str">
        <f aca="false">IF(Tasks[[#This Row],[Task Name]]="","",IF(N(Tasks[[#This Row],[Baseline Finish]])&gt;0,Tasks[[#This Row],[Baseline Finish]],Tasks[[#This Row],[_CalcFinish]]))</f>
        <v/>
      </c>
      <c r="AS169" s="47" t="str">
        <f aca="false">IF(Tasks[[#This Row],[Task Name]]="","",IF(Tasks[[#This Row],[Start]]&gt;=Tasks[[#This Row],[Planned Start]],NETWORKDAYS.INTL(Tasks[[#This Row],[Planned Start]],Tasks[[#This Row],[Start]],WorkWeek,Holidays)-1,1-NETWORKDAYS.INTL(Tasks[[#This Row],[Start]],Tasks[[#This Row],[Planned Start]],WorkWeek,Holidays)))</f>
        <v/>
      </c>
      <c r="AT169" s="63" t="str">
        <f aca="false">IF(Tasks[[#This Row],[Task Name]]="","",IF(Tasks[[#This Row],[_IsSummary]],MIN(INDEX(Tasks[_LeafLateStart],Tasks[[#This Row],[_Row]]+1):INDEX(Tasks[_LeafLateStart],Tasks[[#This Row],[_Row]]+Tasks[[#This Row],[_Descendants]])),Tasks[[#This Row],[_LeafLateStart]]))</f>
        <v/>
      </c>
      <c r="AU169" s="63" t="str">
        <f aca="false">IF(Tasks[[#This Row],[Task Name]]="","",IF(Tasks[[#This Row],[_IsSummary]],MAX(INDEX(Tasks[_LeafLateFinish],Tasks[[#This Row],[_Row]]+1):INDEX(Tasks[_LeafLateFinish],Tasks[[#This Row],[_Row]]+Tasks[[#This Row],[_Descendants]])),Tasks[[#This Row],[_LeafLateFinish]]))</f>
        <v/>
      </c>
      <c r="AV169" s="47"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5"/>
      <c r="BA1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6"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7"/>
      <c r="BJ169" s="22"/>
      <c r="BK169" s="47" t="str">
        <f aca="false">IF(OR(Tasks[[#This Row],[Task Name]]="",Tasks[[#This Row],[Baseline Duration]]=""),"",Tasks[[#This Row],[_SpanDays]]-N(Tasks[[#This Row],[Baseline Duration]]))</f>
        <v/>
      </c>
      <c r="BL169" s="86" t="str">
        <f aca="false">IF(OR(Tasks[[#This Row],[Task Name]]="",Tasks[[#This Row],[Baseline Work]]=""),"",Tasks[[#This Row],[Work]]-N(Tasks[[#This Row],[Baseline Work]]))</f>
        <v/>
      </c>
      <c r="BM169" s="63" t="str">
        <f aca="false">IF(Tasks[[#This Row],[Task Name]]="","",IF(OR(TakeBaseline="Yes",N(Tasks[[#This Row],[Baseline Start]])=0),Tasks[[#This Row],[Start]],Tasks[[#This Row],[Baseline Start]]))</f>
        <v/>
      </c>
      <c r="BN169" s="63" t="str">
        <f aca="false">IF(Tasks[[#This Row],[Task Name]]="","",IF(OR(TakeBaseline="Yes",N(Tasks[[#This Row],[Baseline Finish]])=0),Tasks[[#This Row],[Finish]],Tasks[[#This Row],[Baseline Finish]]))</f>
        <v/>
      </c>
      <c r="BO169" s="21" t="str">
        <f aca="false">IF(Tasks[[#This Row],[Task Name]]="","",IF(OR(TakeBaseline="Yes",N(Tasks[[#This Row],[Baseline Duration]])=0),Tasks[[#This Row],[_SpanDays]],Tasks[[#This Row],[Baseline Duration]]))</f>
        <v/>
      </c>
      <c r="BP169" s="86" t="str">
        <f aca="false">IF(Tasks[[#This Row],[Task Name]]="","",IF(OR(TakeBaseline="Yes",N(Tasks[[#This Row],[Baseline Work]])=0),Tasks[[#This Row],[Work]],Tasks[[#This Row],[Baseline Work]]))</f>
        <v/>
      </c>
      <c r="BQ169" s="7"/>
      <c r="BR169" s="7"/>
      <c r="BS169" s="22"/>
      <c r="BT169" s="88"/>
      <c r="BU169" s="23"/>
      <c r="BV169" s="23"/>
      <c r="BW169" s="23"/>
      <c r="BX169" s="89" t="str">
        <f aca="false">IF(AND(Tasks[[#This Row],[_IsLeaf]]=1,ISNUMBER(Tasks[[#This Row],[Optimistic]]),ISNUMBER(Tasks[[#This Row],[Pessimistic]])),ROUND((Tasks[[#This Row],[Optimistic]]+4*N(Tasks[[#This Row],[_Days]])+Tasks[[#This Row],[Pessimistic]])/6,1),"")</f>
        <v/>
      </c>
      <c r="BY169" s="87"/>
      <c r="BZ169" s="87"/>
      <c r="CA169" s="22"/>
      <c r="CB169" s="43" t="str">
        <f aca="false">IF(Tasks[[#This Row],[Task Name]]="","",MAX(1,N(Tasks[[#This Row],[Level]])))</f>
        <v/>
      </c>
      <c r="CC169" s="43" t="n">
        <f aca="false">ROW()-ROW(Tasks[[#Headers],[ID]])</f>
        <v>164</v>
      </c>
      <c r="CD169" s="43" t="n">
        <f aca="false">IF(OR(Tasks[[#This Row],[Task Name]]="",Tasks[[#This Row],[_Level]]&lt;=1),0,IFERROR(LOOKUP(2,1/(Tasks[[#Headers],[_Level]]:Tasks[[#This Row],[_Level]]=Tasks[[#This Row],[_Level]]-1),ROW(Tasks[[#Headers],[_Level]]:Tasks[[#This Row],[_Level]])),0))</f>
        <v>0</v>
      </c>
      <c r="CE169" s="43" t="n">
        <f aca="false">IFERROR(N(INDEX(Tasks[_Level],Tasks[[#This Row],[_Row]]+1)),0)</f>
        <v>0</v>
      </c>
      <c r="CF169" s="90" t="b">
        <f aca="false">AND(Tasks[[#This Row],[Task Name]]&lt;&gt;"",Tasks[[#This Row],[_NextLevel]]&gt;Tasks[[#This Row],[_Level]])</f>
        <v>0</v>
      </c>
      <c r="CG169" s="43" t="n">
        <f aca="false">IF(Tasks[[#This Row],[_IsSummary]],COUNTIF(Tasks[WBS],Tasks[[#This Row],[WBS]]&amp;".*"),0)</f>
        <v>0</v>
      </c>
      <c r="CH169" s="43" t="n">
        <f aca="false">IF(AND(Tasks[[#This Row],[Task Name]]&lt;&gt;"",NOT(Tasks[[#This Row],[_IsSummary]])),1,0)</f>
        <v>0</v>
      </c>
      <c r="CI169" s="43" t="n">
        <f aca="false">IF(N(Tasks[[#This Row],[_Pred1UID]])=0,0,IFERROR(MATCH(Tasks[[#This Row],[_Pred1UID]],Tasks[UID],0),-1))</f>
        <v>0</v>
      </c>
      <c r="CJ169" s="43" t="n">
        <f aca="false">IF(N(Tasks[[#This Row],[_Pred2UID]])=0,0,IFERROR(MATCH(Tasks[[#This Row],[_Pred2UID]],Tasks[UID],0),-1))</f>
        <v>0</v>
      </c>
      <c r="CK169" s="43" t="n">
        <f aca="false">IF(N(Tasks[[#This Row],[_Pred3UID]])=0,0,IFERROR(MATCH(Tasks[[#This Row],[_Pred3UID]],Tasks[UID],0),-1))</f>
        <v>0</v>
      </c>
      <c r="CL169" s="43" t="n">
        <f aca="false">IF(N(Tasks[[#This Row],[_Pred4UID]])=0,0,IFERROR(MATCH(Tasks[[#This Row],[_Pred4UID]],Tasks[UID],0),-1))</f>
        <v>0</v>
      </c>
      <c r="CM1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9" s="91" t="n">
        <f aca="false">IF(OR(Tasks[[#This Row],[_ConstraintCode]]=2,Tasks[[#This Row],[_ConstraintCode]]=3,Tasks[[#This Row],[_ConstraintCode]]=4,Tasks[[#This Row],[_ConstraintCode]]=6),Tasks[[#This Row],[_ConstraintStart]],0)</f>
        <v>0</v>
      </c>
      <c r="CP169" s="91" t="n">
        <f aca="false">IF(OR(Tasks[[#This Row],[_ConstraintCode]]=2,Tasks[[#This Row],[_ConstraintCode]]=3,Tasks[[#This Row],[_ConstraintCode]]=5,Tasks[[#This Row],[_ConstraintCode]]=7),Tasks[[#This Row],[_ConstraintStart]],2958465)</f>
        <v>2958465</v>
      </c>
      <c r="CQ1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91" t="str">
        <f aca="false">IF(NOT(Tasks[[#This Row],[_IsLeaf]]=1),"",IF(N(Tasks[[#This Row],[_Days]])&lt;=0,Tasks[[#This Row],[_LeafCalcStart]],WORKDAY.INTL(Tasks[[#This Row],[_LeafCalcStart]],Tasks[[#This Row],[_Days]]-1,WorkWeek,Holidays)))</f>
        <v/>
      </c>
      <c r="CS1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3" t="str">
        <f aca="false">IF(Tasks[[#This Row],[_Predecessors]]="","",TRIM(MID(SUBSTITUTE(SUBSTITUTE(SUBSTITUTE(UPPER(Tasks[[#This Row],[_Predecessors]]),";",",")," ",""),",",REPT(" ",99)),1,99)))</f>
        <v/>
      </c>
      <c r="CV169" s="43" t="str">
        <f aca="false">IF(Tasks[[#This Row],[_Pred1Text]]="","",IFERROR(VALUE(LEFT(Tasks[[#This Row],[_Pred1Text]],MIN(FIND("F",Tasks[[#This Row],[_Pred1Text]]&amp;"F"),FIND("S",Tasks[[#This Row],[_Pred1Text]]&amp;"S"),FIND("+",Tasks[[#This Row],[_Pred1Text]]&amp;"+"),FIND("-",Tasks[[#This Row],[_Pred1Text]]&amp;"-"))-1)),""))</f>
        <v/>
      </c>
      <c r="CW1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3" t="str">
        <f aca="false">IF(Tasks[[#This Row],[_Pred1Text]]="","",TRIM(MID(SUBSTITUTE(SUBSTITUTE(SUBSTITUTE(UPPER(Tasks[[#This Row],[_Predecessors]]),";",",")," ",""),",",REPT(" ",99)),100,99)))</f>
        <v/>
      </c>
      <c r="CZ169" s="43" t="str">
        <f aca="false">IF(Tasks[[#This Row],[_Pred2Text]]="","",IFERROR(VALUE(LEFT(Tasks[[#This Row],[_Pred2Text]],MIN(FIND("F",Tasks[[#This Row],[_Pred2Text]]&amp;"F"),FIND("S",Tasks[[#This Row],[_Pred2Text]]&amp;"S"),FIND("+",Tasks[[#This Row],[_Pred2Text]]&amp;"+"),FIND("-",Tasks[[#This Row],[_Pred2Text]]&amp;"-"))-1)),""))</f>
        <v/>
      </c>
      <c r="DA1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3" t="str">
        <f aca="false">IF(Tasks[[#This Row],[_Pred2Text]]="","",TRIM(MID(SUBSTITUTE(SUBSTITUTE(SUBSTITUTE(UPPER(Tasks[[#This Row],[_Predecessors]]),";",",")," ",""),",",REPT(" ",99)),199,99)))</f>
        <v/>
      </c>
      <c r="DD169" s="43" t="str">
        <f aca="false">IF(Tasks[[#This Row],[_Pred3Text]]="","",IFERROR(VALUE(LEFT(Tasks[[#This Row],[_Pred3Text]],MIN(FIND("F",Tasks[[#This Row],[_Pred3Text]]&amp;"F"),FIND("S",Tasks[[#This Row],[_Pred3Text]]&amp;"S"),FIND("+",Tasks[[#This Row],[_Pred3Text]]&amp;"+"),FIND("-",Tasks[[#This Row],[_Pred3Text]]&amp;"-"))-1)),""))</f>
        <v/>
      </c>
      <c r="DE1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3" t="str">
        <f aca="false">IF(Tasks[[#This Row],[_Pred3Text]]="","",TRIM(MID(SUBSTITUTE(SUBSTITUTE(SUBSTITUTE(UPPER(Tasks[[#This Row],[_Predecessors]]),";",",")," ",""),",",REPT(" ",99)),298,99)))</f>
        <v/>
      </c>
      <c r="DH169" s="43" t="str">
        <f aca="false">IF(Tasks[[#This Row],[_Pred4Text]]="","",IFERROR(VALUE(LEFT(Tasks[[#This Row],[_Pred4Text]],MIN(FIND("F",Tasks[[#This Row],[_Pred4Text]]&amp;"F"),FIND("S",Tasks[[#This Row],[_Pred4Text]]&amp;"S"),FIND("+",Tasks[[#This Row],[_Pred4Text]]&amp;"+"),FIND("-",Tasks[[#This Row],[_Pred4Text]]&amp;"-"))-1)),""))</f>
        <v/>
      </c>
      <c r="DI1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3" t="str">
        <f aca="false">IF(OR(Tasks[[#This Row],[Task Name]]="",Tasks[[#This Row],[_Resources]]=""),"",TRIM(MID(SUBSTITUTE(Tasks[[#This Row],[_Resources]],",",REPT(" ",99)),1,99)))</f>
        <v/>
      </c>
      <c r="DL169" s="43" t="str">
        <f aca="false">IF(Tasks[[#This Row],[_Res1Text]]="","",TRIM(MID(SUBSTITUTE(Tasks[[#This Row],[_Resources]],",",REPT(" ",99)),100,99)))</f>
        <v/>
      </c>
      <c r="DM169" s="43" t="str">
        <f aca="false">IF(Tasks[[#This Row],[_Res2Text]]="","",TRIM(MID(SUBSTITUTE(Tasks[[#This Row],[_Resources]],",",REPT(" ",99)),199,99)))</f>
        <v/>
      </c>
      <c r="DN169" s="43" t="str">
        <f aca="false">IF(Tasks[[#This Row],[_Res3Text]]="","",TRIM(MID(SUBSTITUTE(Tasks[[#This Row],[_Resources]],",",REPT(" ",99)),298,99)))</f>
        <v/>
      </c>
      <c r="DO169" s="43" t="n">
        <f aca="false">IF(Tasks[[#This Row],[_Res1Text]]="",0,IFERROR(MATCH(TRIM(LEFT(Tasks[[#This Row],[_Res1Text]],FIND("[",Tasks[[#This Row],[_Res1Text]]&amp;"[")-1)),res_Name,0),IFERROR(MATCH(TRIM(LEFT(Tasks[[#This Row],[_Res1Text]],FIND("[",Tasks[[#This Row],[_Res1Text]]&amp;"[")-1)),res_Initials,0),0)))</f>
        <v>0</v>
      </c>
      <c r="DP169" s="43" t="n">
        <f aca="false">IF(Tasks[[#This Row],[_Res2Text]]="",0,IFERROR(MATCH(TRIM(LEFT(Tasks[[#This Row],[_Res2Text]],FIND("[",Tasks[[#This Row],[_Res2Text]]&amp;"[")-1)),res_Name,0),IFERROR(MATCH(TRIM(LEFT(Tasks[[#This Row],[_Res2Text]],FIND("[",Tasks[[#This Row],[_Res2Text]]&amp;"[")-1)),res_Initials,0),0)))</f>
        <v>0</v>
      </c>
      <c r="DQ169" s="43" t="n">
        <f aca="false">IF(Tasks[[#This Row],[_Res3Text]]="",0,IFERROR(MATCH(TRIM(LEFT(Tasks[[#This Row],[_Res3Text]],FIND("[",Tasks[[#This Row],[_Res3Text]]&amp;"[")-1)),res_Name,0),IFERROR(MATCH(TRIM(LEFT(Tasks[[#This Row],[_Res3Text]],FIND("[",Tasks[[#This Row],[_Res3Text]]&amp;"[")-1)),res_Initials,0),0)))</f>
        <v>0</v>
      </c>
      <c r="DR169" s="43" t="n">
        <f aca="false">IF(Tasks[[#This Row],[_Res4Text]]="",0,IFERROR(MATCH(TRIM(LEFT(Tasks[[#This Row],[_Res4Text]],FIND("[",Tasks[[#This Row],[_Res4Text]]&amp;"[")-1)),res_Name,0),IFERROR(MATCH(TRIM(LEFT(Tasks[[#This Row],[_Res4Text]],FIND("[",Tasks[[#This Row],[_Res4Text]]&amp;"[")-1)),res_Initials,0),0)))</f>
        <v>0</v>
      </c>
      <c r="DS169" s="43" t="str">
        <f aca="false">IF(Tasks[[#This Row],[_Res1Text]]="","",IF(Tasks[[#This Row],[_Res1Row]]&gt;0,INDEX(res_Name,Tasks[[#This Row],[_Res1Row]]),TRIM(LEFT(Tasks[[#This Row],[_Res1Text]],FIND("[",Tasks[[#This Row],[_Res1Text]]&amp;"[")-1))))</f>
        <v/>
      </c>
      <c r="DT1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3" t="n">
        <f aca="false">IF(NOT(Tasks[[#This Row],[_IsLeaf]]=1),0,(Tasks[[#This Row],[_Resource1]]&lt;&gt;"")+(Tasks[[#This Row],[_Res2]]&lt;&gt;"")+(Tasks[[#This Row],[_Res3]]&lt;&gt;"")+(Tasks[[#This Row],[_Res4]]&lt;&gt;""))</f>
        <v>0</v>
      </c>
      <c r="DV169" s="43" t="str">
        <f aca="false">IF(Tasks[[#This Row],[_Res2Text]]="","",IF(Tasks[[#This Row],[_Res2Row]]&gt;0,INDEX(res_Name,Tasks[[#This Row],[_Res2Row]]),TRIM(LEFT(Tasks[[#This Row],[_Res2Text]],FIND("[",Tasks[[#This Row],[_Res2Text]]&amp;"[")-1))))</f>
        <v/>
      </c>
      <c r="DW1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3" t="n">
        <f aca="false">IF(OR(NOT(Tasks[[#This Row],[_IsLeaf]]=1),Tasks[[#This Row],[_Res2Row]]=0),0,N(Tasks[[#This Row],[_Days]])*HoursPerDay*IF(Tasks[[#This Row],[_Res2Units]]="",DefaultUnits,Tasks[[#This Row],[_Res2Units]]))</f>
        <v>0</v>
      </c>
      <c r="DY169" s="43" t="n">
        <f aca="false">IF(AND(AND(Tasks[[#This Row],[_IsLeaf]]=1,Tasks[[#This Row],[_LeafTotalWork]]&gt;0),Tasks[[#This Row],[_Res2Work]]&gt;0),Tasks[[#This Row],[_Res2Work]]/(Tasks[[#This Row],[_FinishWorkday]]-Tasks[[#This Row],[_StartWorkday]]+1),0)</f>
        <v>0</v>
      </c>
      <c r="DZ169" s="43" t="n">
        <f aca="false">Tasks[[#This Row],[_Res2WorkPerWD]]*MAX(0,Tasks[[#This Row],[_StartWorkday]]-1)</f>
        <v>0</v>
      </c>
      <c r="EA169" s="43" t="n">
        <f aca="false">Tasks[[#This Row],[_Res2Work]]*Tasks[[#This Row],[_LeafProgress]]</f>
        <v>0</v>
      </c>
      <c r="EB169" s="43" t="str">
        <f aca="false">IF(Tasks[[#This Row],[_Res3Text]]="","",IF(Tasks[[#This Row],[_Res3Row]]&gt;0,INDEX(res_Name,Tasks[[#This Row],[_Res3Row]]),TRIM(LEFT(Tasks[[#This Row],[_Res3Text]],FIND("[",Tasks[[#This Row],[_Res3Text]]&amp;"[")-1))))</f>
        <v/>
      </c>
      <c r="EC1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3" t="n">
        <f aca="false">IF(OR(NOT(Tasks[[#This Row],[_IsLeaf]]=1),Tasks[[#This Row],[_Res3Row]]=0),0,N(Tasks[[#This Row],[_Days]])*HoursPerDay*IF(Tasks[[#This Row],[_Res3Units]]="",DefaultUnits,Tasks[[#This Row],[_Res3Units]]))</f>
        <v>0</v>
      </c>
      <c r="EE169" s="43" t="n">
        <f aca="false">IF(AND(AND(Tasks[[#This Row],[_IsLeaf]]=1,Tasks[[#This Row],[_LeafTotalWork]]&gt;0),Tasks[[#This Row],[_Res3Work]]&gt;0),Tasks[[#This Row],[_Res3Work]]/(Tasks[[#This Row],[_FinishWorkday]]-Tasks[[#This Row],[_StartWorkday]]+1),0)</f>
        <v>0</v>
      </c>
      <c r="EF169" s="43" t="n">
        <f aca="false">Tasks[[#This Row],[_Res3WorkPerWD]]*MAX(0,Tasks[[#This Row],[_StartWorkday]]-1)</f>
        <v>0</v>
      </c>
      <c r="EG169" s="43" t="n">
        <f aca="false">Tasks[[#This Row],[_Res3Work]]*Tasks[[#This Row],[_LeafProgress]]</f>
        <v>0</v>
      </c>
      <c r="EH169" s="43" t="str">
        <f aca="false">IF(Tasks[[#This Row],[_Res4Text]]="","",IF(Tasks[[#This Row],[_Res4Row]]&gt;0,INDEX(res_Name,Tasks[[#This Row],[_Res4Row]]),TRIM(LEFT(Tasks[[#This Row],[_Res4Text]],FIND("[",Tasks[[#This Row],[_Res4Text]]&amp;"[")-1))))</f>
        <v/>
      </c>
      <c r="EI1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3" t="n">
        <f aca="false">IF(OR(NOT(Tasks[[#This Row],[_IsLeaf]]=1),Tasks[[#This Row],[_Res4Row]]=0),0,N(Tasks[[#This Row],[_Days]])*HoursPerDay*IF(Tasks[[#This Row],[_Res4Units]]="",DefaultUnits,Tasks[[#This Row],[_Res4Units]]))</f>
        <v>0</v>
      </c>
      <c r="EK169" s="43" t="n">
        <f aca="false">IF(AND(AND(Tasks[[#This Row],[_IsLeaf]]=1,Tasks[[#This Row],[_LeafTotalWork]]&gt;0),Tasks[[#This Row],[_Res4Work]]&gt;0),Tasks[[#This Row],[_Res4Work]]/(Tasks[[#This Row],[_FinishWorkday]]-Tasks[[#This Row],[_StartWorkday]]+1),0)</f>
        <v>0</v>
      </c>
      <c r="EL169" s="43" t="n">
        <f aca="false">Tasks[[#This Row],[_Res4WorkPerWD]]*MAX(0,Tasks[[#This Row],[_StartWorkday]]-1)</f>
        <v>0</v>
      </c>
      <c r="EM169" s="43" t="n">
        <f aca="false">Tasks[[#This Row],[_Res4Work]]*Tasks[[#This Row],[_LeafProgress]]</f>
        <v>0</v>
      </c>
      <c r="EN169" s="43" t="n">
        <f aca="false">IF(ISNUMBER(Tasks[[#This Row],[% Complete]]),Tasks[[#This Row],[% Complete]],IF(Tasks[[#This Row],[Stage]]="",0,IFERROR(INDEX(stg_Pct,MATCH(Tasks[[#This Row],[Stage]],stg_Name,0)),0)))</f>
        <v>0</v>
      </c>
      <c r="EO169" s="43" t="n">
        <f aca="false">IF(NOT(Tasks[[#This Row],[_IsLeaf]]=1),0,IF(N(Tasks[[#This Row],[Actual Finish]])&gt;0,1,MIN(1,Tasks[[#This Row],[_Pct]])))</f>
        <v>0</v>
      </c>
      <c r="EP169" s="43" t="n">
        <f aca="false">IF(OR(NOT(Tasks[[#This Row],[_IsLeaf]]=1),Tasks[[#This Row],[_Res1Row]]=0),0,N(Tasks[[#This Row],[_Days]])*HoursPerDay*IF(Tasks[[#This Row],[_Units1]]="",DefaultUnits,Tasks[[#This Row],[_Units1]]))</f>
        <v>0</v>
      </c>
      <c r="EQ169" s="43" t="n">
        <f aca="false">Tasks[[#This Row],[_LeafWork]]+Tasks[[#This Row],[_Res2Work]]+Tasks[[#This Row],[_Res3Work]]+Tasks[[#This Row],[_Res4Work]]</f>
        <v>0</v>
      </c>
      <c r="ER1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3" t="n">
        <f aca="false">IF(NOT(Tasks[[#This Row],[_IsLeaf]]=1),0,MAX(_xlfn.MAXIFS(Tasks[_Row],Tasks[_Pred1UID],Tasks[[#This Row],[UID]]),_xlfn.MAXIFS(Tasks[_Row],Tasks[_Pred2UID],Tasks[[#This Row],[UID]]),_xlfn.MAXIFS(Tasks[_Row],Tasks[_Pred3UID],Tasks[[#This Row],[UID]]),_xlfn.MAXIFS(Tasks[_Row],Tasks[_Pred4UID],Tasks[[#This Row],[UID]])))</f>
        <v>0</v>
      </c>
      <c r="FA1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91" t="str">
        <f aca="false">IF(NOT(Tasks[[#This Row],[_IsLeaf]]=1),"",IF(N(Tasks[[#This Row],[_Days]])&lt;=0,Tasks[[#This Row],[_LeafLateFinish]],WORKDAY.INTL(Tasks[[#This Row],[_LeafLateFinish]],-(Tasks[[#This Row],[_Days]]-1),WorkWeek,Holidays)))</f>
        <v/>
      </c>
      <c r="FD1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9" s="90" t="b">
        <f aca="false">AND(Tasks[[#This Row],[_IsLeaf]]=1,Tasks[[#This Row],[_LeafProgress]]&lt;1,N(Tasks[[#This Row],[_LeafTotalSlack]])&lt;=CriticalSlackDays)</f>
        <v>0</v>
      </c>
      <c r="FF169" s="43" t="n">
        <f aca="false">IF(AND(Tasks[[#This Row],[_IsLeaf]]=1,Tasks[[#This Row],[_ConstraintCode]]=1,Tasks[[#This Row],[Mode]]&lt;&gt;"Manual",N(Tasks[[#This Row],[Actual Start]])=0),MAX(0,N(Tasks[[#This Row],[Free Slack]])),0)</f>
        <v>0</v>
      </c>
      <c r="FG169" s="91" t="str">
        <f aca="false">IF(NOT(Tasks[[#This Row],[_IsLeaf]]=1),"",IF(Tasks[[#This Row],[_AlapShift]]=0,Tasks[[#This Row],[_LeafCalcStart]],WORKDAY.INTL(Tasks[[#This Row],[_LeafCalcStart]],Tasks[[#This Row],[_AlapShift]],WorkWeek,Holidays)))</f>
        <v/>
      </c>
      <c r="FH169" s="91" t="str">
        <f aca="false">IF(NOT(Tasks[[#This Row],[_IsLeaf]]=1),"",IF(Tasks[[#This Row],[_AlapShift]]=0,Tasks[[#This Row],[_LeafCalcFinish]],WORKDAY.INTL(Tasks[[#This Row],[_LeafCalcFinish]],Tasks[[#This Row],[_AlapShift]],WorkWeek,Holidays)))</f>
        <v/>
      </c>
      <c r="FI169" s="91" t="str">
        <f aca="false">IF(NOT(Tasks[[#This Row],[_IsLeaf]]=1),"",IF(Tasks[[#This Row],[_AlapShift]]=0,Tasks[[#This Row],[_LeafFcstStart]],WORKDAY.INTL(Tasks[[#This Row],[_LeafFcstStart]],Tasks[[#This Row],[_AlapShift]],WorkWeek,Holidays)))</f>
        <v/>
      </c>
      <c r="FJ169" s="91" t="str">
        <f aca="false">IF(NOT(Tasks[[#This Row],[_IsLeaf]]=1),"",IF(Tasks[[#This Row],[_AlapShift]]=0,Tasks[[#This Row],[_LeafFcstFinish]],WORKDAY.INTL(Tasks[[#This Row],[_LeafFcstFinish]],Tasks[[#This Row],[_AlapShift]],WorkWeek,Holidays)))</f>
        <v/>
      </c>
      <c r="FK169" s="91" t="str">
        <f aca="false">IF(Tasks[[#This Row],[Task Name]]="","",IF(Tasks[[#This Row],[_IsSummary]],MIN(INDEX(Tasks[_ShownCalcStart],Tasks[[#This Row],[_Row]]+1):INDEX(Tasks[_ShownCalcStart],Tasks[[#This Row],[_Row]]+Tasks[[#This Row],[_Descendants]])),Tasks[[#This Row],[_ShownCalcStart]]))</f>
        <v/>
      </c>
      <c r="FL169" s="91" t="str">
        <f aca="false">IF(Tasks[[#This Row],[Task Name]]="","",IF(Tasks[[#This Row],[_IsSummary]],MAX(INDEX(Tasks[_ShownCalcFinish],Tasks[[#This Row],[_Row]]+1):INDEX(Tasks[_ShownCalcFinish],Tasks[[#This Row],[_Row]]+Tasks[[#This Row],[_Descendants]])),Tasks[[#This Row],[_ShownCalcFinish]]))</f>
        <v/>
      </c>
      <c r="FM1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9" s="43" t="n">
        <f aca="false">IF(AND(Tasks[[#This Row],[_IsLeaf]]=1,Tasks[[#This Row],[_LeafTotalWork]]&gt;0),NETWORKDAYS.INTL(ProjectStart,Tasks[[#This Row],[_ShownFcstStart]],WorkWeek,Holidays),0)</f>
        <v>0</v>
      </c>
      <c r="FZ169" s="43" t="n">
        <f aca="false">IF(AND(Tasks[[#This Row],[_IsLeaf]]=1,Tasks[[#This Row],[_LeafTotalWork]]&gt;0),MAX(Tasks[[#This Row],[_StartWorkday]],NETWORKDAYS.INTL(ProjectStart,Tasks[[#This Row],[_ShownFcstFinish]],WorkWeek,Holidays)),0)</f>
        <v>0</v>
      </c>
      <c r="GA169" s="43" t="n">
        <f aca="false">IF(AND(Tasks[[#This Row],[_IsLeaf]]=1,Tasks[[#This Row],[_LeafTotalWork]]&gt;0),Tasks[[#This Row],[_LeafWork]]/(Tasks[[#This Row],[_FinishWorkday]]-Tasks[[#This Row],[_StartWorkday]]+1),0)</f>
        <v>0</v>
      </c>
      <c r="GB169" s="43" t="n">
        <f aca="false">Tasks[[#This Row],[_WorkPerWorkday]]*(Tasks[[#This Row],[_StartWorkday]]-1)</f>
        <v>-0</v>
      </c>
      <c r="GC169" s="43" t="n">
        <f aca="false">IF(Tasks[[#This Row],[_IsLeaf]]=1,MAX(N(Tasks[[#This Row],[_Days]]),0.1),0)</f>
        <v>0</v>
      </c>
      <c r="GD169" s="43" t="n">
        <f aca="false">Tasks[[#This Row],[_WeightDur]]*Tasks[[#This Row],[_LeafProgress]]</f>
        <v>0</v>
      </c>
      <c r="GE169" s="43" t="n">
        <f aca="false">Tasks[[#This Row],[_WeightDur]]*Tasks[[#This Row],[_PlannedPct]]</f>
        <v>0</v>
      </c>
      <c r="GF1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3" t="str">
        <f aca="false">IF(AND(Tasks[[#This Row],[_IsLeaf]]=1,N(Tasks[[#This Row],[_Days]])=0,Tasks[[#This Row],[_LeafProgress]]&lt;1),Tasks[[#This Row],[_ShownFcstFinish]]+Tasks[[#This Row],[_Row]]/100000,"")</f>
        <v/>
      </c>
      <c r="GH1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9" s="43" t="str">
        <f aca="false">IF(Tasks[[#This Row],[Task Name]]="","",LEFT(Tasks[[#This Row],[WBS]],FIND(".",Tasks[[#This Row],[WBS]]&amp;".")-1))</f>
        <v/>
      </c>
      <c r="GJ169" s="43" t="str">
        <f aca="false">IF(AND(Tasks[[#This Row],[Task Name]]&lt;&gt;"",Tasks[[#This Row],[_Level]]=1),Tasks[[#This Row],[_Row]],"")</f>
        <v/>
      </c>
      <c r="GK169" s="43" t="str">
        <f aca="false">IF(AND(Tasks[[#This Row],[_IsLeaf]]=1,N(Tasks[[#This Row],[_Days]])=0),Tasks[[#This Row],[Planned Finish]]+Tasks[[#This Row],[_Row]]/100000,"")</f>
        <v/>
      </c>
      <c r="GL169" s="43" t="str">
        <f aca="false">IF(AND(Tasks[[#This Row],[_IsLeaf]]=1,Tasks[[#This Row],[_LeafProgress]]&lt;1,OR(N(Tasks[[#This Row],[Finish Var]])&gt;0,Tasks[[#This Row],[Status]]="Late Start")),MAX(0,Tasks[[#This Row],[Finish Var]])+1-Tasks[[#This Row],[_Row]]/1000000,"")</f>
        <v/>
      </c>
      <c r="GM169" s="43" t="str">
        <f aca="false">IF(AND(Tasks[[#This Row],[_IsLeaf]]=1,N(Tasks[[#This Row],[Actual Start]])=0,Tasks[[#This Row],[_ShownFcstStart]]&gt;=StatusDate,Tasks[[#This Row],[_ShownFcstStart]]&lt;=LookaheadEnd),Tasks[[#This Row],[_ShownFcstStart]]+Tasks[[#This Row],[_Row]]/100000,"")</f>
        <v/>
      </c>
      <c r="GN169" s="43" t="str">
        <f aca="false">IF(AND(Tasks[[#This Row],[_IsLeaf]]=1,Tasks[[#This Row],[_LeafProgress]]&lt;1,Tasks[[#This Row],[_ShownFcstFinish]]&gt;=StatusDate,Tasks[[#This Row],[_ShownFcstFinish]]&lt;=LookaheadEnd),Tasks[[#This Row],[_ShownFcstFinish]]+Tasks[[#This Row],[_Row]]/100000,"")</f>
        <v/>
      </c>
      <c r="GO169" s="43" t="str">
        <f aca="false">IF(Tasks[[#This Row],[_LeafCritical]],Tasks[[#This Row],[_ShownFcstStart]]+Tasks[[#This Row],[_Row]]/100000,"")</f>
        <v/>
      </c>
      <c r="GP169" s="43" t="n">
        <f aca="false">Tasks[[#This Row],[_LeafWork]]*Tasks[[#This Row],[_LeafProgress]]</f>
        <v>0</v>
      </c>
      <c r="GQ169" s="91" t="str">
        <f aca="false">IF(AND(Tasks[[#This Row],[_IsLeaf]]=1,Tasks[[#This Row],[_LeafProgress]]&gt;=1),IF(N(Tasks[[#This Row],[Actual Finish]])&gt;0,Tasks[[#This Row],[Actual Finish]],Tasks[[#This Row],[_ShownFcstFinish]]),"")</f>
        <v/>
      </c>
      <c r="GR169" s="43" t="n">
        <f aca="false">IF(Tasks[[#This Row],[_IsLeaf]]=1,N(Tasks[[#This Row],[Story Points]]),0)</f>
        <v>0</v>
      </c>
      <c r="GS169" s="43" t="str">
        <f aca="false">""</f>
        <v/>
      </c>
      <c r="GT169" s="90" t="b">
        <f aca="false">IF(Tasks[[#This Row],[Task Name]]="",FALSE(),AND(Tasks[[#This Row],[_IsLeaf]]=1,N(Tasks[[#This Row],[_Days]])=0))</f>
        <v>0</v>
      </c>
      <c r="GU169" s="91" t="n">
        <f aca="false">IF(Tasks[[#This Row],[Task Name]]="",0,IF(AND(Tasks[[#This Row],[_IsLeaf]]=1,NOT(Tasks[[#This Row],[_IsMilestone]]),N(Tasks[[#This Row],[Progress]])&gt;0),Tasks[[#This Row],[Start]],0))</f>
        <v>0</v>
      </c>
      <c r="GV169" s="91" t="n">
        <f aca="false">IF(Tasks[[#This Row],[_DoneFrom]]=0,0,IF(Tasks[[#This Row],[Progress]]&gt;=1,Tasks[[#This Row],[Finish]],MAX(Tasks[[#This Row],[_DoneFrom]],Tasks[[#This Row],[Start]]+ROUND((Tasks[[#This Row],[Finish]]-Tasks[[#This Row],[Start]]+1)*Tasks[[#This Row],[Progress]],0)-1)))</f>
        <v>0</v>
      </c>
      <c r="GW169" s="91" t="n">
        <f aca="false">IF(Tasks[[#This Row],[Task Name]]="",0,IF(OR(NOT(Tasks[[#This Row],[_IsLeaf]]=1),Tasks[[#This Row],[_IsMilestone]],N(Tasks[[#This Row],[Progress]])&gt;=1),0,IF(Tasks[[#This Row],[_DoneTo]]&gt;0,Tasks[[#This Row],[_DoneTo]]+1,Tasks[[#This Row],[Start]])))</f>
        <v>0</v>
      </c>
      <c r="GX169" s="91" t="n">
        <f aca="false">IF(Tasks[[#This Row],[_RemFrom]]=0,0,Tasks[[#This Row],[Finish]])</f>
        <v>0</v>
      </c>
      <c r="GY169" s="90" t="b">
        <f aca="false">IF(Tasks[[#This Row],[Task Name]]="",FALSE(),OR(NOT(BaselineSet),N(Tasks[[#This Row],[Baseline Start]])&gt;0))</f>
        <v>0</v>
      </c>
      <c r="GZ16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92" t="str">
        <f aca="false">IF(Tasks[[#This Row],[_IsLeaf]]=1,Tasks[[#This Row],[_Row]],"")</f>
        <v/>
      </c>
      <c r="HD169" s="92" t="str">
        <f aca="false">IFERROR(INDEX(Tasks[UID],SMALL(Tasks[_PickKey],Tasks[[#This Row],[_Row]]))&amp;" "&amp;INDEX(Tasks[Task Name],SMALL(Tasks[_PickKey],Tasks[[#This Row],[_Row]])),"")</f>
        <v/>
      </c>
      <c r="HE169" s="43" t="str">
        <f aca="false">IF(Tasks[[#This Row],[Task Name]]="","",IF(Tasks[[#This Row],[_IsSummary]],NETWORKDAYS.INTL(Tasks[[#This Row],[Start]],Tasks[[#This Row],[Finish]],WorkWeek,Holidays),N(Tasks[[#This Row],[_Days]])))</f>
        <v/>
      </c>
      <c r="HF169" s="43" t="n">
        <f aca="false">IF(Tasks[[#This Row],[Expected]]="",0,((Tasks[[#This Row],[Pessimistic]]-Tasks[[#This Row],[Optimistic]])/6)^2)</f>
        <v>0</v>
      </c>
      <c r="HG169" s="43" t="n">
        <f aca="false">IF(Tasks[[#This Row],[Expected]]="",0,Tasks[[#This Row],[Expected]]-N(Tasks[[#This Row],[_Days]]))</f>
        <v>0</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4"/>
      <c r="U170" s="23"/>
      <c r="V170" s="84"/>
      <c r="W170" s="23"/>
      <c r="X170" s="84"/>
      <c r="Y170" s="23"/>
      <c r="Z170" s="84"/>
      <c r="AA170" s="23"/>
      <c r="AB170" s="23"/>
      <c r="AC170" s="7"/>
      <c r="AD170" s="7"/>
      <c r="AE170" s="63" t="str">
        <f aca="false">IF(Tasks[[#This Row],[Task Name]]="","",IF(Tasks[[#This Row],[_IsSummary]],MIN(INDEX(Tasks[_ShownFcstStart],Tasks[[#This Row],[_Row]]+1):INDEX(Tasks[_ShownFcstStart],Tasks[[#This Row],[_Row]]+Tasks[[#This Row],[_Descendants]])),Tasks[[#This Row],[_ShownFcstStart]]))</f>
        <v/>
      </c>
      <c r="AF170" s="63"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0" s="7"/>
      <c r="AK170" s="22"/>
      <c r="AL170" s="23"/>
      <c r="AM170" s="7"/>
      <c r="AN170" s="47"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3" t="str">
        <f aca="false">IF(Tasks[[#This Row],[Task Name]]="","",IF(N(Tasks[[#This Row],[Baseline Start]])&gt;0,Tasks[[#This Row],[Baseline Start]],Tasks[[#This Row],[_CalcStart]]))</f>
        <v/>
      </c>
      <c r="AR170" s="63" t="str">
        <f aca="false">IF(Tasks[[#This Row],[Task Name]]="","",IF(N(Tasks[[#This Row],[Baseline Finish]])&gt;0,Tasks[[#This Row],[Baseline Finish]],Tasks[[#This Row],[_CalcFinish]]))</f>
        <v/>
      </c>
      <c r="AS170" s="47" t="str">
        <f aca="false">IF(Tasks[[#This Row],[Task Name]]="","",IF(Tasks[[#This Row],[Start]]&gt;=Tasks[[#This Row],[Planned Start]],NETWORKDAYS.INTL(Tasks[[#This Row],[Planned Start]],Tasks[[#This Row],[Start]],WorkWeek,Holidays)-1,1-NETWORKDAYS.INTL(Tasks[[#This Row],[Start]],Tasks[[#This Row],[Planned Start]],WorkWeek,Holidays)))</f>
        <v/>
      </c>
      <c r="AT170" s="63" t="str">
        <f aca="false">IF(Tasks[[#This Row],[Task Name]]="","",IF(Tasks[[#This Row],[_IsSummary]],MIN(INDEX(Tasks[_LeafLateStart],Tasks[[#This Row],[_Row]]+1):INDEX(Tasks[_LeafLateStart],Tasks[[#This Row],[_Row]]+Tasks[[#This Row],[_Descendants]])),Tasks[[#This Row],[_LeafLateStart]]))</f>
        <v/>
      </c>
      <c r="AU170" s="63" t="str">
        <f aca="false">IF(Tasks[[#This Row],[Task Name]]="","",IF(Tasks[[#This Row],[_IsSummary]],MAX(INDEX(Tasks[_LeafLateFinish],Tasks[[#This Row],[_Row]]+1):INDEX(Tasks[_LeafLateFinish],Tasks[[#This Row],[_Row]]+Tasks[[#This Row],[_Descendants]])),Tasks[[#This Row],[_LeafLateFinish]]))</f>
        <v/>
      </c>
      <c r="AV170" s="47"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5"/>
      <c r="BA1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6"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7"/>
      <c r="BJ170" s="22"/>
      <c r="BK170" s="47" t="str">
        <f aca="false">IF(OR(Tasks[[#This Row],[Task Name]]="",Tasks[[#This Row],[Baseline Duration]]=""),"",Tasks[[#This Row],[_SpanDays]]-N(Tasks[[#This Row],[Baseline Duration]]))</f>
        <v/>
      </c>
      <c r="BL170" s="86" t="str">
        <f aca="false">IF(OR(Tasks[[#This Row],[Task Name]]="",Tasks[[#This Row],[Baseline Work]]=""),"",Tasks[[#This Row],[Work]]-N(Tasks[[#This Row],[Baseline Work]]))</f>
        <v/>
      </c>
      <c r="BM170" s="63" t="str">
        <f aca="false">IF(Tasks[[#This Row],[Task Name]]="","",IF(OR(TakeBaseline="Yes",N(Tasks[[#This Row],[Baseline Start]])=0),Tasks[[#This Row],[Start]],Tasks[[#This Row],[Baseline Start]]))</f>
        <v/>
      </c>
      <c r="BN170" s="63" t="str">
        <f aca="false">IF(Tasks[[#This Row],[Task Name]]="","",IF(OR(TakeBaseline="Yes",N(Tasks[[#This Row],[Baseline Finish]])=0),Tasks[[#This Row],[Finish]],Tasks[[#This Row],[Baseline Finish]]))</f>
        <v/>
      </c>
      <c r="BO170" s="21" t="str">
        <f aca="false">IF(Tasks[[#This Row],[Task Name]]="","",IF(OR(TakeBaseline="Yes",N(Tasks[[#This Row],[Baseline Duration]])=0),Tasks[[#This Row],[_SpanDays]],Tasks[[#This Row],[Baseline Duration]]))</f>
        <v/>
      </c>
      <c r="BP170" s="86" t="str">
        <f aca="false">IF(Tasks[[#This Row],[Task Name]]="","",IF(OR(TakeBaseline="Yes",N(Tasks[[#This Row],[Baseline Work]])=0),Tasks[[#This Row],[Work]],Tasks[[#This Row],[Baseline Work]]))</f>
        <v/>
      </c>
      <c r="BQ170" s="7"/>
      <c r="BR170" s="7"/>
      <c r="BS170" s="22"/>
      <c r="BT170" s="88"/>
      <c r="BU170" s="23"/>
      <c r="BV170" s="23"/>
      <c r="BW170" s="23"/>
      <c r="BX170" s="89" t="str">
        <f aca="false">IF(AND(Tasks[[#This Row],[_IsLeaf]]=1,ISNUMBER(Tasks[[#This Row],[Optimistic]]),ISNUMBER(Tasks[[#This Row],[Pessimistic]])),ROUND((Tasks[[#This Row],[Optimistic]]+4*N(Tasks[[#This Row],[_Days]])+Tasks[[#This Row],[Pessimistic]])/6,1),"")</f>
        <v/>
      </c>
      <c r="BY170" s="87"/>
      <c r="BZ170" s="87"/>
      <c r="CA170" s="22"/>
      <c r="CB170" s="43" t="str">
        <f aca="false">IF(Tasks[[#This Row],[Task Name]]="","",MAX(1,N(Tasks[[#This Row],[Level]])))</f>
        <v/>
      </c>
      <c r="CC170" s="43" t="n">
        <f aca="false">ROW()-ROW(Tasks[[#Headers],[ID]])</f>
        <v>165</v>
      </c>
      <c r="CD170" s="43" t="n">
        <f aca="false">IF(OR(Tasks[[#This Row],[Task Name]]="",Tasks[[#This Row],[_Level]]&lt;=1),0,IFERROR(LOOKUP(2,1/(Tasks[[#Headers],[_Level]]:Tasks[[#This Row],[_Level]]=Tasks[[#This Row],[_Level]]-1),ROW(Tasks[[#Headers],[_Level]]:Tasks[[#This Row],[_Level]])),0))</f>
        <v>0</v>
      </c>
      <c r="CE170" s="43" t="n">
        <f aca="false">IFERROR(N(INDEX(Tasks[_Level],Tasks[[#This Row],[_Row]]+1)),0)</f>
        <v>0</v>
      </c>
      <c r="CF170" s="90" t="b">
        <f aca="false">AND(Tasks[[#This Row],[Task Name]]&lt;&gt;"",Tasks[[#This Row],[_NextLevel]]&gt;Tasks[[#This Row],[_Level]])</f>
        <v>0</v>
      </c>
      <c r="CG170" s="43" t="n">
        <f aca="false">IF(Tasks[[#This Row],[_IsSummary]],COUNTIF(Tasks[WBS],Tasks[[#This Row],[WBS]]&amp;".*"),0)</f>
        <v>0</v>
      </c>
      <c r="CH170" s="43" t="n">
        <f aca="false">IF(AND(Tasks[[#This Row],[Task Name]]&lt;&gt;"",NOT(Tasks[[#This Row],[_IsSummary]])),1,0)</f>
        <v>0</v>
      </c>
      <c r="CI170" s="43" t="n">
        <f aca="false">IF(N(Tasks[[#This Row],[_Pred1UID]])=0,0,IFERROR(MATCH(Tasks[[#This Row],[_Pred1UID]],Tasks[UID],0),-1))</f>
        <v>0</v>
      </c>
      <c r="CJ170" s="43" t="n">
        <f aca="false">IF(N(Tasks[[#This Row],[_Pred2UID]])=0,0,IFERROR(MATCH(Tasks[[#This Row],[_Pred2UID]],Tasks[UID],0),-1))</f>
        <v>0</v>
      </c>
      <c r="CK170" s="43" t="n">
        <f aca="false">IF(N(Tasks[[#This Row],[_Pred3UID]])=0,0,IFERROR(MATCH(Tasks[[#This Row],[_Pred3UID]],Tasks[UID],0),-1))</f>
        <v>0</v>
      </c>
      <c r="CL170" s="43" t="n">
        <f aca="false">IF(N(Tasks[[#This Row],[_Pred4UID]])=0,0,IFERROR(MATCH(Tasks[[#This Row],[_Pred4UID]],Tasks[UID],0),-1))</f>
        <v>0</v>
      </c>
      <c r="CM1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0" s="91" t="n">
        <f aca="false">IF(OR(Tasks[[#This Row],[_ConstraintCode]]=2,Tasks[[#This Row],[_ConstraintCode]]=3,Tasks[[#This Row],[_ConstraintCode]]=4,Tasks[[#This Row],[_ConstraintCode]]=6),Tasks[[#This Row],[_ConstraintStart]],0)</f>
        <v>0</v>
      </c>
      <c r="CP170" s="91" t="n">
        <f aca="false">IF(OR(Tasks[[#This Row],[_ConstraintCode]]=2,Tasks[[#This Row],[_ConstraintCode]]=3,Tasks[[#This Row],[_ConstraintCode]]=5,Tasks[[#This Row],[_ConstraintCode]]=7),Tasks[[#This Row],[_ConstraintStart]],2958465)</f>
        <v>2958465</v>
      </c>
      <c r="CQ1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91" t="str">
        <f aca="false">IF(NOT(Tasks[[#This Row],[_IsLeaf]]=1),"",IF(N(Tasks[[#This Row],[_Days]])&lt;=0,Tasks[[#This Row],[_LeafCalcStart]],WORKDAY.INTL(Tasks[[#This Row],[_LeafCalcStart]],Tasks[[#This Row],[_Days]]-1,WorkWeek,Holidays)))</f>
        <v/>
      </c>
      <c r="CS1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3" t="str">
        <f aca="false">IF(Tasks[[#This Row],[_Predecessors]]="","",TRIM(MID(SUBSTITUTE(SUBSTITUTE(SUBSTITUTE(UPPER(Tasks[[#This Row],[_Predecessors]]),";",",")," ",""),",",REPT(" ",99)),1,99)))</f>
        <v/>
      </c>
      <c r="CV170" s="43" t="str">
        <f aca="false">IF(Tasks[[#This Row],[_Pred1Text]]="","",IFERROR(VALUE(LEFT(Tasks[[#This Row],[_Pred1Text]],MIN(FIND("F",Tasks[[#This Row],[_Pred1Text]]&amp;"F"),FIND("S",Tasks[[#This Row],[_Pred1Text]]&amp;"S"),FIND("+",Tasks[[#This Row],[_Pred1Text]]&amp;"+"),FIND("-",Tasks[[#This Row],[_Pred1Text]]&amp;"-"))-1)),""))</f>
        <v/>
      </c>
      <c r="CW1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3" t="str">
        <f aca="false">IF(Tasks[[#This Row],[_Pred1Text]]="","",TRIM(MID(SUBSTITUTE(SUBSTITUTE(SUBSTITUTE(UPPER(Tasks[[#This Row],[_Predecessors]]),";",",")," ",""),",",REPT(" ",99)),100,99)))</f>
        <v/>
      </c>
      <c r="CZ170" s="43" t="str">
        <f aca="false">IF(Tasks[[#This Row],[_Pred2Text]]="","",IFERROR(VALUE(LEFT(Tasks[[#This Row],[_Pred2Text]],MIN(FIND("F",Tasks[[#This Row],[_Pred2Text]]&amp;"F"),FIND("S",Tasks[[#This Row],[_Pred2Text]]&amp;"S"),FIND("+",Tasks[[#This Row],[_Pred2Text]]&amp;"+"),FIND("-",Tasks[[#This Row],[_Pred2Text]]&amp;"-"))-1)),""))</f>
        <v/>
      </c>
      <c r="DA1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3" t="str">
        <f aca="false">IF(Tasks[[#This Row],[_Pred2Text]]="","",TRIM(MID(SUBSTITUTE(SUBSTITUTE(SUBSTITUTE(UPPER(Tasks[[#This Row],[_Predecessors]]),";",",")," ",""),",",REPT(" ",99)),199,99)))</f>
        <v/>
      </c>
      <c r="DD170" s="43" t="str">
        <f aca="false">IF(Tasks[[#This Row],[_Pred3Text]]="","",IFERROR(VALUE(LEFT(Tasks[[#This Row],[_Pred3Text]],MIN(FIND("F",Tasks[[#This Row],[_Pred3Text]]&amp;"F"),FIND("S",Tasks[[#This Row],[_Pred3Text]]&amp;"S"),FIND("+",Tasks[[#This Row],[_Pred3Text]]&amp;"+"),FIND("-",Tasks[[#This Row],[_Pred3Text]]&amp;"-"))-1)),""))</f>
        <v/>
      </c>
      <c r="DE1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3" t="str">
        <f aca="false">IF(Tasks[[#This Row],[_Pred3Text]]="","",TRIM(MID(SUBSTITUTE(SUBSTITUTE(SUBSTITUTE(UPPER(Tasks[[#This Row],[_Predecessors]]),";",",")," ",""),",",REPT(" ",99)),298,99)))</f>
        <v/>
      </c>
      <c r="DH170" s="43" t="str">
        <f aca="false">IF(Tasks[[#This Row],[_Pred4Text]]="","",IFERROR(VALUE(LEFT(Tasks[[#This Row],[_Pred4Text]],MIN(FIND("F",Tasks[[#This Row],[_Pred4Text]]&amp;"F"),FIND("S",Tasks[[#This Row],[_Pred4Text]]&amp;"S"),FIND("+",Tasks[[#This Row],[_Pred4Text]]&amp;"+"),FIND("-",Tasks[[#This Row],[_Pred4Text]]&amp;"-"))-1)),""))</f>
        <v/>
      </c>
      <c r="DI1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3" t="str">
        <f aca="false">IF(OR(Tasks[[#This Row],[Task Name]]="",Tasks[[#This Row],[_Resources]]=""),"",TRIM(MID(SUBSTITUTE(Tasks[[#This Row],[_Resources]],",",REPT(" ",99)),1,99)))</f>
        <v/>
      </c>
      <c r="DL170" s="43" t="str">
        <f aca="false">IF(Tasks[[#This Row],[_Res1Text]]="","",TRIM(MID(SUBSTITUTE(Tasks[[#This Row],[_Resources]],",",REPT(" ",99)),100,99)))</f>
        <v/>
      </c>
      <c r="DM170" s="43" t="str">
        <f aca="false">IF(Tasks[[#This Row],[_Res2Text]]="","",TRIM(MID(SUBSTITUTE(Tasks[[#This Row],[_Resources]],",",REPT(" ",99)),199,99)))</f>
        <v/>
      </c>
      <c r="DN170" s="43" t="str">
        <f aca="false">IF(Tasks[[#This Row],[_Res3Text]]="","",TRIM(MID(SUBSTITUTE(Tasks[[#This Row],[_Resources]],",",REPT(" ",99)),298,99)))</f>
        <v/>
      </c>
      <c r="DO170" s="43" t="n">
        <f aca="false">IF(Tasks[[#This Row],[_Res1Text]]="",0,IFERROR(MATCH(TRIM(LEFT(Tasks[[#This Row],[_Res1Text]],FIND("[",Tasks[[#This Row],[_Res1Text]]&amp;"[")-1)),res_Name,0),IFERROR(MATCH(TRIM(LEFT(Tasks[[#This Row],[_Res1Text]],FIND("[",Tasks[[#This Row],[_Res1Text]]&amp;"[")-1)),res_Initials,0),0)))</f>
        <v>0</v>
      </c>
      <c r="DP170" s="43" t="n">
        <f aca="false">IF(Tasks[[#This Row],[_Res2Text]]="",0,IFERROR(MATCH(TRIM(LEFT(Tasks[[#This Row],[_Res2Text]],FIND("[",Tasks[[#This Row],[_Res2Text]]&amp;"[")-1)),res_Name,0),IFERROR(MATCH(TRIM(LEFT(Tasks[[#This Row],[_Res2Text]],FIND("[",Tasks[[#This Row],[_Res2Text]]&amp;"[")-1)),res_Initials,0),0)))</f>
        <v>0</v>
      </c>
      <c r="DQ170" s="43" t="n">
        <f aca="false">IF(Tasks[[#This Row],[_Res3Text]]="",0,IFERROR(MATCH(TRIM(LEFT(Tasks[[#This Row],[_Res3Text]],FIND("[",Tasks[[#This Row],[_Res3Text]]&amp;"[")-1)),res_Name,0),IFERROR(MATCH(TRIM(LEFT(Tasks[[#This Row],[_Res3Text]],FIND("[",Tasks[[#This Row],[_Res3Text]]&amp;"[")-1)),res_Initials,0),0)))</f>
        <v>0</v>
      </c>
      <c r="DR170" s="43" t="n">
        <f aca="false">IF(Tasks[[#This Row],[_Res4Text]]="",0,IFERROR(MATCH(TRIM(LEFT(Tasks[[#This Row],[_Res4Text]],FIND("[",Tasks[[#This Row],[_Res4Text]]&amp;"[")-1)),res_Name,0),IFERROR(MATCH(TRIM(LEFT(Tasks[[#This Row],[_Res4Text]],FIND("[",Tasks[[#This Row],[_Res4Text]]&amp;"[")-1)),res_Initials,0),0)))</f>
        <v>0</v>
      </c>
      <c r="DS170" s="43" t="str">
        <f aca="false">IF(Tasks[[#This Row],[_Res1Text]]="","",IF(Tasks[[#This Row],[_Res1Row]]&gt;0,INDEX(res_Name,Tasks[[#This Row],[_Res1Row]]),TRIM(LEFT(Tasks[[#This Row],[_Res1Text]],FIND("[",Tasks[[#This Row],[_Res1Text]]&amp;"[")-1))))</f>
        <v/>
      </c>
      <c r="DT1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3" t="n">
        <f aca="false">IF(NOT(Tasks[[#This Row],[_IsLeaf]]=1),0,(Tasks[[#This Row],[_Resource1]]&lt;&gt;"")+(Tasks[[#This Row],[_Res2]]&lt;&gt;"")+(Tasks[[#This Row],[_Res3]]&lt;&gt;"")+(Tasks[[#This Row],[_Res4]]&lt;&gt;""))</f>
        <v>0</v>
      </c>
      <c r="DV170" s="43" t="str">
        <f aca="false">IF(Tasks[[#This Row],[_Res2Text]]="","",IF(Tasks[[#This Row],[_Res2Row]]&gt;0,INDEX(res_Name,Tasks[[#This Row],[_Res2Row]]),TRIM(LEFT(Tasks[[#This Row],[_Res2Text]],FIND("[",Tasks[[#This Row],[_Res2Text]]&amp;"[")-1))))</f>
        <v/>
      </c>
      <c r="DW1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3" t="n">
        <f aca="false">IF(OR(NOT(Tasks[[#This Row],[_IsLeaf]]=1),Tasks[[#This Row],[_Res2Row]]=0),0,N(Tasks[[#This Row],[_Days]])*HoursPerDay*IF(Tasks[[#This Row],[_Res2Units]]="",DefaultUnits,Tasks[[#This Row],[_Res2Units]]))</f>
        <v>0</v>
      </c>
      <c r="DY170" s="43" t="n">
        <f aca="false">IF(AND(AND(Tasks[[#This Row],[_IsLeaf]]=1,Tasks[[#This Row],[_LeafTotalWork]]&gt;0),Tasks[[#This Row],[_Res2Work]]&gt;0),Tasks[[#This Row],[_Res2Work]]/(Tasks[[#This Row],[_FinishWorkday]]-Tasks[[#This Row],[_StartWorkday]]+1),0)</f>
        <v>0</v>
      </c>
      <c r="DZ170" s="43" t="n">
        <f aca="false">Tasks[[#This Row],[_Res2WorkPerWD]]*MAX(0,Tasks[[#This Row],[_StartWorkday]]-1)</f>
        <v>0</v>
      </c>
      <c r="EA170" s="43" t="n">
        <f aca="false">Tasks[[#This Row],[_Res2Work]]*Tasks[[#This Row],[_LeafProgress]]</f>
        <v>0</v>
      </c>
      <c r="EB170" s="43" t="str">
        <f aca="false">IF(Tasks[[#This Row],[_Res3Text]]="","",IF(Tasks[[#This Row],[_Res3Row]]&gt;0,INDEX(res_Name,Tasks[[#This Row],[_Res3Row]]),TRIM(LEFT(Tasks[[#This Row],[_Res3Text]],FIND("[",Tasks[[#This Row],[_Res3Text]]&amp;"[")-1))))</f>
        <v/>
      </c>
      <c r="EC1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3" t="n">
        <f aca="false">IF(OR(NOT(Tasks[[#This Row],[_IsLeaf]]=1),Tasks[[#This Row],[_Res3Row]]=0),0,N(Tasks[[#This Row],[_Days]])*HoursPerDay*IF(Tasks[[#This Row],[_Res3Units]]="",DefaultUnits,Tasks[[#This Row],[_Res3Units]]))</f>
        <v>0</v>
      </c>
      <c r="EE170" s="43" t="n">
        <f aca="false">IF(AND(AND(Tasks[[#This Row],[_IsLeaf]]=1,Tasks[[#This Row],[_LeafTotalWork]]&gt;0),Tasks[[#This Row],[_Res3Work]]&gt;0),Tasks[[#This Row],[_Res3Work]]/(Tasks[[#This Row],[_FinishWorkday]]-Tasks[[#This Row],[_StartWorkday]]+1),0)</f>
        <v>0</v>
      </c>
      <c r="EF170" s="43" t="n">
        <f aca="false">Tasks[[#This Row],[_Res3WorkPerWD]]*MAX(0,Tasks[[#This Row],[_StartWorkday]]-1)</f>
        <v>0</v>
      </c>
      <c r="EG170" s="43" t="n">
        <f aca="false">Tasks[[#This Row],[_Res3Work]]*Tasks[[#This Row],[_LeafProgress]]</f>
        <v>0</v>
      </c>
      <c r="EH170" s="43" t="str">
        <f aca="false">IF(Tasks[[#This Row],[_Res4Text]]="","",IF(Tasks[[#This Row],[_Res4Row]]&gt;0,INDEX(res_Name,Tasks[[#This Row],[_Res4Row]]),TRIM(LEFT(Tasks[[#This Row],[_Res4Text]],FIND("[",Tasks[[#This Row],[_Res4Text]]&amp;"[")-1))))</f>
        <v/>
      </c>
      <c r="EI1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3" t="n">
        <f aca="false">IF(OR(NOT(Tasks[[#This Row],[_IsLeaf]]=1),Tasks[[#This Row],[_Res4Row]]=0),0,N(Tasks[[#This Row],[_Days]])*HoursPerDay*IF(Tasks[[#This Row],[_Res4Units]]="",DefaultUnits,Tasks[[#This Row],[_Res4Units]]))</f>
        <v>0</v>
      </c>
      <c r="EK170" s="43" t="n">
        <f aca="false">IF(AND(AND(Tasks[[#This Row],[_IsLeaf]]=1,Tasks[[#This Row],[_LeafTotalWork]]&gt;0),Tasks[[#This Row],[_Res4Work]]&gt;0),Tasks[[#This Row],[_Res4Work]]/(Tasks[[#This Row],[_FinishWorkday]]-Tasks[[#This Row],[_StartWorkday]]+1),0)</f>
        <v>0</v>
      </c>
      <c r="EL170" s="43" t="n">
        <f aca="false">Tasks[[#This Row],[_Res4WorkPerWD]]*MAX(0,Tasks[[#This Row],[_StartWorkday]]-1)</f>
        <v>0</v>
      </c>
      <c r="EM170" s="43" t="n">
        <f aca="false">Tasks[[#This Row],[_Res4Work]]*Tasks[[#This Row],[_LeafProgress]]</f>
        <v>0</v>
      </c>
      <c r="EN170" s="43" t="n">
        <f aca="false">IF(ISNUMBER(Tasks[[#This Row],[% Complete]]),Tasks[[#This Row],[% Complete]],IF(Tasks[[#This Row],[Stage]]="",0,IFERROR(INDEX(stg_Pct,MATCH(Tasks[[#This Row],[Stage]],stg_Name,0)),0)))</f>
        <v>0</v>
      </c>
      <c r="EO170" s="43" t="n">
        <f aca="false">IF(NOT(Tasks[[#This Row],[_IsLeaf]]=1),0,IF(N(Tasks[[#This Row],[Actual Finish]])&gt;0,1,MIN(1,Tasks[[#This Row],[_Pct]])))</f>
        <v>0</v>
      </c>
      <c r="EP170" s="43" t="n">
        <f aca="false">IF(OR(NOT(Tasks[[#This Row],[_IsLeaf]]=1),Tasks[[#This Row],[_Res1Row]]=0),0,N(Tasks[[#This Row],[_Days]])*HoursPerDay*IF(Tasks[[#This Row],[_Units1]]="",DefaultUnits,Tasks[[#This Row],[_Units1]]))</f>
        <v>0</v>
      </c>
      <c r="EQ170" s="43" t="n">
        <f aca="false">Tasks[[#This Row],[_LeafWork]]+Tasks[[#This Row],[_Res2Work]]+Tasks[[#This Row],[_Res3Work]]+Tasks[[#This Row],[_Res4Work]]</f>
        <v>0</v>
      </c>
      <c r="ER1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3" t="n">
        <f aca="false">IF(NOT(Tasks[[#This Row],[_IsLeaf]]=1),0,MAX(_xlfn.MAXIFS(Tasks[_Row],Tasks[_Pred1UID],Tasks[[#This Row],[UID]]),_xlfn.MAXIFS(Tasks[_Row],Tasks[_Pred2UID],Tasks[[#This Row],[UID]]),_xlfn.MAXIFS(Tasks[_Row],Tasks[_Pred3UID],Tasks[[#This Row],[UID]]),_xlfn.MAXIFS(Tasks[_Row],Tasks[_Pred4UID],Tasks[[#This Row],[UID]])))</f>
        <v>0</v>
      </c>
      <c r="FA1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91" t="str">
        <f aca="false">IF(NOT(Tasks[[#This Row],[_IsLeaf]]=1),"",IF(N(Tasks[[#This Row],[_Days]])&lt;=0,Tasks[[#This Row],[_LeafLateFinish]],WORKDAY.INTL(Tasks[[#This Row],[_LeafLateFinish]],-(Tasks[[#This Row],[_Days]]-1),WorkWeek,Holidays)))</f>
        <v/>
      </c>
      <c r="FD1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0" s="90" t="b">
        <f aca="false">AND(Tasks[[#This Row],[_IsLeaf]]=1,Tasks[[#This Row],[_LeafProgress]]&lt;1,N(Tasks[[#This Row],[_LeafTotalSlack]])&lt;=CriticalSlackDays)</f>
        <v>0</v>
      </c>
      <c r="FF170" s="43" t="n">
        <f aca="false">IF(AND(Tasks[[#This Row],[_IsLeaf]]=1,Tasks[[#This Row],[_ConstraintCode]]=1,Tasks[[#This Row],[Mode]]&lt;&gt;"Manual",N(Tasks[[#This Row],[Actual Start]])=0),MAX(0,N(Tasks[[#This Row],[Free Slack]])),0)</f>
        <v>0</v>
      </c>
      <c r="FG170" s="91" t="str">
        <f aca="false">IF(NOT(Tasks[[#This Row],[_IsLeaf]]=1),"",IF(Tasks[[#This Row],[_AlapShift]]=0,Tasks[[#This Row],[_LeafCalcStart]],WORKDAY.INTL(Tasks[[#This Row],[_LeafCalcStart]],Tasks[[#This Row],[_AlapShift]],WorkWeek,Holidays)))</f>
        <v/>
      </c>
      <c r="FH170" s="91" t="str">
        <f aca="false">IF(NOT(Tasks[[#This Row],[_IsLeaf]]=1),"",IF(Tasks[[#This Row],[_AlapShift]]=0,Tasks[[#This Row],[_LeafCalcFinish]],WORKDAY.INTL(Tasks[[#This Row],[_LeafCalcFinish]],Tasks[[#This Row],[_AlapShift]],WorkWeek,Holidays)))</f>
        <v/>
      </c>
      <c r="FI170" s="91" t="str">
        <f aca="false">IF(NOT(Tasks[[#This Row],[_IsLeaf]]=1),"",IF(Tasks[[#This Row],[_AlapShift]]=0,Tasks[[#This Row],[_LeafFcstStart]],WORKDAY.INTL(Tasks[[#This Row],[_LeafFcstStart]],Tasks[[#This Row],[_AlapShift]],WorkWeek,Holidays)))</f>
        <v/>
      </c>
      <c r="FJ170" s="91" t="str">
        <f aca="false">IF(NOT(Tasks[[#This Row],[_IsLeaf]]=1),"",IF(Tasks[[#This Row],[_AlapShift]]=0,Tasks[[#This Row],[_LeafFcstFinish]],WORKDAY.INTL(Tasks[[#This Row],[_LeafFcstFinish]],Tasks[[#This Row],[_AlapShift]],WorkWeek,Holidays)))</f>
        <v/>
      </c>
      <c r="FK170" s="91" t="str">
        <f aca="false">IF(Tasks[[#This Row],[Task Name]]="","",IF(Tasks[[#This Row],[_IsSummary]],MIN(INDEX(Tasks[_ShownCalcStart],Tasks[[#This Row],[_Row]]+1):INDEX(Tasks[_ShownCalcStart],Tasks[[#This Row],[_Row]]+Tasks[[#This Row],[_Descendants]])),Tasks[[#This Row],[_ShownCalcStart]]))</f>
        <v/>
      </c>
      <c r="FL170" s="91" t="str">
        <f aca="false">IF(Tasks[[#This Row],[Task Name]]="","",IF(Tasks[[#This Row],[_IsSummary]],MAX(INDEX(Tasks[_ShownCalcFinish],Tasks[[#This Row],[_Row]]+1):INDEX(Tasks[_ShownCalcFinish],Tasks[[#This Row],[_Row]]+Tasks[[#This Row],[_Descendants]])),Tasks[[#This Row],[_ShownCalcFinish]]))</f>
        <v/>
      </c>
      <c r="FM1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0" s="43" t="n">
        <f aca="false">IF(AND(Tasks[[#This Row],[_IsLeaf]]=1,Tasks[[#This Row],[_LeafTotalWork]]&gt;0),NETWORKDAYS.INTL(ProjectStart,Tasks[[#This Row],[_ShownFcstStart]],WorkWeek,Holidays),0)</f>
        <v>0</v>
      </c>
      <c r="FZ170" s="43" t="n">
        <f aca="false">IF(AND(Tasks[[#This Row],[_IsLeaf]]=1,Tasks[[#This Row],[_LeafTotalWork]]&gt;0),MAX(Tasks[[#This Row],[_StartWorkday]],NETWORKDAYS.INTL(ProjectStart,Tasks[[#This Row],[_ShownFcstFinish]],WorkWeek,Holidays)),0)</f>
        <v>0</v>
      </c>
      <c r="GA170" s="43" t="n">
        <f aca="false">IF(AND(Tasks[[#This Row],[_IsLeaf]]=1,Tasks[[#This Row],[_LeafTotalWork]]&gt;0),Tasks[[#This Row],[_LeafWork]]/(Tasks[[#This Row],[_FinishWorkday]]-Tasks[[#This Row],[_StartWorkday]]+1),0)</f>
        <v>0</v>
      </c>
      <c r="GB170" s="43" t="n">
        <f aca="false">Tasks[[#This Row],[_WorkPerWorkday]]*(Tasks[[#This Row],[_StartWorkday]]-1)</f>
        <v>-0</v>
      </c>
      <c r="GC170" s="43" t="n">
        <f aca="false">IF(Tasks[[#This Row],[_IsLeaf]]=1,MAX(N(Tasks[[#This Row],[_Days]]),0.1),0)</f>
        <v>0</v>
      </c>
      <c r="GD170" s="43" t="n">
        <f aca="false">Tasks[[#This Row],[_WeightDur]]*Tasks[[#This Row],[_LeafProgress]]</f>
        <v>0</v>
      </c>
      <c r="GE170" s="43" t="n">
        <f aca="false">Tasks[[#This Row],[_WeightDur]]*Tasks[[#This Row],[_PlannedPct]]</f>
        <v>0</v>
      </c>
      <c r="GF1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3" t="str">
        <f aca="false">IF(AND(Tasks[[#This Row],[_IsLeaf]]=1,N(Tasks[[#This Row],[_Days]])=0,Tasks[[#This Row],[_LeafProgress]]&lt;1),Tasks[[#This Row],[_ShownFcstFinish]]+Tasks[[#This Row],[_Row]]/100000,"")</f>
        <v/>
      </c>
      <c r="GH1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0" s="43" t="str">
        <f aca="false">IF(Tasks[[#This Row],[Task Name]]="","",LEFT(Tasks[[#This Row],[WBS]],FIND(".",Tasks[[#This Row],[WBS]]&amp;".")-1))</f>
        <v/>
      </c>
      <c r="GJ170" s="43" t="str">
        <f aca="false">IF(AND(Tasks[[#This Row],[Task Name]]&lt;&gt;"",Tasks[[#This Row],[_Level]]=1),Tasks[[#This Row],[_Row]],"")</f>
        <v/>
      </c>
      <c r="GK170" s="43" t="str">
        <f aca="false">IF(AND(Tasks[[#This Row],[_IsLeaf]]=1,N(Tasks[[#This Row],[_Days]])=0),Tasks[[#This Row],[Planned Finish]]+Tasks[[#This Row],[_Row]]/100000,"")</f>
        <v/>
      </c>
      <c r="GL170" s="43" t="str">
        <f aca="false">IF(AND(Tasks[[#This Row],[_IsLeaf]]=1,Tasks[[#This Row],[_LeafProgress]]&lt;1,OR(N(Tasks[[#This Row],[Finish Var]])&gt;0,Tasks[[#This Row],[Status]]="Late Start")),MAX(0,Tasks[[#This Row],[Finish Var]])+1-Tasks[[#This Row],[_Row]]/1000000,"")</f>
        <v/>
      </c>
      <c r="GM170" s="43" t="str">
        <f aca="false">IF(AND(Tasks[[#This Row],[_IsLeaf]]=1,N(Tasks[[#This Row],[Actual Start]])=0,Tasks[[#This Row],[_ShownFcstStart]]&gt;=StatusDate,Tasks[[#This Row],[_ShownFcstStart]]&lt;=LookaheadEnd),Tasks[[#This Row],[_ShownFcstStart]]+Tasks[[#This Row],[_Row]]/100000,"")</f>
        <v/>
      </c>
      <c r="GN170" s="43" t="str">
        <f aca="false">IF(AND(Tasks[[#This Row],[_IsLeaf]]=1,Tasks[[#This Row],[_LeafProgress]]&lt;1,Tasks[[#This Row],[_ShownFcstFinish]]&gt;=StatusDate,Tasks[[#This Row],[_ShownFcstFinish]]&lt;=LookaheadEnd),Tasks[[#This Row],[_ShownFcstFinish]]+Tasks[[#This Row],[_Row]]/100000,"")</f>
        <v/>
      </c>
      <c r="GO170" s="43" t="str">
        <f aca="false">IF(Tasks[[#This Row],[_LeafCritical]],Tasks[[#This Row],[_ShownFcstStart]]+Tasks[[#This Row],[_Row]]/100000,"")</f>
        <v/>
      </c>
      <c r="GP170" s="43" t="n">
        <f aca="false">Tasks[[#This Row],[_LeafWork]]*Tasks[[#This Row],[_LeafProgress]]</f>
        <v>0</v>
      </c>
      <c r="GQ170" s="91" t="str">
        <f aca="false">IF(AND(Tasks[[#This Row],[_IsLeaf]]=1,Tasks[[#This Row],[_LeafProgress]]&gt;=1),IF(N(Tasks[[#This Row],[Actual Finish]])&gt;0,Tasks[[#This Row],[Actual Finish]],Tasks[[#This Row],[_ShownFcstFinish]]),"")</f>
        <v/>
      </c>
      <c r="GR170" s="43" t="n">
        <f aca="false">IF(Tasks[[#This Row],[_IsLeaf]]=1,N(Tasks[[#This Row],[Story Points]]),0)</f>
        <v>0</v>
      </c>
      <c r="GS170" s="43" t="str">
        <f aca="false">""</f>
        <v/>
      </c>
      <c r="GT170" s="90" t="b">
        <f aca="false">IF(Tasks[[#This Row],[Task Name]]="",FALSE(),AND(Tasks[[#This Row],[_IsLeaf]]=1,N(Tasks[[#This Row],[_Days]])=0))</f>
        <v>0</v>
      </c>
      <c r="GU170" s="91" t="n">
        <f aca="false">IF(Tasks[[#This Row],[Task Name]]="",0,IF(AND(Tasks[[#This Row],[_IsLeaf]]=1,NOT(Tasks[[#This Row],[_IsMilestone]]),N(Tasks[[#This Row],[Progress]])&gt;0),Tasks[[#This Row],[Start]],0))</f>
        <v>0</v>
      </c>
      <c r="GV170" s="91" t="n">
        <f aca="false">IF(Tasks[[#This Row],[_DoneFrom]]=0,0,IF(Tasks[[#This Row],[Progress]]&gt;=1,Tasks[[#This Row],[Finish]],MAX(Tasks[[#This Row],[_DoneFrom]],Tasks[[#This Row],[Start]]+ROUND((Tasks[[#This Row],[Finish]]-Tasks[[#This Row],[Start]]+1)*Tasks[[#This Row],[Progress]],0)-1)))</f>
        <v>0</v>
      </c>
      <c r="GW170" s="91" t="n">
        <f aca="false">IF(Tasks[[#This Row],[Task Name]]="",0,IF(OR(NOT(Tasks[[#This Row],[_IsLeaf]]=1),Tasks[[#This Row],[_IsMilestone]],N(Tasks[[#This Row],[Progress]])&gt;=1),0,IF(Tasks[[#This Row],[_DoneTo]]&gt;0,Tasks[[#This Row],[_DoneTo]]+1,Tasks[[#This Row],[Start]])))</f>
        <v>0</v>
      </c>
      <c r="GX170" s="91" t="n">
        <f aca="false">IF(Tasks[[#This Row],[_RemFrom]]=0,0,Tasks[[#This Row],[Finish]])</f>
        <v>0</v>
      </c>
      <c r="GY170" s="90" t="b">
        <f aca="false">IF(Tasks[[#This Row],[Task Name]]="",FALSE(),OR(NOT(BaselineSet),N(Tasks[[#This Row],[Baseline Start]])&gt;0))</f>
        <v>0</v>
      </c>
      <c r="GZ17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92" t="str">
        <f aca="false">IF(Tasks[[#This Row],[_IsLeaf]]=1,Tasks[[#This Row],[_Row]],"")</f>
        <v/>
      </c>
      <c r="HD170" s="92" t="str">
        <f aca="false">IFERROR(INDEX(Tasks[UID],SMALL(Tasks[_PickKey],Tasks[[#This Row],[_Row]]))&amp;" "&amp;INDEX(Tasks[Task Name],SMALL(Tasks[_PickKey],Tasks[[#This Row],[_Row]])),"")</f>
        <v/>
      </c>
      <c r="HE170" s="43" t="str">
        <f aca="false">IF(Tasks[[#This Row],[Task Name]]="","",IF(Tasks[[#This Row],[_IsSummary]],NETWORKDAYS.INTL(Tasks[[#This Row],[Start]],Tasks[[#This Row],[Finish]],WorkWeek,Holidays),N(Tasks[[#This Row],[_Days]])))</f>
        <v/>
      </c>
      <c r="HF170" s="43" t="n">
        <f aca="false">IF(Tasks[[#This Row],[Expected]]="",0,((Tasks[[#This Row],[Pessimistic]]-Tasks[[#This Row],[Optimistic]])/6)^2)</f>
        <v>0</v>
      </c>
      <c r="HG170" s="43" t="n">
        <f aca="false">IF(Tasks[[#This Row],[Expected]]="",0,Tasks[[#This Row],[Expected]]-N(Tasks[[#This Row],[_Days]]))</f>
        <v>0</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4"/>
      <c r="U171" s="23"/>
      <c r="V171" s="84"/>
      <c r="W171" s="23"/>
      <c r="X171" s="84"/>
      <c r="Y171" s="23"/>
      <c r="Z171" s="84"/>
      <c r="AA171" s="23"/>
      <c r="AB171" s="23"/>
      <c r="AC171" s="7"/>
      <c r="AD171" s="7"/>
      <c r="AE171" s="63" t="str">
        <f aca="false">IF(Tasks[[#This Row],[Task Name]]="","",IF(Tasks[[#This Row],[_IsSummary]],MIN(INDEX(Tasks[_ShownFcstStart],Tasks[[#This Row],[_Row]]+1):INDEX(Tasks[_ShownFcstStart],Tasks[[#This Row],[_Row]]+Tasks[[#This Row],[_Descendants]])),Tasks[[#This Row],[_ShownFcstStart]]))</f>
        <v/>
      </c>
      <c r="AF171" s="63"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1" s="7"/>
      <c r="AK171" s="22"/>
      <c r="AL171" s="23"/>
      <c r="AM171" s="7"/>
      <c r="AN171" s="47"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3" t="str">
        <f aca="false">IF(Tasks[[#This Row],[Task Name]]="","",IF(N(Tasks[[#This Row],[Baseline Start]])&gt;0,Tasks[[#This Row],[Baseline Start]],Tasks[[#This Row],[_CalcStart]]))</f>
        <v/>
      </c>
      <c r="AR171" s="63" t="str">
        <f aca="false">IF(Tasks[[#This Row],[Task Name]]="","",IF(N(Tasks[[#This Row],[Baseline Finish]])&gt;0,Tasks[[#This Row],[Baseline Finish]],Tasks[[#This Row],[_CalcFinish]]))</f>
        <v/>
      </c>
      <c r="AS171" s="47" t="str">
        <f aca="false">IF(Tasks[[#This Row],[Task Name]]="","",IF(Tasks[[#This Row],[Start]]&gt;=Tasks[[#This Row],[Planned Start]],NETWORKDAYS.INTL(Tasks[[#This Row],[Planned Start]],Tasks[[#This Row],[Start]],WorkWeek,Holidays)-1,1-NETWORKDAYS.INTL(Tasks[[#This Row],[Start]],Tasks[[#This Row],[Planned Start]],WorkWeek,Holidays)))</f>
        <v/>
      </c>
      <c r="AT171" s="63" t="str">
        <f aca="false">IF(Tasks[[#This Row],[Task Name]]="","",IF(Tasks[[#This Row],[_IsSummary]],MIN(INDEX(Tasks[_LeafLateStart],Tasks[[#This Row],[_Row]]+1):INDEX(Tasks[_LeafLateStart],Tasks[[#This Row],[_Row]]+Tasks[[#This Row],[_Descendants]])),Tasks[[#This Row],[_LeafLateStart]]))</f>
        <v/>
      </c>
      <c r="AU171" s="63" t="str">
        <f aca="false">IF(Tasks[[#This Row],[Task Name]]="","",IF(Tasks[[#This Row],[_IsSummary]],MAX(INDEX(Tasks[_LeafLateFinish],Tasks[[#This Row],[_Row]]+1):INDEX(Tasks[_LeafLateFinish],Tasks[[#This Row],[_Row]]+Tasks[[#This Row],[_Descendants]])),Tasks[[#This Row],[_LeafLateFinish]]))</f>
        <v/>
      </c>
      <c r="AV171" s="47"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5"/>
      <c r="BA1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6"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7"/>
      <c r="BJ171" s="22"/>
      <c r="BK171" s="47" t="str">
        <f aca="false">IF(OR(Tasks[[#This Row],[Task Name]]="",Tasks[[#This Row],[Baseline Duration]]=""),"",Tasks[[#This Row],[_SpanDays]]-N(Tasks[[#This Row],[Baseline Duration]]))</f>
        <v/>
      </c>
      <c r="BL171" s="86" t="str">
        <f aca="false">IF(OR(Tasks[[#This Row],[Task Name]]="",Tasks[[#This Row],[Baseline Work]]=""),"",Tasks[[#This Row],[Work]]-N(Tasks[[#This Row],[Baseline Work]]))</f>
        <v/>
      </c>
      <c r="BM171" s="63" t="str">
        <f aca="false">IF(Tasks[[#This Row],[Task Name]]="","",IF(OR(TakeBaseline="Yes",N(Tasks[[#This Row],[Baseline Start]])=0),Tasks[[#This Row],[Start]],Tasks[[#This Row],[Baseline Start]]))</f>
        <v/>
      </c>
      <c r="BN171" s="63" t="str">
        <f aca="false">IF(Tasks[[#This Row],[Task Name]]="","",IF(OR(TakeBaseline="Yes",N(Tasks[[#This Row],[Baseline Finish]])=0),Tasks[[#This Row],[Finish]],Tasks[[#This Row],[Baseline Finish]]))</f>
        <v/>
      </c>
      <c r="BO171" s="21" t="str">
        <f aca="false">IF(Tasks[[#This Row],[Task Name]]="","",IF(OR(TakeBaseline="Yes",N(Tasks[[#This Row],[Baseline Duration]])=0),Tasks[[#This Row],[_SpanDays]],Tasks[[#This Row],[Baseline Duration]]))</f>
        <v/>
      </c>
      <c r="BP171" s="86" t="str">
        <f aca="false">IF(Tasks[[#This Row],[Task Name]]="","",IF(OR(TakeBaseline="Yes",N(Tasks[[#This Row],[Baseline Work]])=0),Tasks[[#This Row],[Work]],Tasks[[#This Row],[Baseline Work]]))</f>
        <v/>
      </c>
      <c r="BQ171" s="7"/>
      <c r="BR171" s="7"/>
      <c r="BS171" s="22"/>
      <c r="BT171" s="88"/>
      <c r="BU171" s="23"/>
      <c r="BV171" s="23"/>
      <c r="BW171" s="23"/>
      <c r="BX171" s="89" t="str">
        <f aca="false">IF(AND(Tasks[[#This Row],[_IsLeaf]]=1,ISNUMBER(Tasks[[#This Row],[Optimistic]]),ISNUMBER(Tasks[[#This Row],[Pessimistic]])),ROUND((Tasks[[#This Row],[Optimistic]]+4*N(Tasks[[#This Row],[_Days]])+Tasks[[#This Row],[Pessimistic]])/6,1),"")</f>
        <v/>
      </c>
      <c r="BY171" s="87"/>
      <c r="BZ171" s="87"/>
      <c r="CA171" s="22"/>
      <c r="CB171" s="43" t="str">
        <f aca="false">IF(Tasks[[#This Row],[Task Name]]="","",MAX(1,N(Tasks[[#This Row],[Level]])))</f>
        <v/>
      </c>
      <c r="CC171" s="43" t="n">
        <f aca="false">ROW()-ROW(Tasks[[#Headers],[ID]])</f>
        <v>166</v>
      </c>
      <c r="CD171" s="43" t="n">
        <f aca="false">IF(OR(Tasks[[#This Row],[Task Name]]="",Tasks[[#This Row],[_Level]]&lt;=1),0,IFERROR(LOOKUP(2,1/(Tasks[[#Headers],[_Level]]:Tasks[[#This Row],[_Level]]=Tasks[[#This Row],[_Level]]-1),ROW(Tasks[[#Headers],[_Level]]:Tasks[[#This Row],[_Level]])),0))</f>
        <v>0</v>
      </c>
      <c r="CE171" s="43" t="n">
        <f aca="false">IFERROR(N(INDEX(Tasks[_Level],Tasks[[#This Row],[_Row]]+1)),0)</f>
        <v>0</v>
      </c>
      <c r="CF171" s="90" t="b">
        <f aca="false">AND(Tasks[[#This Row],[Task Name]]&lt;&gt;"",Tasks[[#This Row],[_NextLevel]]&gt;Tasks[[#This Row],[_Level]])</f>
        <v>0</v>
      </c>
      <c r="CG171" s="43" t="n">
        <f aca="false">IF(Tasks[[#This Row],[_IsSummary]],COUNTIF(Tasks[WBS],Tasks[[#This Row],[WBS]]&amp;".*"),0)</f>
        <v>0</v>
      </c>
      <c r="CH171" s="43" t="n">
        <f aca="false">IF(AND(Tasks[[#This Row],[Task Name]]&lt;&gt;"",NOT(Tasks[[#This Row],[_IsSummary]])),1,0)</f>
        <v>0</v>
      </c>
      <c r="CI171" s="43" t="n">
        <f aca="false">IF(N(Tasks[[#This Row],[_Pred1UID]])=0,0,IFERROR(MATCH(Tasks[[#This Row],[_Pred1UID]],Tasks[UID],0),-1))</f>
        <v>0</v>
      </c>
      <c r="CJ171" s="43" t="n">
        <f aca="false">IF(N(Tasks[[#This Row],[_Pred2UID]])=0,0,IFERROR(MATCH(Tasks[[#This Row],[_Pred2UID]],Tasks[UID],0),-1))</f>
        <v>0</v>
      </c>
      <c r="CK171" s="43" t="n">
        <f aca="false">IF(N(Tasks[[#This Row],[_Pred3UID]])=0,0,IFERROR(MATCH(Tasks[[#This Row],[_Pred3UID]],Tasks[UID],0),-1))</f>
        <v>0</v>
      </c>
      <c r="CL171" s="43" t="n">
        <f aca="false">IF(N(Tasks[[#This Row],[_Pred4UID]])=0,0,IFERROR(MATCH(Tasks[[#This Row],[_Pred4UID]],Tasks[UID],0),-1))</f>
        <v>0</v>
      </c>
      <c r="CM1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1" s="91" t="n">
        <f aca="false">IF(OR(Tasks[[#This Row],[_ConstraintCode]]=2,Tasks[[#This Row],[_ConstraintCode]]=3,Tasks[[#This Row],[_ConstraintCode]]=4,Tasks[[#This Row],[_ConstraintCode]]=6),Tasks[[#This Row],[_ConstraintStart]],0)</f>
        <v>0</v>
      </c>
      <c r="CP171" s="91" t="n">
        <f aca="false">IF(OR(Tasks[[#This Row],[_ConstraintCode]]=2,Tasks[[#This Row],[_ConstraintCode]]=3,Tasks[[#This Row],[_ConstraintCode]]=5,Tasks[[#This Row],[_ConstraintCode]]=7),Tasks[[#This Row],[_ConstraintStart]],2958465)</f>
        <v>2958465</v>
      </c>
      <c r="CQ1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91" t="str">
        <f aca="false">IF(NOT(Tasks[[#This Row],[_IsLeaf]]=1),"",IF(N(Tasks[[#This Row],[_Days]])&lt;=0,Tasks[[#This Row],[_LeafCalcStart]],WORKDAY.INTL(Tasks[[#This Row],[_LeafCalcStart]],Tasks[[#This Row],[_Days]]-1,WorkWeek,Holidays)))</f>
        <v/>
      </c>
      <c r="CS1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3" t="str">
        <f aca="false">IF(Tasks[[#This Row],[_Predecessors]]="","",TRIM(MID(SUBSTITUTE(SUBSTITUTE(SUBSTITUTE(UPPER(Tasks[[#This Row],[_Predecessors]]),";",",")," ",""),",",REPT(" ",99)),1,99)))</f>
        <v/>
      </c>
      <c r="CV171" s="43" t="str">
        <f aca="false">IF(Tasks[[#This Row],[_Pred1Text]]="","",IFERROR(VALUE(LEFT(Tasks[[#This Row],[_Pred1Text]],MIN(FIND("F",Tasks[[#This Row],[_Pred1Text]]&amp;"F"),FIND("S",Tasks[[#This Row],[_Pred1Text]]&amp;"S"),FIND("+",Tasks[[#This Row],[_Pred1Text]]&amp;"+"),FIND("-",Tasks[[#This Row],[_Pred1Text]]&amp;"-"))-1)),""))</f>
        <v/>
      </c>
      <c r="CW1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3" t="str">
        <f aca="false">IF(Tasks[[#This Row],[_Pred1Text]]="","",TRIM(MID(SUBSTITUTE(SUBSTITUTE(SUBSTITUTE(UPPER(Tasks[[#This Row],[_Predecessors]]),";",",")," ",""),",",REPT(" ",99)),100,99)))</f>
        <v/>
      </c>
      <c r="CZ171" s="43" t="str">
        <f aca="false">IF(Tasks[[#This Row],[_Pred2Text]]="","",IFERROR(VALUE(LEFT(Tasks[[#This Row],[_Pred2Text]],MIN(FIND("F",Tasks[[#This Row],[_Pred2Text]]&amp;"F"),FIND("S",Tasks[[#This Row],[_Pred2Text]]&amp;"S"),FIND("+",Tasks[[#This Row],[_Pred2Text]]&amp;"+"),FIND("-",Tasks[[#This Row],[_Pred2Text]]&amp;"-"))-1)),""))</f>
        <v/>
      </c>
      <c r="DA1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3" t="str">
        <f aca="false">IF(Tasks[[#This Row],[_Pred2Text]]="","",TRIM(MID(SUBSTITUTE(SUBSTITUTE(SUBSTITUTE(UPPER(Tasks[[#This Row],[_Predecessors]]),";",",")," ",""),",",REPT(" ",99)),199,99)))</f>
        <v/>
      </c>
      <c r="DD171" s="43" t="str">
        <f aca="false">IF(Tasks[[#This Row],[_Pred3Text]]="","",IFERROR(VALUE(LEFT(Tasks[[#This Row],[_Pred3Text]],MIN(FIND("F",Tasks[[#This Row],[_Pred3Text]]&amp;"F"),FIND("S",Tasks[[#This Row],[_Pred3Text]]&amp;"S"),FIND("+",Tasks[[#This Row],[_Pred3Text]]&amp;"+"),FIND("-",Tasks[[#This Row],[_Pred3Text]]&amp;"-"))-1)),""))</f>
        <v/>
      </c>
      <c r="DE1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3" t="str">
        <f aca="false">IF(Tasks[[#This Row],[_Pred3Text]]="","",TRIM(MID(SUBSTITUTE(SUBSTITUTE(SUBSTITUTE(UPPER(Tasks[[#This Row],[_Predecessors]]),";",",")," ",""),",",REPT(" ",99)),298,99)))</f>
        <v/>
      </c>
      <c r="DH171" s="43" t="str">
        <f aca="false">IF(Tasks[[#This Row],[_Pred4Text]]="","",IFERROR(VALUE(LEFT(Tasks[[#This Row],[_Pred4Text]],MIN(FIND("F",Tasks[[#This Row],[_Pred4Text]]&amp;"F"),FIND("S",Tasks[[#This Row],[_Pred4Text]]&amp;"S"),FIND("+",Tasks[[#This Row],[_Pred4Text]]&amp;"+"),FIND("-",Tasks[[#This Row],[_Pred4Text]]&amp;"-"))-1)),""))</f>
        <v/>
      </c>
      <c r="DI1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3" t="str">
        <f aca="false">IF(OR(Tasks[[#This Row],[Task Name]]="",Tasks[[#This Row],[_Resources]]=""),"",TRIM(MID(SUBSTITUTE(Tasks[[#This Row],[_Resources]],",",REPT(" ",99)),1,99)))</f>
        <v/>
      </c>
      <c r="DL171" s="43" t="str">
        <f aca="false">IF(Tasks[[#This Row],[_Res1Text]]="","",TRIM(MID(SUBSTITUTE(Tasks[[#This Row],[_Resources]],",",REPT(" ",99)),100,99)))</f>
        <v/>
      </c>
      <c r="DM171" s="43" t="str">
        <f aca="false">IF(Tasks[[#This Row],[_Res2Text]]="","",TRIM(MID(SUBSTITUTE(Tasks[[#This Row],[_Resources]],",",REPT(" ",99)),199,99)))</f>
        <v/>
      </c>
      <c r="DN171" s="43" t="str">
        <f aca="false">IF(Tasks[[#This Row],[_Res3Text]]="","",TRIM(MID(SUBSTITUTE(Tasks[[#This Row],[_Resources]],",",REPT(" ",99)),298,99)))</f>
        <v/>
      </c>
      <c r="DO171" s="43" t="n">
        <f aca="false">IF(Tasks[[#This Row],[_Res1Text]]="",0,IFERROR(MATCH(TRIM(LEFT(Tasks[[#This Row],[_Res1Text]],FIND("[",Tasks[[#This Row],[_Res1Text]]&amp;"[")-1)),res_Name,0),IFERROR(MATCH(TRIM(LEFT(Tasks[[#This Row],[_Res1Text]],FIND("[",Tasks[[#This Row],[_Res1Text]]&amp;"[")-1)),res_Initials,0),0)))</f>
        <v>0</v>
      </c>
      <c r="DP171" s="43" t="n">
        <f aca="false">IF(Tasks[[#This Row],[_Res2Text]]="",0,IFERROR(MATCH(TRIM(LEFT(Tasks[[#This Row],[_Res2Text]],FIND("[",Tasks[[#This Row],[_Res2Text]]&amp;"[")-1)),res_Name,0),IFERROR(MATCH(TRIM(LEFT(Tasks[[#This Row],[_Res2Text]],FIND("[",Tasks[[#This Row],[_Res2Text]]&amp;"[")-1)),res_Initials,0),0)))</f>
        <v>0</v>
      </c>
      <c r="DQ171" s="43" t="n">
        <f aca="false">IF(Tasks[[#This Row],[_Res3Text]]="",0,IFERROR(MATCH(TRIM(LEFT(Tasks[[#This Row],[_Res3Text]],FIND("[",Tasks[[#This Row],[_Res3Text]]&amp;"[")-1)),res_Name,0),IFERROR(MATCH(TRIM(LEFT(Tasks[[#This Row],[_Res3Text]],FIND("[",Tasks[[#This Row],[_Res3Text]]&amp;"[")-1)),res_Initials,0),0)))</f>
        <v>0</v>
      </c>
      <c r="DR171" s="43" t="n">
        <f aca="false">IF(Tasks[[#This Row],[_Res4Text]]="",0,IFERROR(MATCH(TRIM(LEFT(Tasks[[#This Row],[_Res4Text]],FIND("[",Tasks[[#This Row],[_Res4Text]]&amp;"[")-1)),res_Name,0),IFERROR(MATCH(TRIM(LEFT(Tasks[[#This Row],[_Res4Text]],FIND("[",Tasks[[#This Row],[_Res4Text]]&amp;"[")-1)),res_Initials,0),0)))</f>
        <v>0</v>
      </c>
      <c r="DS171" s="43" t="str">
        <f aca="false">IF(Tasks[[#This Row],[_Res1Text]]="","",IF(Tasks[[#This Row],[_Res1Row]]&gt;0,INDEX(res_Name,Tasks[[#This Row],[_Res1Row]]),TRIM(LEFT(Tasks[[#This Row],[_Res1Text]],FIND("[",Tasks[[#This Row],[_Res1Text]]&amp;"[")-1))))</f>
        <v/>
      </c>
      <c r="DT1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3" t="n">
        <f aca="false">IF(NOT(Tasks[[#This Row],[_IsLeaf]]=1),0,(Tasks[[#This Row],[_Resource1]]&lt;&gt;"")+(Tasks[[#This Row],[_Res2]]&lt;&gt;"")+(Tasks[[#This Row],[_Res3]]&lt;&gt;"")+(Tasks[[#This Row],[_Res4]]&lt;&gt;""))</f>
        <v>0</v>
      </c>
      <c r="DV171" s="43" t="str">
        <f aca="false">IF(Tasks[[#This Row],[_Res2Text]]="","",IF(Tasks[[#This Row],[_Res2Row]]&gt;0,INDEX(res_Name,Tasks[[#This Row],[_Res2Row]]),TRIM(LEFT(Tasks[[#This Row],[_Res2Text]],FIND("[",Tasks[[#This Row],[_Res2Text]]&amp;"[")-1))))</f>
        <v/>
      </c>
      <c r="DW1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3" t="n">
        <f aca="false">IF(OR(NOT(Tasks[[#This Row],[_IsLeaf]]=1),Tasks[[#This Row],[_Res2Row]]=0),0,N(Tasks[[#This Row],[_Days]])*HoursPerDay*IF(Tasks[[#This Row],[_Res2Units]]="",DefaultUnits,Tasks[[#This Row],[_Res2Units]]))</f>
        <v>0</v>
      </c>
      <c r="DY171" s="43" t="n">
        <f aca="false">IF(AND(AND(Tasks[[#This Row],[_IsLeaf]]=1,Tasks[[#This Row],[_LeafTotalWork]]&gt;0),Tasks[[#This Row],[_Res2Work]]&gt;0),Tasks[[#This Row],[_Res2Work]]/(Tasks[[#This Row],[_FinishWorkday]]-Tasks[[#This Row],[_StartWorkday]]+1),0)</f>
        <v>0</v>
      </c>
      <c r="DZ171" s="43" t="n">
        <f aca="false">Tasks[[#This Row],[_Res2WorkPerWD]]*MAX(0,Tasks[[#This Row],[_StartWorkday]]-1)</f>
        <v>0</v>
      </c>
      <c r="EA171" s="43" t="n">
        <f aca="false">Tasks[[#This Row],[_Res2Work]]*Tasks[[#This Row],[_LeafProgress]]</f>
        <v>0</v>
      </c>
      <c r="EB171" s="43" t="str">
        <f aca="false">IF(Tasks[[#This Row],[_Res3Text]]="","",IF(Tasks[[#This Row],[_Res3Row]]&gt;0,INDEX(res_Name,Tasks[[#This Row],[_Res3Row]]),TRIM(LEFT(Tasks[[#This Row],[_Res3Text]],FIND("[",Tasks[[#This Row],[_Res3Text]]&amp;"[")-1))))</f>
        <v/>
      </c>
      <c r="EC1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3" t="n">
        <f aca="false">IF(OR(NOT(Tasks[[#This Row],[_IsLeaf]]=1),Tasks[[#This Row],[_Res3Row]]=0),0,N(Tasks[[#This Row],[_Days]])*HoursPerDay*IF(Tasks[[#This Row],[_Res3Units]]="",DefaultUnits,Tasks[[#This Row],[_Res3Units]]))</f>
        <v>0</v>
      </c>
      <c r="EE171" s="43" t="n">
        <f aca="false">IF(AND(AND(Tasks[[#This Row],[_IsLeaf]]=1,Tasks[[#This Row],[_LeafTotalWork]]&gt;0),Tasks[[#This Row],[_Res3Work]]&gt;0),Tasks[[#This Row],[_Res3Work]]/(Tasks[[#This Row],[_FinishWorkday]]-Tasks[[#This Row],[_StartWorkday]]+1),0)</f>
        <v>0</v>
      </c>
      <c r="EF171" s="43" t="n">
        <f aca="false">Tasks[[#This Row],[_Res3WorkPerWD]]*MAX(0,Tasks[[#This Row],[_StartWorkday]]-1)</f>
        <v>0</v>
      </c>
      <c r="EG171" s="43" t="n">
        <f aca="false">Tasks[[#This Row],[_Res3Work]]*Tasks[[#This Row],[_LeafProgress]]</f>
        <v>0</v>
      </c>
      <c r="EH171" s="43" t="str">
        <f aca="false">IF(Tasks[[#This Row],[_Res4Text]]="","",IF(Tasks[[#This Row],[_Res4Row]]&gt;0,INDEX(res_Name,Tasks[[#This Row],[_Res4Row]]),TRIM(LEFT(Tasks[[#This Row],[_Res4Text]],FIND("[",Tasks[[#This Row],[_Res4Text]]&amp;"[")-1))))</f>
        <v/>
      </c>
      <c r="EI1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3" t="n">
        <f aca="false">IF(OR(NOT(Tasks[[#This Row],[_IsLeaf]]=1),Tasks[[#This Row],[_Res4Row]]=0),0,N(Tasks[[#This Row],[_Days]])*HoursPerDay*IF(Tasks[[#This Row],[_Res4Units]]="",DefaultUnits,Tasks[[#This Row],[_Res4Units]]))</f>
        <v>0</v>
      </c>
      <c r="EK171" s="43" t="n">
        <f aca="false">IF(AND(AND(Tasks[[#This Row],[_IsLeaf]]=1,Tasks[[#This Row],[_LeafTotalWork]]&gt;0),Tasks[[#This Row],[_Res4Work]]&gt;0),Tasks[[#This Row],[_Res4Work]]/(Tasks[[#This Row],[_FinishWorkday]]-Tasks[[#This Row],[_StartWorkday]]+1),0)</f>
        <v>0</v>
      </c>
      <c r="EL171" s="43" t="n">
        <f aca="false">Tasks[[#This Row],[_Res4WorkPerWD]]*MAX(0,Tasks[[#This Row],[_StartWorkday]]-1)</f>
        <v>0</v>
      </c>
      <c r="EM171" s="43" t="n">
        <f aca="false">Tasks[[#This Row],[_Res4Work]]*Tasks[[#This Row],[_LeafProgress]]</f>
        <v>0</v>
      </c>
      <c r="EN171" s="43" t="n">
        <f aca="false">IF(ISNUMBER(Tasks[[#This Row],[% Complete]]),Tasks[[#This Row],[% Complete]],IF(Tasks[[#This Row],[Stage]]="",0,IFERROR(INDEX(stg_Pct,MATCH(Tasks[[#This Row],[Stage]],stg_Name,0)),0)))</f>
        <v>0</v>
      </c>
      <c r="EO171" s="43" t="n">
        <f aca="false">IF(NOT(Tasks[[#This Row],[_IsLeaf]]=1),0,IF(N(Tasks[[#This Row],[Actual Finish]])&gt;0,1,MIN(1,Tasks[[#This Row],[_Pct]])))</f>
        <v>0</v>
      </c>
      <c r="EP171" s="43" t="n">
        <f aca="false">IF(OR(NOT(Tasks[[#This Row],[_IsLeaf]]=1),Tasks[[#This Row],[_Res1Row]]=0),0,N(Tasks[[#This Row],[_Days]])*HoursPerDay*IF(Tasks[[#This Row],[_Units1]]="",DefaultUnits,Tasks[[#This Row],[_Units1]]))</f>
        <v>0</v>
      </c>
      <c r="EQ171" s="43" t="n">
        <f aca="false">Tasks[[#This Row],[_LeafWork]]+Tasks[[#This Row],[_Res2Work]]+Tasks[[#This Row],[_Res3Work]]+Tasks[[#This Row],[_Res4Work]]</f>
        <v>0</v>
      </c>
      <c r="ER1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3" t="n">
        <f aca="false">IF(NOT(Tasks[[#This Row],[_IsLeaf]]=1),0,MAX(_xlfn.MAXIFS(Tasks[_Row],Tasks[_Pred1UID],Tasks[[#This Row],[UID]]),_xlfn.MAXIFS(Tasks[_Row],Tasks[_Pred2UID],Tasks[[#This Row],[UID]]),_xlfn.MAXIFS(Tasks[_Row],Tasks[_Pred3UID],Tasks[[#This Row],[UID]]),_xlfn.MAXIFS(Tasks[_Row],Tasks[_Pred4UID],Tasks[[#This Row],[UID]])))</f>
        <v>0</v>
      </c>
      <c r="FA1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91" t="str">
        <f aca="false">IF(NOT(Tasks[[#This Row],[_IsLeaf]]=1),"",IF(N(Tasks[[#This Row],[_Days]])&lt;=0,Tasks[[#This Row],[_LeafLateFinish]],WORKDAY.INTL(Tasks[[#This Row],[_LeafLateFinish]],-(Tasks[[#This Row],[_Days]]-1),WorkWeek,Holidays)))</f>
        <v/>
      </c>
      <c r="FD1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1" s="90" t="b">
        <f aca="false">AND(Tasks[[#This Row],[_IsLeaf]]=1,Tasks[[#This Row],[_LeafProgress]]&lt;1,N(Tasks[[#This Row],[_LeafTotalSlack]])&lt;=CriticalSlackDays)</f>
        <v>0</v>
      </c>
      <c r="FF171" s="43" t="n">
        <f aca="false">IF(AND(Tasks[[#This Row],[_IsLeaf]]=1,Tasks[[#This Row],[_ConstraintCode]]=1,Tasks[[#This Row],[Mode]]&lt;&gt;"Manual",N(Tasks[[#This Row],[Actual Start]])=0),MAX(0,N(Tasks[[#This Row],[Free Slack]])),0)</f>
        <v>0</v>
      </c>
      <c r="FG171" s="91" t="str">
        <f aca="false">IF(NOT(Tasks[[#This Row],[_IsLeaf]]=1),"",IF(Tasks[[#This Row],[_AlapShift]]=0,Tasks[[#This Row],[_LeafCalcStart]],WORKDAY.INTL(Tasks[[#This Row],[_LeafCalcStart]],Tasks[[#This Row],[_AlapShift]],WorkWeek,Holidays)))</f>
        <v/>
      </c>
      <c r="FH171" s="91" t="str">
        <f aca="false">IF(NOT(Tasks[[#This Row],[_IsLeaf]]=1),"",IF(Tasks[[#This Row],[_AlapShift]]=0,Tasks[[#This Row],[_LeafCalcFinish]],WORKDAY.INTL(Tasks[[#This Row],[_LeafCalcFinish]],Tasks[[#This Row],[_AlapShift]],WorkWeek,Holidays)))</f>
        <v/>
      </c>
      <c r="FI171" s="91" t="str">
        <f aca="false">IF(NOT(Tasks[[#This Row],[_IsLeaf]]=1),"",IF(Tasks[[#This Row],[_AlapShift]]=0,Tasks[[#This Row],[_LeafFcstStart]],WORKDAY.INTL(Tasks[[#This Row],[_LeafFcstStart]],Tasks[[#This Row],[_AlapShift]],WorkWeek,Holidays)))</f>
        <v/>
      </c>
      <c r="FJ171" s="91" t="str">
        <f aca="false">IF(NOT(Tasks[[#This Row],[_IsLeaf]]=1),"",IF(Tasks[[#This Row],[_AlapShift]]=0,Tasks[[#This Row],[_LeafFcstFinish]],WORKDAY.INTL(Tasks[[#This Row],[_LeafFcstFinish]],Tasks[[#This Row],[_AlapShift]],WorkWeek,Holidays)))</f>
        <v/>
      </c>
      <c r="FK171" s="91" t="str">
        <f aca="false">IF(Tasks[[#This Row],[Task Name]]="","",IF(Tasks[[#This Row],[_IsSummary]],MIN(INDEX(Tasks[_ShownCalcStart],Tasks[[#This Row],[_Row]]+1):INDEX(Tasks[_ShownCalcStart],Tasks[[#This Row],[_Row]]+Tasks[[#This Row],[_Descendants]])),Tasks[[#This Row],[_ShownCalcStart]]))</f>
        <v/>
      </c>
      <c r="FL171" s="91" t="str">
        <f aca="false">IF(Tasks[[#This Row],[Task Name]]="","",IF(Tasks[[#This Row],[_IsSummary]],MAX(INDEX(Tasks[_ShownCalcFinish],Tasks[[#This Row],[_Row]]+1):INDEX(Tasks[_ShownCalcFinish],Tasks[[#This Row],[_Row]]+Tasks[[#This Row],[_Descendants]])),Tasks[[#This Row],[_ShownCalcFinish]]))</f>
        <v/>
      </c>
      <c r="FM1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1" s="43" t="n">
        <f aca="false">IF(AND(Tasks[[#This Row],[_IsLeaf]]=1,Tasks[[#This Row],[_LeafTotalWork]]&gt;0),NETWORKDAYS.INTL(ProjectStart,Tasks[[#This Row],[_ShownFcstStart]],WorkWeek,Holidays),0)</f>
        <v>0</v>
      </c>
      <c r="FZ171" s="43" t="n">
        <f aca="false">IF(AND(Tasks[[#This Row],[_IsLeaf]]=1,Tasks[[#This Row],[_LeafTotalWork]]&gt;0),MAX(Tasks[[#This Row],[_StartWorkday]],NETWORKDAYS.INTL(ProjectStart,Tasks[[#This Row],[_ShownFcstFinish]],WorkWeek,Holidays)),0)</f>
        <v>0</v>
      </c>
      <c r="GA171" s="43" t="n">
        <f aca="false">IF(AND(Tasks[[#This Row],[_IsLeaf]]=1,Tasks[[#This Row],[_LeafTotalWork]]&gt;0),Tasks[[#This Row],[_LeafWork]]/(Tasks[[#This Row],[_FinishWorkday]]-Tasks[[#This Row],[_StartWorkday]]+1),0)</f>
        <v>0</v>
      </c>
      <c r="GB171" s="43" t="n">
        <f aca="false">Tasks[[#This Row],[_WorkPerWorkday]]*(Tasks[[#This Row],[_StartWorkday]]-1)</f>
        <v>-0</v>
      </c>
      <c r="GC171" s="43" t="n">
        <f aca="false">IF(Tasks[[#This Row],[_IsLeaf]]=1,MAX(N(Tasks[[#This Row],[_Days]]),0.1),0)</f>
        <v>0</v>
      </c>
      <c r="GD171" s="43" t="n">
        <f aca="false">Tasks[[#This Row],[_WeightDur]]*Tasks[[#This Row],[_LeafProgress]]</f>
        <v>0</v>
      </c>
      <c r="GE171" s="43" t="n">
        <f aca="false">Tasks[[#This Row],[_WeightDur]]*Tasks[[#This Row],[_PlannedPct]]</f>
        <v>0</v>
      </c>
      <c r="GF1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3" t="str">
        <f aca="false">IF(AND(Tasks[[#This Row],[_IsLeaf]]=1,N(Tasks[[#This Row],[_Days]])=0,Tasks[[#This Row],[_LeafProgress]]&lt;1),Tasks[[#This Row],[_ShownFcstFinish]]+Tasks[[#This Row],[_Row]]/100000,"")</f>
        <v/>
      </c>
      <c r="GH1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1" s="43" t="str">
        <f aca="false">IF(Tasks[[#This Row],[Task Name]]="","",LEFT(Tasks[[#This Row],[WBS]],FIND(".",Tasks[[#This Row],[WBS]]&amp;".")-1))</f>
        <v/>
      </c>
      <c r="GJ171" s="43" t="str">
        <f aca="false">IF(AND(Tasks[[#This Row],[Task Name]]&lt;&gt;"",Tasks[[#This Row],[_Level]]=1),Tasks[[#This Row],[_Row]],"")</f>
        <v/>
      </c>
      <c r="GK171" s="43" t="str">
        <f aca="false">IF(AND(Tasks[[#This Row],[_IsLeaf]]=1,N(Tasks[[#This Row],[_Days]])=0),Tasks[[#This Row],[Planned Finish]]+Tasks[[#This Row],[_Row]]/100000,"")</f>
        <v/>
      </c>
      <c r="GL171" s="43" t="str">
        <f aca="false">IF(AND(Tasks[[#This Row],[_IsLeaf]]=1,Tasks[[#This Row],[_LeafProgress]]&lt;1,OR(N(Tasks[[#This Row],[Finish Var]])&gt;0,Tasks[[#This Row],[Status]]="Late Start")),MAX(0,Tasks[[#This Row],[Finish Var]])+1-Tasks[[#This Row],[_Row]]/1000000,"")</f>
        <v/>
      </c>
      <c r="GM171" s="43" t="str">
        <f aca="false">IF(AND(Tasks[[#This Row],[_IsLeaf]]=1,N(Tasks[[#This Row],[Actual Start]])=0,Tasks[[#This Row],[_ShownFcstStart]]&gt;=StatusDate,Tasks[[#This Row],[_ShownFcstStart]]&lt;=LookaheadEnd),Tasks[[#This Row],[_ShownFcstStart]]+Tasks[[#This Row],[_Row]]/100000,"")</f>
        <v/>
      </c>
      <c r="GN171" s="43" t="str">
        <f aca="false">IF(AND(Tasks[[#This Row],[_IsLeaf]]=1,Tasks[[#This Row],[_LeafProgress]]&lt;1,Tasks[[#This Row],[_ShownFcstFinish]]&gt;=StatusDate,Tasks[[#This Row],[_ShownFcstFinish]]&lt;=LookaheadEnd),Tasks[[#This Row],[_ShownFcstFinish]]+Tasks[[#This Row],[_Row]]/100000,"")</f>
        <v/>
      </c>
      <c r="GO171" s="43" t="str">
        <f aca="false">IF(Tasks[[#This Row],[_LeafCritical]],Tasks[[#This Row],[_ShownFcstStart]]+Tasks[[#This Row],[_Row]]/100000,"")</f>
        <v/>
      </c>
      <c r="GP171" s="43" t="n">
        <f aca="false">Tasks[[#This Row],[_LeafWork]]*Tasks[[#This Row],[_LeafProgress]]</f>
        <v>0</v>
      </c>
      <c r="GQ171" s="91" t="str">
        <f aca="false">IF(AND(Tasks[[#This Row],[_IsLeaf]]=1,Tasks[[#This Row],[_LeafProgress]]&gt;=1),IF(N(Tasks[[#This Row],[Actual Finish]])&gt;0,Tasks[[#This Row],[Actual Finish]],Tasks[[#This Row],[_ShownFcstFinish]]),"")</f>
        <v/>
      </c>
      <c r="GR171" s="43" t="n">
        <f aca="false">IF(Tasks[[#This Row],[_IsLeaf]]=1,N(Tasks[[#This Row],[Story Points]]),0)</f>
        <v>0</v>
      </c>
      <c r="GS171" s="43" t="str">
        <f aca="false">""</f>
        <v/>
      </c>
      <c r="GT171" s="90" t="b">
        <f aca="false">IF(Tasks[[#This Row],[Task Name]]="",FALSE(),AND(Tasks[[#This Row],[_IsLeaf]]=1,N(Tasks[[#This Row],[_Days]])=0))</f>
        <v>0</v>
      </c>
      <c r="GU171" s="91" t="n">
        <f aca="false">IF(Tasks[[#This Row],[Task Name]]="",0,IF(AND(Tasks[[#This Row],[_IsLeaf]]=1,NOT(Tasks[[#This Row],[_IsMilestone]]),N(Tasks[[#This Row],[Progress]])&gt;0),Tasks[[#This Row],[Start]],0))</f>
        <v>0</v>
      </c>
      <c r="GV171" s="91" t="n">
        <f aca="false">IF(Tasks[[#This Row],[_DoneFrom]]=0,0,IF(Tasks[[#This Row],[Progress]]&gt;=1,Tasks[[#This Row],[Finish]],MAX(Tasks[[#This Row],[_DoneFrom]],Tasks[[#This Row],[Start]]+ROUND((Tasks[[#This Row],[Finish]]-Tasks[[#This Row],[Start]]+1)*Tasks[[#This Row],[Progress]],0)-1)))</f>
        <v>0</v>
      </c>
      <c r="GW171" s="91" t="n">
        <f aca="false">IF(Tasks[[#This Row],[Task Name]]="",0,IF(OR(NOT(Tasks[[#This Row],[_IsLeaf]]=1),Tasks[[#This Row],[_IsMilestone]],N(Tasks[[#This Row],[Progress]])&gt;=1),0,IF(Tasks[[#This Row],[_DoneTo]]&gt;0,Tasks[[#This Row],[_DoneTo]]+1,Tasks[[#This Row],[Start]])))</f>
        <v>0</v>
      </c>
      <c r="GX171" s="91" t="n">
        <f aca="false">IF(Tasks[[#This Row],[_RemFrom]]=0,0,Tasks[[#This Row],[Finish]])</f>
        <v>0</v>
      </c>
      <c r="GY171" s="90" t="b">
        <f aca="false">IF(Tasks[[#This Row],[Task Name]]="",FALSE(),OR(NOT(BaselineSet),N(Tasks[[#This Row],[Baseline Start]])&gt;0))</f>
        <v>0</v>
      </c>
      <c r="GZ17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92" t="str">
        <f aca="false">IF(Tasks[[#This Row],[_IsLeaf]]=1,Tasks[[#This Row],[_Row]],"")</f>
        <v/>
      </c>
      <c r="HD171" s="92" t="str">
        <f aca="false">IFERROR(INDEX(Tasks[UID],SMALL(Tasks[_PickKey],Tasks[[#This Row],[_Row]]))&amp;" "&amp;INDEX(Tasks[Task Name],SMALL(Tasks[_PickKey],Tasks[[#This Row],[_Row]])),"")</f>
        <v/>
      </c>
      <c r="HE171" s="43" t="str">
        <f aca="false">IF(Tasks[[#This Row],[Task Name]]="","",IF(Tasks[[#This Row],[_IsSummary]],NETWORKDAYS.INTL(Tasks[[#This Row],[Start]],Tasks[[#This Row],[Finish]],WorkWeek,Holidays),N(Tasks[[#This Row],[_Days]])))</f>
        <v/>
      </c>
      <c r="HF171" s="43" t="n">
        <f aca="false">IF(Tasks[[#This Row],[Expected]]="",0,((Tasks[[#This Row],[Pessimistic]]-Tasks[[#This Row],[Optimistic]])/6)^2)</f>
        <v>0</v>
      </c>
      <c r="HG171" s="43" t="n">
        <f aca="false">IF(Tasks[[#This Row],[Expected]]="",0,Tasks[[#This Row],[Expected]]-N(Tasks[[#This Row],[_Days]]))</f>
        <v>0</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4"/>
      <c r="U172" s="23"/>
      <c r="V172" s="84"/>
      <c r="W172" s="23"/>
      <c r="X172" s="84"/>
      <c r="Y172" s="23"/>
      <c r="Z172" s="84"/>
      <c r="AA172" s="23"/>
      <c r="AB172" s="23"/>
      <c r="AC172" s="7"/>
      <c r="AD172" s="7"/>
      <c r="AE172" s="63" t="str">
        <f aca="false">IF(Tasks[[#This Row],[Task Name]]="","",IF(Tasks[[#This Row],[_IsSummary]],MIN(INDEX(Tasks[_ShownFcstStart],Tasks[[#This Row],[_Row]]+1):INDEX(Tasks[_ShownFcstStart],Tasks[[#This Row],[_Row]]+Tasks[[#This Row],[_Descendants]])),Tasks[[#This Row],[_ShownFcstStart]]))</f>
        <v/>
      </c>
      <c r="AF172" s="63"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2" s="7"/>
      <c r="AK172" s="22"/>
      <c r="AL172" s="23"/>
      <c r="AM172" s="7"/>
      <c r="AN172" s="47"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3" t="str">
        <f aca="false">IF(Tasks[[#This Row],[Task Name]]="","",IF(N(Tasks[[#This Row],[Baseline Start]])&gt;0,Tasks[[#This Row],[Baseline Start]],Tasks[[#This Row],[_CalcStart]]))</f>
        <v/>
      </c>
      <c r="AR172" s="63" t="str">
        <f aca="false">IF(Tasks[[#This Row],[Task Name]]="","",IF(N(Tasks[[#This Row],[Baseline Finish]])&gt;0,Tasks[[#This Row],[Baseline Finish]],Tasks[[#This Row],[_CalcFinish]]))</f>
        <v/>
      </c>
      <c r="AS172" s="47" t="str">
        <f aca="false">IF(Tasks[[#This Row],[Task Name]]="","",IF(Tasks[[#This Row],[Start]]&gt;=Tasks[[#This Row],[Planned Start]],NETWORKDAYS.INTL(Tasks[[#This Row],[Planned Start]],Tasks[[#This Row],[Start]],WorkWeek,Holidays)-1,1-NETWORKDAYS.INTL(Tasks[[#This Row],[Start]],Tasks[[#This Row],[Planned Start]],WorkWeek,Holidays)))</f>
        <v/>
      </c>
      <c r="AT172" s="63" t="str">
        <f aca="false">IF(Tasks[[#This Row],[Task Name]]="","",IF(Tasks[[#This Row],[_IsSummary]],MIN(INDEX(Tasks[_LeafLateStart],Tasks[[#This Row],[_Row]]+1):INDEX(Tasks[_LeafLateStart],Tasks[[#This Row],[_Row]]+Tasks[[#This Row],[_Descendants]])),Tasks[[#This Row],[_LeafLateStart]]))</f>
        <v/>
      </c>
      <c r="AU172" s="63" t="str">
        <f aca="false">IF(Tasks[[#This Row],[Task Name]]="","",IF(Tasks[[#This Row],[_IsSummary]],MAX(INDEX(Tasks[_LeafLateFinish],Tasks[[#This Row],[_Row]]+1):INDEX(Tasks[_LeafLateFinish],Tasks[[#This Row],[_Row]]+Tasks[[#This Row],[_Descendants]])),Tasks[[#This Row],[_LeafLateFinish]]))</f>
        <v/>
      </c>
      <c r="AV172" s="47"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5"/>
      <c r="BA1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6"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7"/>
      <c r="BJ172" s="22"/>
      <c r="BK172" s="47" t="str">
        <f aca="false">IF(OR(Tasks[[#This Row],[Task Name]]="",Tasks[[#This Row],[Baseline Duration]]=""),"",Tasks[[#This Row],[_SpanDays]]-N(Tasks[[#This Row],[Baseline Duration]]))</f>
        <v/>
      </c>
      <c r="BL172" s="86" t="str">
        <f aca="false">IF(OR(Tasks[[#This Row],[Task Name]]="",Tasks[[#This Row],[Baseline Work]]=""),"",Tasks[[#This Row],[Work]]-N(Tasks[[#This Row],[Baseline Work]]))</f>
        <v/>
      </c>
      <c r="BM172" s="63" t="str">
        <f aca="false">IF(Tasks[[#This Row],[Task Name]]="","",IF(OR(TakeBaseline="Yes",N(Tasks[[#This Row],[Baseline Start]])=0),Tasks[[#This Row],[Start]],Tasks[[#This Row],[Baseline Start]]))</f>
        <v/>
      </c>
      <c r="BN172" s="63" t="str">
        <f aca="false">IF(Tasks[[#This Row],[Task Name]]="","",IF(OR(TakeBaseline="Yes",N(Tasks[[#This Row],[Baseline Finish]])=0),Tasks[[#This Row],[Finish]],Tasks[[#This Row],[Baseline Finish]]))</f>
        <v/>
      </c>
      <c r="BO172" s="21" t="str">
        <f aca="false">IF(Tasks[[#This Row],[Task Name]]="","",IF(OR(TakeBaseline="Yes",N(Tasks[[#This Row],[Baseline Duration]])=0),Tasks[[#This Row],[_SpanDays]],Tasks[[#This Row],[Baseline Duration]]))</f>
        <v/>
      </c>
      <c r="BP172" s="86" t="str">
        <f aca="false">IF(Tasks[[#This Row],[Task Name]]="","",IF(OR(TakeBaseline="Yes",N(Tasks[[#This Row],[Baseline Work]])=0),Tasks[[#This Row],[Work]],Tasks[[#This Row],[Baseline Work]]))</f>
        <v/>
      </c>
      <c r="BQ172" s="7"/>
      <c r="BR172" s="7"/>
      <c r="BS172" s="22"/>
      <c r="BT172" s="88"/>
      <c r="BU172" s="23"/>
      <c r="BV172" s="23"/>
      <c r="BW172" s="23"/>
      <c r="BX172" s="89" t="str">
        <f aca="false">IF(AND(Tasks[[#This Row],[_IsLeaf]]=1,ISNUMBER(Tasks[[#This Row],[Optimistic]]),ISNUMBER(Tasks[[#This Row],[Pessimistic]])),ROUND((Tasks[[#This Row],[Optimistic]]+4*N(Tasks[[#This Row],[_Days]])+Tasks[[#This Row],[Pessimistic]])/6,1),"")</f>
        <v/>
      </c>
      <c r="BY172" s="87"/>
      <c r="BZ172" s="87"/>
      <c r="CA172" s="22"/>
      <c r="CB172" s="43" t="str">
        <f aca="false">IF(Tasks[[#This Row],[Task Name]]="","",MAX(1,N(Tasks[[#This Row],[Level]])))</f>
        <v/>
      </c>
      <c r="CC172" s="43" t="n">
        <f aca="false">ROW()-ROW(Tasks[[#Headers],[ID]])</f>
        <v>167</v>
      </c>
      <c r="CD172" s="43" t="n">
        <f aca="false">IF(OR(Tasks[[#This Row],[Task Name]]="",Tasks[[#This Row],[_Level]]&lt;=1),0,IFERROR(LOOKUP(2,1/(Tasks[[#Headers],[_Level]]:Tasks[[#This Row],[_Level]]=Tasks[[#This Row],[_Level]]-1),ROW(Tasks[[#Headers],[_Level]]:Tasks[[#This Row],[_Level]])),0))</f>
        <v>0</v>
      </c>
      <c r="CE172" s="43" t="n">
        <f aca="false">IFERROR(N(INDEX(Tasks[_Level],Tasks[[#This Row],[_Row]]+1)),0)</f>
        <v>0</v>
      </c>
      <c r="CF172" s="90" t="b">
        <f aca="false">AND(Tasks[[#This Row],[Task Name]]&lt;&gt;"",Tasks[[#This Row],[_NextLevel]]&gt;Tasks[[#This Row],[_Level]])</f>
        <v>0</v>
      </c>
      <c r="CG172" s="43" t="n">
        <f aca="false">IF(Tasks[[#This Row],[_IsSummary]],COUNTIF(Tasks[WBS],Tasks[[#This Row],[WBS]]&amp;".*"),0)</f>
        <v>0</v>
      </c>
      <c r="CH172" s="43" t="n">
        <f aca="false">IF(AND(Tasks[[#This Row],[Task Name]]&lt;&gt;"",NOT(Tasks[[#This Row],[_IsSummary]])),1,0)</f>
        <v>0</v>
      </c>
      <c r="CI172" s="43" t="n">
        <f aca="false">IF(N(Tasks[[#This Row],[_Pred1UID]])=0,0,IFERROR(MATCH(Tasks[[#This Row],[_Pred1UID]],Tasks[UID],0),-1))</f>
        <v>0</v>
      </c>
      <c r="CJ172" s="43" t="n">
        <f aca="false">IF(N(Tasks[[#This Row],[_Pred2UID]])=0,0,IFERROR(MATCH(Tasks[[#This Row],[_Pred2UID]],Tasks[UID],0),-1))</f>
        <v>0</v>
      </c>
      <c r="CK172" s="43" t="n">
        <f aca="false">IF(N(Tasks[[#This Row],[_Pred3UID]])=0,0,IFERROR(MATCH(Tasks[[#This Row],[_Pred3UID]],Tasks[UID],0),-1))</f>
        <v>0</v>
      </c>
      <c r="CL172" s="43" t="n">
        <f aca="false">IF(N(Tasks[[#This Row],[_Pred4UID]])=0,0,IFERROR(MATCH(Tasks[[#This Row],[_Pred4UID]],Tasks[UID],0),-1))</f>
        <v>0</v>
      </c>
      <c r="CM1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2" s="91" t="n">
        <f aca="false">IF(OR(Tasks[[#This Row],[_ConstraintCode]]=2,Tasks[[#This Row],[_ConstraintCode]]=3,Tasks[[#This Row],[_ConstraintCode]]=4,Tasks[[#This Row],[_ConstraintCode]]=6),Tasks[[#This Row],[_ConstraintStart]],0)</f>
        <v>0</v>
      </c>
      <c r="CP172" s="91" t="n">
        <f aca="false">IF(OR(Tasks[[#This Row],[_ConstraintCode]]=2,Tasks[[#This Row],[_ConstraintCode]]=3,Tasks[[#This Row],[_ConstraintCode]]=5,Tasks[[#This Row],[_ConstraintCode]]=7),Tasks[[#This Row],[_ConstraintStart]],2958465)</f>
        <v>2958465</v>
      </c>
      <c r="CQ1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91" t="str">
        <f aca="false">IF(NOT(Tasks[[#This Row],[_IsLeaf]]=1),"",IF(N(Tasks[[#This Row],[_Days]])&lt;=0,Tasks[[#This Row],[_LeafCalcStart]],WORKDAY.INTL(Tasks[[#This Row],[_LeafCalcStart]],Tasks[[#This Row],[_Days]]-1,WorkWeek,Holidays)))</f>
        <v/>
      </c>
      <c r="CS1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3" t="str">
        <f aca="false">IF(Tasks[[#This Row],[_Predecessors]]="","",TRIM(MID(SUBSTITUTE(SUBSTITUTE(SUBSTITUTE(UPPER(Tasks[[#This Row],[_Predecessors]]),";",",")," ",""),",",REPT(" ",99)),1,99)))</f>
        <v/>
      </c>
      <c r="CV172" s="43" t="str">
        <f aca="false">IF(Tasks[[#This Row],[_Pred1Text]]="","",IFERROR(VALUE(LEFT(Tasks[[#This Row],[_Pred1Text]],MIN(FIND("F",Tasks[[#This Row],[_Pred1Text]]&amp;"F"),FIND("S",Tasks[[#This Row],[_Pred1Text]]&amp;"S"),FIND("+",Tasks[[#This Row],[_Pred1Text]]&amp;"+"),FIND("-",Tasks[[#This Row],[_Pred1Text]]&amp;"-"))-1)),""))</f>
        <v/>
      </c>
      <c r="CW1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3" t="str">
        <f aca="false">IF(Tasks[[#This Row],[_Pred1Text]]="","",TRIM(MID(SUBSTITUTE(SUBSTITUTE(SUBSTITUTE(UPPER(Tasks[[#This Row],[_Predecessors]]),";",",")," ",""),",",REPT(" ",99)),100,99)))</f>
        <v/>
      </c>
      <c r="CZ172" s="43" t="str">
        <f aca="false">IF(Tasks[[#This Row],[_Pred2Text]]="","",IFERROR(VALUE(LEFT(Tasks[[#This Row],[_Pred2Text]],MIN(FIND("F",Tasks[[#This Row],[_Pred2Text]]&amp;"F"),FIND("S",Tasks[[#This Row],[_Pred2Text]]&amp;"S"),FIND("+",Tasks[[#This Row],[_Pred2Text]]&amp;"+"),FIND("-",Tasks[[#This Row],[_Pred2Text]]&amp;"-"))-1)),""))</f>
        <v/>
      </c>
      <c r="DA1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3" t="str">
        <f aca="false">IF(Tasks[[#This Row],[_Pred2Text]]="","",TRIM(MID(SUBSTITUTE(SUBSTITUTE(SUBSTITUTE(UPPER(Tasks[[#This Row],[_Predecessors]]),";",",")," ",""),",",REPT(" ",99)),199,99)))</f>
        <v/>
      </c>
      <c r="DD172" s="43" t="str">
        <f aca="false">IF(Tasks[[#This Row],[_Pred3Text]]="","",IFERROR(VALUE(LEFT(Tasks[[#This Row],[_Pred3Text]],MIN(FIND("F",Tasks[[#This Row],[_Pred3Text]]&amp;"F"),FIND("S",Tasks[[#This Row],[_Pred3Text]]&amp;"S"),FIND("+",Tasks[[#This Row],[_Pred3Text]]&amp;"+"),FIND("-",Tasks[[#This Row],[_Pred3Text]]&amp;"-"))-1)),""))</f>
        <v/>
      </c>
      <c r="DE1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3" t="str">
        <f aca="false">IF(Tasks[[#This Row],[_Pred3Text]]="","",TRIM(MID(SUBSTITUTE(SUBSTITUTE(SUBSTITUTE(UPPER(Tasks[[#This Row],[_Predecessors]]),";",",")," ",""),",",REPT(" ",99)),298,99)))</f>
        <v/>
      </c>
      <c r="DH172" s="43" t="str">
        <f aca="false">IF(Tasks[[#This Row],[_Pred4Text]]="","",IFERROR(VALUE(LEFT(Tasks[[#This Row],[_Pred4Text]],MIN(FIND("F",Tasks[[#This Row],[_Pred4Text]]&amp;"F"),FIND("S",Tasks[[#This Row],[_Pred4Text]]&amp;"S"),FIND("+",Tasks[[#This Row],[_Pred4Text]]&amp;"+"),FIND("-",Tasks[[#This Row],[_Pred4Text]]&amp;"-"))-1)),""))</f>
        <v/>
      </c>
      <c r="DI1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3" t="str">
        <f aca="false">IF(OR(Tasks[[#This Row],[Task Name]]="",Tasks[[#This Row],[_Resources]]=""),"",TRIM(MID(SUBSTITUTE(Tasks[[#This Row],[_Resources]],",",REPT(" ",99)),1,99)))</f>
        <v/>
      </c>
      <c r="DL172" s="43" t="str">
        <f aca="false">IF(Tasks[[#This Row],[_Res1Text]]="","",TRIM(MID(SUBSTITUTE(Tasks[[#This Row],[_Resources]],",",REPT(" ",99)),100,99)))</f>
        <v/>
      </c>
      <c r="DM172" s="43" t="str">
        <f aca="false">IF(Tasks[[#This Row],[_Res2Text]]="","",TRIM(MID(SUBSTITUTE(Tasks[[#This Row],[_Resources]],",",REPT(" ",99)),199,99)))</f>
        <v/>
      </c>
      <c r="DN172" s="43" t="str">
        <f aca="false">IF(Tasks[[#This Row],[_Res3Text]]="","",TRIM(MID(SUBSTITUTE(Tasks[[#This Row],[_Resources]],",",REPT(" ",99)),298,99)))</f>
        <v/>
      </c>
      <c r="DO172" s="43" t="n">
        <f aca="false">IF(Tasks[[#This Row],[_Res1Text]]="",0,IFERROR(MATCH(TRIM(LEFT(Tasks[[#This Row],[_Res1Text]],FIND("[",Tasks[[#This Row],[_Res1Text]]&amp;"[")-1)),res_Name,0),IFERROR(MATCH(TRIM(LEFT(Tasks[[#This Row],[_Res1Text]],FIND("[",Tasks[[#This Row],[_Res1Text]]&amp;"[")-1)),res_Initials,0),0)))</f>
        <v>0</v>
      </c>
      <c r="DP172" s="43" t="n">
        <f aca="false">IF(Tasks[[#This Row],[_Res2Text]]="",0,IFERROR(MATCH(TRIM(LEFT(Tasks[[#This Row],[_Res2Text]],FIND("[",Tasks[[#This Row],[_Res2Text]]&amp;"[")-1)),res_Name,0),IFERROR(MATCH(TRIM(LEFT(Tasks[[#This Row],[_Res2Text]],FIND("[",Tasks[[#This Row],[_Res2Text]]&amp;"[")-1)),res_Initials,0),0)))</f>
        <v>0</v>
      </c>
      <c r="DQ172" s="43" t="n">
        <f aca="false">IF(Tasks[[#This Row],[_Res3Text]]="",0,IFERROR(MATCH(TRIM(LEFT(Tasks[[#This Row],[_Res3Text]],FIND("[",Tasks[[#This Row],[_Res3Text]]&amp;"[")-1)),res_Name,0),IFERROR(MATCH(TRIM(LEFT(Tasks[[#This Row],[_Res3Text]],FIND("[",Tasks[[#This Row],[_Res3Text]]&amp;"[")-1)),res_Initials,0),0)))</f>
        <v>0</v>
      </c>
      <c r="DR172" s="43" t="n">
        <f aca="false">IF(Tasks[[#This Row],[_Res4Text]]="",0,IFERROR(MATCH(TRIM(LEFT(Tasks[[#This Row],[_Res4Text]],FIND("[",Tasks[[#This Row],[_Res4Text]]&amp;"[")-1)),res_Name,0),IFERROR(MATCH(TRIM(LEFT(Tasks[[#This Row],[_Res4Text]],FIND("[",Tasks[[#This Row],[_Res4Text]]&amp;"[")-1)),res_Initials,0),0)))</f>
        <v>0</v>
      </c>
      <c r="DS172" s="43" t="str">
        <f aca="false">IF(Tasks[[#This Row],[_Res1Text]]="","",IF(Tasks[[#This Row],[_Res1Row]]&gt;0,INDEX(res_Name,Tasks[[#This Row],[_Res1Row]]),TRIM(LEFT(Tasks[[#This Row],[_Res1Text]],FIND("[",Tasks[[#This Row],[_Res1Text]]&amp;"[")-1))))</f>
        <v/>
      </c>
      <c r="DT1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3" t="n">
        <f aca="false">IF(NOT(Tasks[[#This Row],[_IsLeaf]]=1),0,(Tasks[[#This Row],[_Resource1]]&lt;&gt;"")+(Tasks[[#This Row],[_Res2]]&lt;&gt;"")+(Tasks[[#This Row],[_Res3]]&lt;&gt;"")+(Tasks[[#This Row],[_Res4]]&lt;&gt;""))</f>
        <v>0</v>
      </c>
      <c r="DV172" s="43" t="str">
        <f aca="false">IF(Tasks[[#This Row],[_Res2Text]]="","",IF(Tasks[[#This Row],[_Res2Row]]&gt;0,INDEX(res_Name,Tasks[[#This Row],[_Res2Row]]),TRIM(LEFT(Tasks[[#This Row],[_Res2Text]],FIND("[",Tasks[[#This Row],[_Res2Text]]&amp;"[")-1))))</f>
        <v/>
      </c>
      <c r="DW1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3" t="n">
        <f aca="false">IF(OR(NOT(Tasks[[#This Row],[_IsLeaf]]=1),Tasks[[#This Row],[_Res2Row]]=0),0,N(Tasks[[#This Row],[_Days]])*HoursPerDay*IF(Tasks[[#This Row],[_Res2Units]]="",DefaultUnits,Tasks[[#This Row],[_Res2Units]]))</f>
        <v>0</v>
      </c>
      <c r="DY172" s="43" t="n">
        <f aca="false">IF(AND(AND(Tasks[[#This Row],[_IsLeaf]]=1,Tasks[[#This Row],[_LeafTotalWork]]&gt;0),Tasks[[#This Row],[_Res2Work]]&gt;0),Tasks[[#This Row],[_Res2Work]]/(Tasks[[#This Row],[_FinishWorkday]]-Tasks[[#This Row],[_StartWorkday]]+1),0)</f>
        <v>0</v>
      </c>
      <c r="DZ172" s="43" t="n">
        <f aca="false">Tasks[[#This Row],[_Res2WorkPerWD]]*MAX(0,Tasks[[#This Row],[_StartWorkday]]-1)</f>
        <v>0</v>
      </c>
      <c r="EA172" s="43" t="n">
        <f aca="false">Tasks[[#This Row],[_Res2Work]]*Tasks[[#This Row],[_LeafProgress]]</f>
        <v>0</v>
      </c>
      <c r="EB172" s="43" t="str">
        <f aca="false">IF(Tasks[[#This Row],[_Res3Text]]="","",IF(Tasks[[#This Row],[_Res3Row]]&gt;0,INDEX(res_Name,Tasks[[#This Row],[_Res3Row]]),TRIM(LEFT(Tasks[[#This Row],[_Res3Text]],FIND("[",Tasks[[#This Row],[_Res3Text]]&amp;"[")-1))))</f>
        <v/>
      </c>
      <c r="EC1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3" t="n">
        <f aca="false">IF(OR(NOT(Tasks[[#This Row],[_IsLeaf]]=1),Tasks[[#This Row],[_Res3Row]]=0),0,N(Tasks[[#This Row],[_Days]])*HoursPerDay*IF(Tasks[[#This Row],[_Res3Units]]="",DefaultUnits,Tasks[[#This Row],[_Res3Units]]))</f>
        <v>0</v>
      </c>
      <c r="EE172" s="43" t="n">
        <f aca="false">IF(AND(AND(Tasks[[#This Row],[_IsLeaf]]=1,Tasks[[#This Row],[_LeafTotalWork]]&gt;0),Tasks[[#This Row],[_Res3Work]]&gt;0),Tasks[[#This Row],[_Res3Work]]/(Tasks[[#This Row],[_FinishWorkday]]-Tasks[[#This Row],[_StartWorkday]]+1),0)</f>
        <v>0</v>
      </c>
      <c r="EF172" s="43" t="n">
        <f aca="false">Tasks[[#This Row],[_Res3WorkPerWD]]*MAX(0,Tasks[[#This Row],[_StartWorkday]]-1)</f>
        <v>0</v>
      </c>
      <c r="EG172" s="43" t="n">
        <f aca="false">Tasks[[#This Row],[_Res3Work]]*Tasks[[#This Row],[_LeafProgress]]</f>
        <v>0</v>
      </c>
      <c r="EH172" s="43" t="str">
        <f aca="false">IF(Tasks[[#This Row],[_Res4Text]]="","",IF(Tasks[[#This Row],[_Res4Row]]&gt;0,INDEX(res_Name,Tasks[[#This Row],[_Res4Row]]),TRIM(LEFT(Tasks[[#This Row],[_Res4Text]],FIND("[",Tasks[[#This Row],[_Res4Text]]&amp;"[")-1))))</f>
        <v/>
      </c>
      <c r="EI1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3" t="n">
        <f aca="false">IF(OR(NOT(Tasks[[#This Row],[_IsLeaf]]=1),Tasks[[#This Row],[_Res4Row]]=0),0,N(Tasks[[#This Row],[_Days]])*HoursPerDay*IF(Tasks[[#This Row],[_Res4Units]]="",DefaultUnits,Tasks[[#This Row],[_Res4Units]]))</f>
        <v>0</v>
      </c>
      <c r="EK172" s="43" t="n">
        <f aca="false">IF(AND(AND(Tasks[[#This Row],[_IsLeaf]]=1,Tasks[[#This Row],[_LeafTotalWork]]&gt;0),Tasks[[#This Row],[_Res4Work]]&gt;0),Tasks[[#This Row],[_Res4Work]]/(Tasks[[#This Row],[_FinishWorkday]]-Tasks[[#This Row],[_StartWorkday]]+1),0)</f>
        <v>0</v>
      </c>
      <c r="EL172" s="43" t="n">
        <f aca="false">Tasks[[#This Row],[_Res4WorkPerWD]]*MAX(0,Tasks[[#This Row],[_StartWorkday]]-1)</f>
        <v>0</v>
      </c>
      <c r="EM172" s="43" t="n">
        <f aca="false">Tasks[[#This Row],[_Res4Work]]*Tasks[[#This Row],[_LeafProgress]]</f>
        <v>0</v>
      </c>
      <c r="EN172" s="43" t="n">
        <f aca="false">IF(ISNUMBER(Tasks[[#This Row],[% Complete]]),Tasks[[#This Row],[% Complete]],IF(Tasks[[#This Row],[Stage]]="",0,IFERROR(INDEX(stg_Pct,MATCH(Tasks[[#This Row],[Stage]],stg_Name,0)),0)))</f>
        <v>0</v>
      </c>
      <c r="EO172" s="43" t="n">
        <f aca="false">IF(NOT(Tasks[[#This Row],[_IsLeaf]]=1),0,IF(N(Tasks[[#This Row],[Actual Finish]])&gt;0,1,MIN(1,Tasks[[#This Row],[_Pct]])))</f>
        <v>0</v>
      </c>
      <c r="EP172" s="43" t="n">
        <f aca="false">IF(OR(NOT(Tasks[[#This Row],[_IsLeaf]]=1),Tasks[[#This Row],[_Res1Row]]=0),0,N(Tasks[[#This Row],[_Days]])*HoursPerDay*IF(Tasks[[#This Row],[_Units1]]="",DefaultUnits,Tasks[[#This Row],[_Units1]]))</f>
        <v>0</v>
      </c>
      <c r="EQ172" s="43" t="n">
        <f aca="false">Tasks[[#This Row],[_LeafWork]]+Tasks[[#This Row],[_Res2Work]]+Tasks[[#This Row],[_Res3Work]]+Tasks[[#This Row],[_Res4Work]]</f>
        <v>0</v>
      </c>
      <c r="ER1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3" t="n">
        <f aca="false">IF(NOT(Tasks[[#This Row],[_IsLeaf]]=1),0,MAX(_xlfn.MAXIFS(Tasks[_Row],Tasks[_Pred1UID],Tasks[[#This Row],[UID]]),_xlfn.MAXIFS(Tasks[_Row],Tasks[_Pred2UID],Tasks[[#This Row],[UID]]),_xlfn.MAXIFS(Tasks[_Row],Tasks[_Pred3UID],Tasks[[#This Row],[UID]]),_xlfn.MAXIFS(Tasks[_Row],Tasks[_Pred4UID],Tasks[[#This Row],[UID]])))</f>
        <v>0</v>
      </c>
      <c r="FA1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91" t="str">
        <f aca="false">IF(NOT(Tasks[[#This Row],[_IsLeaf]]=1),"",IF(N(Tasks[[#This Row],[_Days]])&lt;=0,Tasks[[#This Row],[_LeafLateFinish]],WORKDAY.INTL(Tasks[[#This Row],[_LeafLateFinish]],-(Tasks[[#This Row],[_Days]]-1),WorkWeek,Holidays)))</f>
        <v/>
      </c>
      <c r="FD1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2" s="90" t="b">
        <f aca="false">AND(Tasks[[#This Row],[_IsLeaf]]=1,Tasks[[#This Row],[_LeafProgress]]&lt;1,N(Tasks[[#This Row],[_LeafTotalSlack]])&lt;=CriticalSlackDays)</f>
        <v>0</v>
      </c>
      <c r="FF172" s="43" t="n">
        <f aca="false">IF(AND(Tasks[[#This Row],[_IsLeaf]]=1,Tasks[[#This Row],[_ConstraintCode]]=1,Tasks[[#This Row],[Mode]]&lt;&gt;"Manual",N(Tasks[[#This Row],[Actual Start]])=0),MAX(0,N(Tasks[[#This Row],[Free Slack]])),0)</f>
        <v>0</v>
      </c>
      <c r="FG172" s="91" t="str">
        <f aca="false">IF(NOT(Tasks[[#This Row],[_IsLeaf]]=1),"",IF(Tasks[[#This Row],[_AlapShift]]=0,Tasks[[#This Row],[_LeafCalcStart]],WORKDAY.INTL(Tasks[[#This Row],[_LeafCalcStart]],Tasks[[#This Row],[_AlapShift]],WorkWeek,Holidays)))</f>
        <v/>
      </c>
      <c r="FH172" s="91" t="str">
        <f aca="false">IF(NOT(Tasks[[#This Row],[_IsLeaf]]=1),"",IF(Tasks[[#This Row],[_AlapShift]]=0,Tasks[[#This Row],[_LeafCalcFinish]],WORKDAY.INTL(Tasks[[#This Row],[_LeafCalcFinish]],Tasks[[#This Row],[_AlapShift]],WorkWeek,Holidays)))</f>
        <v/>
      </c>
      <c r="FI172" s="91" t="str">
        <f aca="false">IF(NOT(Tasks[[#This Row],[_IsLeaf]]=1),"",IF(Tasks[[#This Row],[_AlapShift]]=0,Tasks[[#This Row],[_LeafFcstStart]],WORKDAY.INTL(Tasks[[#This Row],[_LeafFcstStart]],Tasks[[#This Row],[_AlapShift]],WorkWeek,Holidays)))</f>
        <v/>
      </c>
      <c r="FJ172" s="91" t="str">
        <f aca="false">IF(NOT(Tasks[[#This Row],[_IsLeaf]]=1),"",IF(Tasks[[#This Row],[_AlapShift]]=0,Tasks[[#This Row],[_LeafFcstFinish]],WORKDAY.INTL(Tasks[[#This Row],[_LeafFcstFinish]],Tasks[[#This Row],[_AlapShift]],WorkWeek,Holidays)))</f>
        <v/>
      </c>
      <c r="FK172" s="91" t="str">
        <f aca="false">IF(Tasks[[#This Row],[Task Name]]="","",IF(Tasks[[#This Row],[_IsSummary]],MIN(INDEX(Tasks[_ShownCalcStart],Tasks[[#This Row],[_Row]]+1):INDEX(Tasks[_ShownCalcStart],Tasks[[#This Row],[_Row]]+Tasks[[#This Row],[_Descendants]])),Tasks[[#This Row],[_ShownCalcStart]]))</f>
        <v/>
      </c>
      <c r="FL172" s="91" t="str">
        <f aca="false">IF(Tasks[[#This Row],[Task Name]]="","",IF(Tasks[[#This Row],[_IsSummary]],MAX(INDEX(Tasks[_ShownCalcFinish],Tasks[[#This Row],[_Row]]+1):INDEX(Tasks[_ShownCalcFinish],Tasks[[#This Row],[_Row]]+Tasks[[#This Row],[_Descendants]])),Tasks[[#This Row],[_ShownCalcFinish]]))</f>
        <v/>
      </c>
      <c r="FM1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2" s="43" t="n">
        <f aca="false">IF(AND(Tasks[[#This Row],[_IsLeaf]]=1,Tasks[[#This Row],[_LeafTotalWork]]&gt;0),NETWORKDAYS.INTL(ProjectStart,Tasks[[#This Row],[_ShownFcstStart]],WorkWeek,Holidays),0)</f>
        <v>0</v>
      </c>
      <c r="FZ172" s="43" t="n">
        <f aca="false">IF(AND(Tasks[[#This Row],[_IsLeaf]]=1,Tasks[[#This Row],[_LeafTotalWork]]&gt;0),MAX(Tasks[[#This Row],[_StartWorkday]],NETWORKDAYS.INTL(ProjectStart,Tasks[[#This Row],[_ShownFcstFinish]],WorkWeek,Holidays)),0)</f>
        <v>0</v>
      </c>
      <c r="GA172" s="43" t="n">
        <f aca="false">IF(AND(Tasks[[#This Row],[_IsLeaf]]=1,Tasks[[#This Row],[_LeafTotalWork]]&gt;0),Tasks[[#This Row],[_LeafWork]]/(Tasks[[#This Row],[_FinishWorkday]]-Tasks[[#This Row],[_StartWorkday]]+1),0)</f>
        <v>0</v>
      </c>
      <c r="GB172" s="43" t="n">
        <f aca="false">Tasks[[#This Row],[_WorkPerWorkday]]*(Tasks[[#This Row],[_StartWorkday]]-1)</f>
        <v>-0</v>
      </c>
      <c r="GC172" s="43" t="n">
        <f aca="false">IF(Tasks[[#This Row],[_IsLeaf]]=1,MAX(N(Tasks[[#This Row],[_Days]]),0.1),0)</f>
        <v>0</v>
      </c>
      <c r="GD172" s="43" t="n">
        <f aca="false">Tasks[[#This Row],[_WeightDur]]*Tasks[[#This Row],[_LeafProgress]]</f>
        <v>0</v>
      </c>
      <c r="GE172" s="43" t="n">
        <f aca="false">Tasks[[#This Row],[_WeightDur]]*Tasks[[#This Row],[_PlannedPct]]</f>
        <v>0</v>
      </c>
      <c r="GF1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3" t="str">
        <f aca="false">IF(AND(Tasks[[#This Row],[_IsLeaf]]=1,N(Tasks[[#This Row],[_Days]])=0,Tasks[[#This Row],[_LeafProgress]]&lt;1),Tasks[[#This Row],[_ShownFcstFinish]]+Tasks[[#This Row],[_Row]]/100000,"")</f>
        <v/>
      </c>
      <c r="GH1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2" s="43" t="str">
        <f aca="false">IF(Tasks[[#This Row],[Task Name]]="","",LEFT(Tasks[[#This Row],[WBS]],FIND(".",Tasks[[#This Row],[WBS]]&amp;".")-1))</f>
        <v/>
      </c>
      <c r="GJ172" s="43" t="str">
        <f aca="false">IF(AND(Tasks[[#This Row],[Task Name]]&lt;&gt;"",Tasks[[#This Row],[_Level]]=1),Tasks[[#This Row],[_Row]],"")</f>
        <v/>
      </c>
      <c r="GK172" s="43" t="str">
        <f aca="false">IF(AND(Tasks[[#This Row],[_IsLeaf]]=1,N(Tasks[[#This Row],[_Days]])=0),Tasks[[#This Row],[Planned Finish]]+Tasks[[#This Row],[_Row]]/100000,"")</f>
        <v/>
      </c>
      <c r="GL172" s="43" t="str">
        <f aca="false">IF(AND(Tasks[[#This Row],[_IsLeaf]]=1,Tasks[[#This Row],[_LeafProgress]]&lt;1,OR(N(Tasks[[#This Row],[Finish Var]])&gt;0,Tasks[[#This Row],[Status]]="Late Start")),MAX(0,Tasks[[#This Row],[Finish Var]])+1-Tasks[[#This Row],[_Row]]/1000000,"")</f>
        <v/>
      </c>
      <c r="GM172" s="43" t="str">
        <f aca="false">IF(AND(Tasks[[#This Row],[_IsLeaf]]=1,N(Tasks[[#This Row],[Actual Start]])=0,Tasks[[#This Row],[_ShownFcstStart]]&gt;=StatusDate,Tasks[[#This Row],[_ShownFcstStart]]&lt;=LookaheadEnd),Tasks[[#This Row],[_ShownFcstStart]]+Tasks[[#This Row],[_Row]]/100000,"")</f>
        <v/>
      </c>
      <c r="GN172" s="43" t="str">
        <f aca="false">IF(AND(Tasks[[#This Row],[_IsLeaf]]=1,Tasks[[#This Row],[_LeafProgress]]&lt;1,Tasks[[#This Row],[_ShownFcstFinish]]&gt;=StatusDate,Tasks[[#This Row],[_ShownFcstFinish]]&lt;=LookaheadEnd),Tasks[[#This Row],[_ShownFcstFinish]]+Tasks[[#This Row],[_Row]]/100000,"")</f>
        <v/>
      </c>
      <c r="GO172" s="43" t="str">
        <f aca="false">IF(Tasks[[#This Row],[_LeafCritical]],Tasks[[#This Row],[_ShownFcstStart]]+Tasks[[#This Row],[_Row]]/100000,"")</f>
        <v/>
      </c>
      <c r="GP172" s="43" t="n">
        <f aca="false">Tasks[[#This Row],[_LeafWork]]*Tasks[[#This Row],[_LeafProgress]]</f>
        <v>0</v>
      </c>
      <c r="GQ172" s="91" t="str">
        <f aca="false">IF(AND(Tasks[[#This Row],[_IsLeaf]]=1,Tasks[[#This Row],[_LeafProgress]]&gt;=1),IF(N(Tasks[[#This Row],[Actual Finish]])&gt;0,Tasks[[#This Row],[Actual Finish]],Tasks[[#This Row],[_ShownFcstFinish]]),"")</f>
        <v/>
      </c>
      <c r="GR172" s="43" t="n">
        <f aca="false">IF(Tasks[[#This Row],[_IsLeaf]]=1,N(Tasks[[#This Row],[Story Points]]),0)</f>
        <v>0</v>
      </c>
      <c r="GS172" s="43" t="str">
        <f aca="false">""</f>
        <v/>
      </c>
      <c r="GT172" s="90" t="b">
        <f aca="false">IF(Tasks[[#This Row],[Task Name]]="",FALSE(),AND(Tasks[[#This Row],[_IsLeaf]]=1,N(Tasks[[#This Row],[_Days]])=0))</f>
        <v>0</v>
      </c>
      <c r="GU172" s="91" t="n">
        <f aca="false">IF(Tasks[[#This Row],[Task Name]]="",0,IF(AND(Tasks[[#This Row],[_IsLeaf]]=1,NOT(Tasks[[#This Row],[_IsMilestone]]),N(Tasks[[#This Row],[Progress]])&gt;0),Tasks[[#This Row],[Start]],0))</f>
        <v>0</v>
      </c>
      <c r="GV172" s="91" t="n">
        <f aca="false">IF(Tasks[[#This Row],[_DoneFrom]]=0,0,IF(Tasks[[#This Row],[Progress]]&gt;=1,Tasks[[#This Row],[Finish]],MAX(Tasks[[#This Row],[_DoneFrom]],Tasks[[#This Row],[Start]]+ROUND((Tasks[[#This Row],[Finish]]-Tasks[[#This Row],[Start]]+1)*Tasks[[#This Row],[Progress]],0)-1)))</f>
        <v>0</v>
      </c>
      <c r="GW172" s="91" t="n">
        <f aca="false">IF(Tasks[[#This Row],[Task Name]]="",0,IF(OR(NOT(Tasks[[#This Row],[_IsLeaf]]=1),Tasks[[#This Row],[_IsMilestone]],N(Tasks[[#This Row],[Progress]])&gt;=1),0,IF(Tasks[[#This Row],[_DoneTo]]&gt;0,Tasks[[#This Row],[_DoneTo]]+1,Tasks[[#This Row],[Start]])))</f>
        <v>0</v>
      </c>
      <c r="GX172" s="91" t="n">
        <f aca="false">IF(Tasks[[#This Row],[_RemFrom]]=0,0,Tasks[[#This Row],[Finish]])</f>
        <v>0</v>
      </c>
      <c r="GY172" s="90" t="b">
        <f aca="false">IF(Tasks[[#This Row],[Task Name]]="",FALSE(),OR(NOT(BaselineSet),N(Tasks[[#This Row],[Baseline Start]])&gt;0))</f>
        <v>0</v>
      </c>
      <c r="GZ17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92" t="str">
        <f aca="false">IF(Tasks[[#This Row],[_IsLeaf]]=1,Tasks[[#This Row],[_Row]],"")</f>
        <v/>
      </c>
      <c r="HD172" s="92" t="str">
        <f aca="false">IFERROR(INDEX(Tasks[UID],SMALL(Tasks[_PickKey],Tasks[[#This Row],[_Row]]))&amp;" "&amp;INDEX(Tasks[Task Name],SMALL(Tasks[_PickKey],Tasks[[#This Row],[_Row]])),"")</f>
        <v/>
      </c>
      <c r="HE172" s="43" t="str">
        <f aca="false">IF(Tasks[[#This Row],[Task Name]]="","",IF(Tasks[[#This Row],[_IsSummary]],NETWORKDAYS.INTL(Tasks[[#This Row],[Start]],Tasks[[#This Row],[Finish]],WorkWeek,Holidays),N(Tasks[[#This Row],[_Days]])))</f>
        <v/>
      </c>
      <c r="HF172" s="43" t="n">
        <f aca="false">IF(Tasks[[#This Row],[Expected]]="",0,((Tasks[[#This Row],[Pessimistic]]-Tasks[[#This Row],[Optimistic]])/6)^2)</f>
        <v>0</v>
      </c>
      <c r="HG172" s="43" t="n">
        <f aca="false">IF(Tasks[[#This Row],[Expected]]="",0,Tasks[[#This Row],[Expected]]-N(Tasks[[#This Row],[_Days]]))</f>
        <v>0</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4"/>
      <c r="U173" s="23"/>
      <c r="V173" s="84"/>
      <c r="W173" s="23"/>
      <c r="X173" s="84"/>
      <c r="Y173" s="23"/>
      <c r="Z173" s="84"/>
      <c r="AA173" s="23"/>
      <c r="AB173" s="23"/>
      <c r="AC173" s="7"/>
      <c r="AD173" s="7"/>
      <c r="AE173" s="63" t="str">
        <f aca="false">IF(Tasks[[#This Row],[Task Name]]="","",IF(Tasks[[#This Row],[_IsSummary]],MIN(INDEX(Tasks[_ShownFcstStart],Tasks[[#This Row],[_Row]]+1):INDEX(Tasks[_ShownFcstStart],Tasks[[#This Row],[_Row]]+Tasks[[#This Row],[_Descendants]])),Tasks[[#This Row],[_ShownFcstStart]]))</f>
        <v/>
      </c>
      <c r="AF173" s="63"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3" s="7"/>
      <c r="AK173" s="22"/>
      <c r="AL173" s="23"/>
      <c r="AM173" s="7"/>
      <c r="AN173" s="47"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3" t="str">
        <f aca="false">IF(Tasks[[#This Row],[Task Name]]="","",IF(N(Tasks[[#This Row],[Baseline Start]])&gt;0,Tasks[[#This Row],[Baseline Start]],Tasks[[#This Row],[_CalcStart]]))</f>
        <v/>
      </c>
      <c r="AR173" s="63" t="str">
        <f aca="false">IF(Tasks[[#This Row],[Task Name]]="","",IF(N(Tasks[[#This Row],[Baseline Finish]])&gt;0,Tasks[[#This Row],[Baseline Finish]],Tasks[[#This Row],[_CalcFinish]]))</f>
        <v/>
      </c>
      <c r="AS173" s="47" t="str">
        <f aca="false">IF(Tasks[[#This Row],[Task Name]]="","",IF(Tasks[[#This Row],[Start]]&gt;=Tasks[[#This Row],[Planned Start]],NETWORKDAYS.INTL(Tasks[[#This Row],[Planned Start]],Tasks[[#This Row],[Start]],WorkWeek,Holidays)-1,1-NETWORKDAYS.INTL(Tasks[[#This Row],[Start]],Tasks[[#This Row],[Planned Start]],WorkWeek,Holidays)))</f>
        <v/>
      </c>
      <c r="AT173" s="63" t="str">
        <f aca="false">IF(Tasks[[#This Row],[Task Name]]="","",IF(Tasks[[#This Row],[_IsSummary]],MIN(INDEX(Tasks[_LeafLateStart],Tasks[[#This Row],[_Row]]+1):INDEX(Tasks[_LeafLateStart],Tasks[[#This Row],[_Row]]+Tasks[[#This Row],[_Descendants]])),Tasks[[#This Row],[_LeafLateStart]]))</f>
        <v/>
      </c>
      <c r="AU173" s="63" t="str">
        <f aca="false">IF(Tasks[[#This Row],[Task Name]]="","",IF(Tasks[[#This Row],[_IsSummary]],MAX(INDEX(Tasks[_LeafLateFinish],Tasks[[#This Row],[_Row]]+1):INDEX(Tasks[_LeafLateFinish],Tasks[[#This Row],[_Row]]+Tasks[[#This Row],[_Descendants]])),Tasks[[#This Row],[_LeafLateFinish]]))</f>
        <v/>
      </c>
      <c r="AV173" s="47"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5"/>
      <c r="BA1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6"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7"/>
      <c r="BJ173" s="22"/>
      <c r="BK173" s="47" t="str">
        <f aca="false">IF(OR(Tasks[[#This Row],[Task Name]]="",Tasks[[#This Row],[Baseline Duration]]=""),"",Tasks[[#This Row],[_SpanDays]]-N(Tasks[[#This Row],[Baseline Duration]]))</f>
        <v/>
      </c>
      <c r="BL173" s="86" t="str">
        <f aca="false">IF(OR(Tasks[[#This Row],[Task Name]]="",Tasks[[#This Row],[Baseline Work]]=""),"",Tasks[[#This Row],[Work]]-N(Tasks[[#This Row],[Baseline Work]]))</f>
        <v/>
      </c>
      <c r="BM173" s="63" t="str">
        <f aca="false">IF(Tasks[[#This Row],[Task Name]]="","",IF(OR(TakeBaseline="Yes",N(Tasks[[#This Row],[Baseline Start]])=0),Tasks[[#This Row],[Start]],Tasks[[#This Row],[Baseline Start]]))</f>
        <v/>
      </c>
      <c r="BN173" s="63" t="str">
        <f aca="false">IF(Tasks[[#This Row],[Task Name]]="","",IF(OR(TakeBaseline="Yes",N(Tasks[[#This Row],[Baseline Finish]])=0),Tasks[[#This Row],[Finish]],Tasks[[#This Row],[Baseline Finish]]))</f>
        <v/>
      </c>
      <c r="BO173" s="21" t="str">
        <f aca="false">IF(Tasks[[#This Row],[Task Name]]="","",IF(OR(TakeBaseline="Yes",N(Tasks[[#This Row],[Baseline Duration]])=0),Tasks[[#This Row],[_SpanDays]],Tasks[[#This Row],[Baseline Duration]]))</f>
        <v/>
      </c>
      <c r="BP173" s="86" t="str">
        <f aca="false">IF(Tasks[[#This Row],[Task Name]]="","",IF(OR(TakeBaseline="Yes",N(Tasks[[#This Row],[Baseline Work]])=0),Tasks[[#This Row],[Work]],Tasks[[#This Row],[Baseline Work]]))</f>
        <v/>
      </c>
      <c r="BQ173" s="7"/>
      <c r="BR173" s="7"/>
      <c r="BS173" s="22"/>
      <c r="BT173" s="88"/>
      <c r="BU173" s="23"/>
      <c r="BV173" s="23"/>
      <c r="BW173" s="23"/>
      <c r="BX173" s="89" t="str">
        <f aca="false">IF(AND(Tasks[[#This Row],[_IsLeaf]]=1,ISNUMBER(Tasks[[#This Row],[Optimistic]]),ISNUMBER(Tasks[[#This Row],[Pessimistic]])),ROUND((Tasks[[#This Row],[Optimistic]]+4*N(Tasks[[#This Row],[_Days]])+Tasks[[#This Row],[Pessimistic]])/6,1),"")</f>
        <v/>
      </c>
      <c r="BY173" s="87"/>
      <c r="BZ173" s="87"/>
      <c r="CA173" s="22"/>
      <c r="CB173" s="43" t="str">
        <f aca="false">IF(Tasks[[#This Row],[Task Name]]="","",MAX(1,N(Tasks[[#This Row],[Level]])))</f>
        <v/>
      </c>
      <c r="CC173" s="43" t="n">
        <f aca="false">ROW()-ROW(Tasks[[#Headers],[ID]])</f>
        <v>168</v>
      </c>
      <c r="CD173" s="43" t="n">
        <f aca="false">IF(OR(Tasks[[#This Row],[Task Name]]="",Tasks[[#This Row],[_Level]]&lt;=1),0,IFERROR(LOOKUP(2,1/(Tasks[[#Headers],[_Level]]:Tasks[[#This Row],[_Level]]=Tasks[[#This Row],[_Level]]-1),ROW(Tasks[[#Headers],[_Level]]:Tasks[[#This Row],[_Level]])),0))</f>
        <v>0</v>
      </c>
      <c r="CE173" s="43" t="n">
        <f aca="false">IFERROR(N(INDEX(Tasks[_Level],Tasks[[#This Row],[_Row]]+1)),0)</f>
        <v>0</v>
      </c>
      <c r="CF173" s="90" t="b">
        <f aca="false">AND(Tasks[[#This Row],[Task Name]]&lt;&gt;"",Tasks[[#This Row],[_NextLevel]]&gt;Tasks[[#This Row],[_Level]])</f>
        <v>0</v>
      </c>
      <c r="CG173" s="43" t="n">
        <f aca="false">IF(Tasks[[#This Row],[_IsSummary]],COUNTIF(Tasks[WBS],Tasks[[#This Row],[WBS]]&amp;".*"),0)</f>
        <v>0</v>
      </c>
      <c r="CH173" s="43" t="n">
        <f aca="false">IF(AND(Tasks[[#This Row],[Task Name]]&lt;&gt;"",NOT(Tasks[[#This Row],[_IsSummary]])),1,0)</f>
        <v>0</v>
      </c>
      <c r="CI173" s="43" t="n">
        <f aca="false">IF(N(Tasks[[#This Row],[_Pred1UID]])=0,0,IFERROR(MATCH(Tasks[[#This Row],[_Pred1UID]],Tasks[UID],0),-1))</f>
        <v>0</v>
      </c>
      <c r="CJ173" s="43" t="n">
        <f aca="false">IF(N(Tasks[[#This Row],[_Pred2UID]])=0,0,IFERROR(MATCH(Tasks[[#This Row],[_Pred2UID]],Tasks[UID],0),-1))</f>
        <v>0</v>
      </c>
      <c r="CK173" s="43" t="n">
        <f aca="false">IF(N(Tasks[[#This Row],[_Pred3UID]])=0,0,IFERROR(MATCH(Tasks[[#This Row],[_Pred3UID]],Tasks[UID],0),-1))</f>
        <v>0</v>
      </c>
      <c r="CL173" s="43" t="n">
        <f aca="false">IF(N(Tasks[[#This Row],[_Pred4UID]])=0,0,IFERROR(MATCH(Tasks[[#This Row],[_Pred4UID]],Tasks[UID],0),-1))</f>
        <v>0</v>
      </c>
      <c r="CM1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3" s="91" t="n">
        <f aca="false">IF(OR(Tasks[[#This Row],[_ConstraintCode]]=2,Tasks[[#This Row],[_ConstraintCode]]=3,Tasks[[#This Row],[_ConstraintCode]]=4,Tasks[[#This Row],[_ConstraintCode]]=6),Tasks[[#This Row],[_ConstraintStart]],0)</f>
        <v>0</v>
      </c>
      <c r="CP173" s="91" t="n">
        <f aca="false">IF(OR(Tasks[[#This Row],[_ConstraintCode]]=2,Tasks[[#This Row],[_ConstraintCode]]=3,Tasks[[#This Row],[_ConstraintCode]]=5,Tasks[[#This Row],[_ConstraintCode]]=7),Tasks[[#This Row],[_ConstraintStart]],2958465)</f>
        <v>2958465</v>
      </c>
      <c r="CQ1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91" t="str">
        <f aca="false">IF(NOT(Tasks[[#This Row],[_IsLeaf]]=1),"",IF(N(Tasks[[#This Row],[_Days]])&lt;=0,Tasks[[#This Row],[_LeafCalcStart]],WORKDAY.INTL(Tasks[[#This Row],[_LeafCalcStart]],Tasks[[#This Row],[_Days]]-1,WorkWeek,Holidays)))</f>
        <v/>
      </c>
      <c r="CS1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3" t="str">
        <f aca="false">IF(Tasks[[#This Row],[_Predecessors]]="","",TRIM(MID(SUBSTITUTE(SUBSTITUTE(SUBSTITUTE(UPPER(Tasks[[#This Row],[_Predecessors]]),";",",")," ",""),",",REPT(" ",99)),1,99)))</f>
        <v/>
      </c>
      <c r="CV173" s="43" t="str">
        <f aca="false">IF(Tasks[[#This Row],[_Pred1Text]]="","",IFERROR(VALUE(LEFT(Tasks[[#This Row],[_Pred1Text]],MIN(FIND("F",Tasks[[#This Row],[_Pred1Text]]&amp;"F"),FIND("S",Tasks[[#This Row],[_Pred1Text]]&amp;"S"),FIND("+",Tasks[[#This Row],[_Pred1Text]]&amp;"+"),FIND("-",Tasks[[#This Row],[_Pred1Text]]&amp;"-"))-1)),""))</f>
        <v/>
      </c>
      <c r="CW1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3" t="str">
        <f aca="false">IF(Tasks[[#This Row],[_Pred1Text]]="","",TRIM(MID(SUBSTITUTE(SUBSTITUTE(SUBSTITUTE(UPPER(Tasks[[#This Row],[_Predecessors]]),";",",")," ",""),",",REPT(" ",99)),100,99)))</f>
        <v/>
      </c>
      <c r="CZ173" s="43" t="str">
        <f aca="false">IF(Tasks[[#This Row],[_Pred2Text]]="","",IFERROR(VALUE(LEFT(Tasks[[#This Row],[_Pred2Text]],MIN(FIND("F",Tasks[[#This Row],[_Pred2Text]]&amp;"F"),FIND("S",Tasks[[#This Row],[_Pred2Text]]&amp;"S"),FIND("+",Tasks[[#This Row],[_Pred2Text]]&amp;"+"),FIND("-",Tasks[[#This Row],[_Pred2Text]]&amp;"-"))-1)),""))</f>
        <v/>
      </c>
      <c r="DA1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3" t="str">
        <f aca="false">IF(Tasks[[#This Row],[_Pred2Text]]="","",TRIM(MID(SUBSTITUTE(SUBSTITUTE(SUBSTITUTE(UPPER(Tasks[[#This Row],[_Predecessors]]),";",",")," ",""),",",REPT(" ",99)),199,99)))</f>
        <v/>
      </c>
      <c r="DD173" s="43" t="str">
        <f aca="false">IF(Tasks[[#This Row],[_Pred3Text]]="","",IFERROR(VALUE(LEFT(Tasks[[#This Row],[_Pred3Text]],MIN(FIND("F",Tasks[[#This Row],[_Pred3Text]]&amp;"F"),FIND("S",Tasks[[#This Row],[_Pred3Text]]&amp;"S"),FIND("+",Tasks[[#This Row],[_Pred3Text]]&amp;"+"),FIND("-",Tasks[[#This Row],[_Pred3Text]]&amp;"-"))-1)),""))</f>
        <v/>
      </c>
      <c r="DE1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3" t="str">
        <f aca="false">IF(Tasks[[#This Row],[_Pred3Text]]="","",TRIM(MID(SUBSTITUTE(SUBSTITUTE(SUBSTITUTE(UPPER(Tasks[[#This Row],[_Predecessors]]),";",",")," ",""),",",REPT(" ",99)),298,99)))</f>
        <v/>
      </c>
      <c r="DH173" s="43" t="str">
        <f aca="false">IF(Tasks[[#This Row],[_Pred4Text]]="","",IFERROR(VALUE(LEFT(Tasks[[#This Row],[_Pred4Text]],MIN(FIND("F",Tasks[[#This Row],[_Pred4Text]]&amp;"F"),FIND("S",Tasks[[#This Row],[_Pred4Text]]&amp;"S"),FIND("+",Tasks[[#This Row],[_Pred4Text]]&amp;"+"),FIND("-",Tasks[[#This Row],[_Pred4Text]]&amp;"-"))-1)),""))</f>
        <v/>
      </c>
      <c r="DI1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3" t="str">
        <f aca="false">IF(OR(Tasks[[#This Row],[Task Name]]="",Tasks[[#This Row],[_Resources]]=""),"",TRIM(MID(SUBSTITUTE(Tasks[[#This Row],[_Resources]],",",REPT(" ",99)),1,99)))</f>
        <v/>
      </c>
      <c r="DL173" s="43" t="str">
        <f aca="false">IF(Tasks[[#This Row],[_Res1Text]]="","",TRIM(MID(SUBSTITUTE(Tasks[[#This Row],[_Resources]],",",REPT(" ",99)),100,99)))</f>
        <v/>
      </c>
      <c r="DM173" s="43" t="str">
        <f aca="false">IF(Tasks[[#This Row],[_Res2Text]]="","",TRIM(MID(SUBSTITUTE(Tasks[[#This Row],[_Resources]],",",REPT(" ",99)),199,99)))</f>
        <v/>
      </c>
      <c r="DN173" s="43" t="str">
        <f aca="false">IF(Tasks[[#This Row],[_Res3Text]]="","",TRIM(MID(SUBSTITUTE(Tasks[[#This Row],[_Resources]],",",REPT(" ",99)),298,99)))</f>
        <v/>
      </c>
      <c r="DO173" s="43" t="n">
        <f aca="false">IF(Tasks[[#This Row],[_Res1Text]]="",0,IFERROR(MATCH(TRIM(LEFT(Tasks[[#This Row],[_Res1Text]],FIND("[",Tasks[[#This Row],[_Res1Text]]&amp;"[")-1)),res_Name,0),IFERROR(MATCH(TRIM(LEFT(Tasks[[#This Row],[_Res1Text]],FIND("[",Tasks[[#This Row],[_Res1Text]]&amp;"[")-1)),res_Initials,0),0)))</f>
        <v>0</v>
      </c>
      <c r="DP173" s="43" t="n">
        <f aca="false">IF(Tasks[[#This Row],[_Res2Text]]="",0,IFERROR(MATCH(TRIM(LEFT(Tasks[[#This Row],[_Res2Text]],FIND("[",Tasks[[#This Row],[_Res2Text]]&amp;"[")-1)),res_Name,0),IFERROR(MATCH(TRIM(LEFT(Tasks[[#This Row],[_Res2Text]],FIND("[",Tasks[[#This Row],[_Res2Text]]&amp;"[")-1)),res_Initials,0),0)))</f>
        <v>0</v>
      </c>
      <c r="DQ173" s="43" t="n">
        <f aca="false">IF(Tasks[[#This Row],[_Res3Text]]="",0,IFERROR(MATCH(TRIM(LEFT(Tasks[[#This Row],[_Res3Text]],FIND("[",Tasks[[#This Row],[_Res3Text]]&amp;"[")-1)),res_Name,0),IFERROR(MATCH(TRIM(LEFT(Tasks[[#This Row],[_Res3Text]],FIND("[",Tasks[[#This Row],[_Res3Text]]&amp;"[")-1)),res_Initials,0),0)))</f>
        <v>0</v>
      </c>
      <c r="DR173" s="43" t="n">
        <f aca="false">IF(Tasks[[#This Row],[_Res4Text]]="",0,IFERROR(MATCH(TRIM(LEFT(Tasks[[#This Row],[_Res4Text]],FIND("[",Tasks[[#This Row],[_Res4Text]]&amp;"[")-1)),res_Name,0),IFERROR(MATCH(TRIM(LEFT(Tasks[[#This Row],[_Res4Text]],FIND("[",Tasks[[#This Row],[_Res4Text]]&amp;"[")-1)),res_Initials,0),0)))</f>
        <v>0</v>
      </c>
      <c r="DS173" s="43" t="str">
        <f aca="false">IF(Tasks[[#This Row],[_Res1Text]]="","",IF(Tasks[[#This Row],[_Res1Row]]&gt;0,INDEX(res_Name,Tasks[[#This Row],[_Res1Row]]),TRIM(LEFT(Tasks[[#This Row],[_Res1Text]],FIND("[",Tasks[[#This Row],[_Res1Text]]&amp;"[")-1))))</f>
        <v/>
      </c>
      <c r="DT1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3" t="n">
        <f aca="false">IF(NOT(Tasks[[#This Row],[_IsLeaf]]=1),0,(Tasks[[#This Row],[_Resource1]]&lt;&gt;"")+(Tasks[[#This Row],[_Res2]]&lt;&gt;"")+(Tasks[[#This Row],[_Res3]]&lt;&gt;"")+(Tasks[[#This Row],[_Res4]]&lt;&gt;""))</f>
        <v>0</v>
      </c>
      <c r="DV173" s="43" t="str">
        <f aca="false">IF(Tasks[[#This Row],[_Res2Text]]="","",IF(Tasks[[#This Row],[_Res2Row]]&gt;0,INDEX(res_Name,Tasks[[#This Row],[_Res2Row]]),TRIM(LEFT(Tasks[[#This Row],[_Res2Text]],FIND("[",Tasks[[#This Row],[_Res2Text]]&amp;"[")-1))))</f>
        <v/>
      </c>
      <c r="DW1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3" t="n">
        <f aca="false">IF(OR(NOT(Tasks[[#This Row],[_IsLeaf]]=1),Tasks[[#This Row],[_Res2Row]]=0),0,N(Tasks[[#This Row],[_Days]])*HoursPerDay*IF(Tasks[[#This Row],[_Res2Units]]="",DefaultUnits,Tasks[[#This Row],[_Res2Units]]))</f>
        <v>0</v>
      </c>
      <c r="DY173" s="43" t="n">
        <f aca="false">IF(AND(AND(Tasks[[#This Row],[_IsLeaf]]=1,Tasks[[#This Row],[_LeafTotalWork]]&gt;0),Tasks[[#This Row],[_Res2Work]]&gt;0),Tasks[[#This Row],[_Res2Work]]/(Tasks[[#This Row],[_FinishWorkday]]-Tasks[[#This Row],[_StartWorkday]]+1),0)</f>
        <v>0</v>
      </c>
      <c r="DZ173" s="43" t="n">
        <f aca="false">Tasks[[#This Row],[_Res2WorkPerWD]]*MAX(0,Tasks[[#This Row],[_StartWorkday]]-1)</f>
        <v>0</v>
      </c>
      <c r="EA173" s="43" t="n">
        <f aca="false">Tasks[[#This Row],[_Res2Work]]*Tasks[[#This Row],[_LeafProgress]]</f>
        <v>0</v>
      </c>
      <c r="EB173" s="43" t="str">
        <f aca="false">IF(Tasks[[#This Row],[_Res3Text]]="","",IF(Tasks[[#This Row],[_Res3Row]]&gt;0,INDEX(res_Name,Tasks[[#This Row],[_Res3Row]]),TRIM(LEFT(Tasks[[#This Row],[_Res3Text]],FIND("[",Tasks[[#This Row],[_Res3Text]]&amp;"[")-1))))</f>
        <v/>
      </c>
      <c r="EC1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3" t="n">
        <f aca="false">IF(OR(NOT(Tasks[[#This Row],[_IsLeaf]]=1),Tasks[[#This Row],[_Res3Row]]=0),0,N(Tasks[[#This Row],[_Days]])*HoursPerDay*IF(Tasks[[#This Row],[_Res3Units]]="",DefaultUnits,Tasks[[#This Row],[_Res3Units]]))</f>
        <v>0</v>
      </c>
      <c r="EE173" s="43" t="n">
        <f aca="false">IF(AND(AND(Tasks[[#This Row],[_IsLeaf]]=1,Tasks[[#This Row],[_LeafTotalWork]]&gt;0),Tasks[[#This Row],[_Res3Work]]&gt;0),Tasks[[#This Row],[_Res3Work]]/(Tasks[[#This Row],[_FinishWorkday]]-Tasks[[#This Row],[_StartWorkday]]+1),0)</f>
        <v>0</v>
      </c>
      <c r="EF173" s="43" t="n">
        <f aca="false">Tasks[[#This Row],[_Res3WorkPerWD]]*MAX(0,Tasks[[#This Row],[_StartWorkday]]-1)</f>
        <v>0</v>
      </c>
      <c r="EG173" s="43" t="n">
        <f aca="false">Tasks[[#This Row],[_Res3Work]]*Tasks[[#This Row],[_LeafProgress]]</f>
        <v>0</v>
      </c>
      <c r="EH173" s="43" t="str">
        <f aca="false">IF(Tasks[[#This Row],[_Res4Text]]="","",IF(Tasks[[#This Row],[_Res4Row]]&gt;0,INDEX(res_Name,Tasks[[#This Row],[_Res4Row]]),TRIM(LEFT(Tasks[[#This Row],[_Res4Text]],FIND("[",Tasks[[#This Row],[_Res4Text]]&amp;"[")-1))))</f>
        <v/>
      </c>
      <c r="EI1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3" t="n">
        <f aca="false">IF(OR(NOT(Tasks[[#This Row],[_IsLeaf]]=1),Tasks[[#This Row],[_Res4Row]]=0),0,N(Tasks[[#This Row],[_Days]])*HoursPerDay*IF(Tasks[[#This Row],[_Res4Units]]="",DefaultUnits,Tasks[[#This Row],[_Res4Units]]))</f>
        <v>0</v>
      </c>
      <c r="EK173" s="43" t="n">
        <f aca="false">IF(AND(AND(Tasks[[#This Row],[_IsLeaf]]=1,Tasks[[#This Row],[_LeafTotalWork]]&gt;0),Tasks[[#This Row],[_Res4Work]]&gt;0),Tasks[[#This Row],[_Res4Work]]/(Tasks[[#This Row],[_FinishWorkday]]-Tasks[[#This Row],[_StartWorkday]]+1),0)</f>
        <v>0</v>
      </c>
      <c r="EL173" s="43" t="n">
        <f aca="false">Tasks[[#This Row],[_Res4WorkPerWD]]*MAX(0,Tasks[[#This Row],[_StartWorkday]]-1)</f>
        <v>0</v>
      </c>
      <c r="EM173" s="43" t="n">
        <f aca="false">Tasks[[#This Row],[_Res4Work]]*Tasks[[#This Row],[_LeafProgress]]</f>
        <v>0</v>
      </c>
      <c r="EN173" s="43" t="n">
        <f aca="false">IF(ISNUMBER(Tasks[[#This Row],[% Complete]]),Tasks[[#This Row],[% Complete]],IF(Tasks[[#This Row],[Stage]]="",0,IFERROR(INDEX(stg_Pct,MATCH(Tasks[[#This Row],[Stage]],stg_Name,0)),0)))</f>
        <v>0</v>
      </c>
      <c r="EO173" s="43" t="n">
        <f aca="false">IF(NOT(Tasks[[#This Row],[_IsLeaf]]=1),0,IF(N(Tasks[[#This Row],[Actual Finish]])&gt;0,1,MIN(1,Tasks[[#This Row],[_Pct]])))</f>
        <v>0</v>
      </c>
      <c r="EP173" s="43" t="n">
        <f aca="false">IF(OR(NOT(Tasks[[#This Row],[_IsLeaf]]=1),Tasks[[#This Row],[_Res1Row]]=0),0,N(Tasks[[#This Row],[_Days]])*HoursPerDay*IF(Tasks[[#This Row],[_Units1]]="",DefaultUnits,Tasks[[#This Row],[_Units1]]))</f>
        <v>0</v>
      </c>
      <c r="EQ173" s="43" t="n">
        <f aca="false">Tasks[[#This Row],[_LeafWork]]+Tasks[[#This Row],[_Res2Work]]+Tasks[[#This Row],[_Res3Work]]+Tasks[[#This Row],[_Res4Work]]</f>
        <v>0</v>
      </c>
      <c r="ER1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3" t="n">
        <f aca="false">IF(NOT(Tasks[[#This Row],[_IsLeaf]]=1),0,MAX(_xlfn.MAXIFS(Tasks[_Row],Tasks[_Pred1UID],Tasks[[#This Row],[UID]]),_xlfn.MAXIFS(Tasks[_Row],Tasks[_Pred2UID],Tasks[[#This Row],[UID]]),_xlfn.MAXIFS(Tasks[_Row],Tasks[_Pred3UID],Tasks[[#This Row],[UID]]),_xlfn.MAXIFS(Tasks[_Row],Tasks[_Pred4UID],Tasks[[#This Row],[UID]])))</f>
        <v>0</v>
      </c>
      <c r="FA1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91" t="str">
        <f aca="false">IF(NOT(Tasks[[#This Row],[_IsLeaf]]=1),"",IF(N(Tasks[[#This Row],[_Days]])&lt;=0,Tasks[[#This Row],[_LeafLateFinish]],WORKDAY.INTL(Tasks[[#This Row],[_LeafLateFinish]],-(Tasks[[#This Row],[_Days]]-1),WorkWeek,Holidays)))</f>
        <v/>
      </c>
      <c r="FD1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3" s="90" t="b">
        <f aca="false">AND(Tasks[[#This Row],[_IsLeaf]]=1,Tasks[[#This Row],[_LeafProgress]]&lt;1,N(Tasks[[#This Row],[_LeafTotalSlack]])&lt;=CriticalSlackDays)</f>
        <v>0</v>
      </c>
      <c r="FF173" s="43" t="n">
        <f aca="false">IF(AND(Tasks[[#This Row],[_IsLeaf]]=1,Tasks[[#This Row],[_ConstraintCode]]=1,Tasks[[#This Row],[Mode]]&lt;&gt;"Manual",N(Tasks[[#This Row],[Actual Start]])=0),MAX(0,N(Tasks[[#This Row],[Free Slack]])),0)</f>
        <v>0</v>
      </c>
      <c r="FG173" s="91" t="str">
        <f aca="false">IF(NOT(Tasks[[#This Row],[_IsLeaf]]=1),"",IF(Tasks[[#This Row],[_AlapShift]]=0,Tasks[[#This Row],[_LeafCalcStart]],WORKDAY.INTL(Tasks[[#This Row],[_LeafCalcStart]],Tasks[[#This Row],[_AlapShift]],WorkWeek,Holidays)))</f>
        <v/>
      </c>
      <c r="FH173" s="91" t="str">
        <f aca="false">IF(NOT(Tasks[[#This Row],[_IsLeaf]]=1),"",IF(Tasks[[#This Row],[_AlapShift]]=0,Tasks[[#This Row],[_LeafCalcFinish]],WORKDAY.INTL(Tasks[[#This Row],[_LeafCalcFinish]],Tasks[[#This Row],[_AlapShift]],WorkWeek,Holidays)))</f>
        <v/>
      </c>
      <c r="FI173" s="91" t="str">
        <f aca="false">IF(NOT(Tasks[[#This Row],[_IsLeaf]]=1),"",IF(Tasks[[#This Row],[_AlapShift]]=0,Tasks[[#This Row],[_LeafFcstStart]],WORKDAY.INTL(Tasks[[#This Row],[_LeafFcstStart]],Tasks[[#This Row],[_AlapShift]],WorkWeek,Holidays)))</f>
        <v/>
      </c>
      <c r="FJ173" s="91" t="str">
        <f aca="false">IF(NOT(Tasks[[#This Row],[_IsLeaf]]=1),"",IF(Tasks[[#This Row],[_AlapShift]]=0,Tasks[[#This Row],[_LeafFcstFinish]],WORKDAY.INTL(Tasks[[#This Row],[_LeafFcstFinish]],Tasks[[#This Row],[_AlapShift]],WorkWeek,Holidays)))</f>
        <v/>
      </c>
      <c r="FK173" s="91" t="str">
        <f aca="false">IF(Tasks[[#This Row],[Task Name]]="","",IF(Tasks[[#This Row],[_IsSummary]],MIN(INDEX(Tasks[_ShownCalcStart],Tasks[[#This Row],[_Row]]+1):INDEX(Tasks[_ShownCalcStart],Tasks[[#This Row],[_Row]]+Tasks[[#This Row],[_Descendants]])),Tasks[[#This Row],[_ShownCalcStart]]))</f>
        <v/>
      </c>
      <c r="FL173" s="91" t="str">
        <f aca="false">IF(Tasks[[#This Row],[Task Name]]="","",IF(Tasks[[#This Row],[_IsSummary]],MAX(INDEX(Tasks[_ShownCalcFinish],Tasks[[#This Row],[_Row]]+1):INDEX(Tasks[_ShownCalcFinish],Tasks[[#This Row],[_Row]]+Tasks[[#This Row],[_Descendants]])),Tasks[[#This Row],[_ShownCalcFinish]]))</f>
        <v/>
      </c>
      <c r="FM1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3" s="43" t="n">
        <f aca="false">IF(AND(Tasks[[#This Row],[_IsLeaf]]=1,Tasks[[#This Row],[_LeafTotalWork]]&gt;0),NETWORKDAYS.INTL(ProjectStart,Tasks[[#This Row],[_ShownFcstStart]],WorkWeek,Holidays),0)</f>
        <v>0</v>
      </c>
      <c r="FZ173" s="43" t="n">
        <f aca="false">IF(AND(Tasks[[#This Row],[_IsLeaf]]=1,Tasks[[#This Row],[_LeafTotalWork]]&gt;0),MAX(Tasks[[#This Row],[_StartWorkday]],NETWORKDAYS.INTL(ProjectStart,Tasks[[#This Row],[_ShownFcstFinish]],WorkWeek,Holidays)),0)</f>
        <v>0</v>
      </c>
      <c r="GA173" s="43" t="n">
        <f aca="false">IF(AND(Tasks[[#This Row],[_IsLeaf]]=1,Tasks[[#This Row],[_LeafTotalWork]]&gt;0),Tasks[[#This Row],[_LeafWork]]/(Tasks[[#This Row],[_FinishWorkday]]-Tasks[[#This Row],[_StartWorkday]]+1),0)</f>
        <v>0</v>
      </c>
      <c r="GB173" s="43" t="n">
        <f aca="false">Tasks[[#This Row],[_WorkPerWorkday]]*(Tasks[[#This Row],[_StartWorkday]]-1)</f>
        <v>-0</v>
      </c>
      <c r="GC173" s="43" t="n">
        <f aca="false">IF(Tasks[[#This Row],[_IsLeaf]]=1,MAX(N(Tasks[[#This Row],[_Days]]),0.1),0)</f>
        <v>0</v>
      </c>
      <c r="GD173" s="43" t="n">
        <f aca="false">Tasks[[#This Row],[_WeightDur]]*Tasks[[#This Row],[_LeafProgress]]</f>
        <v>0</v>
      </c>
      <c r="GE173" s="43" t="n">
        <f aca="false">Tasks[[#This Row],[_WeightDur]]*Tasks[[#This Row],[_PlannedPct]]</f>
        <v>0</v>
      </c>
      <c r="GF1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3" t="str">
        <f aca="false">IF(AND(Tasks[[#This Row],[_IsLeaf]]=1,N(Tasks[[#This Row],[_Days]])=0,Tasks[[#This Row],[_LeafProgress]]&lt;1),Tasks[[#This Row],[_ShownFcstFinish]]+Tasks[[#This Row],[_Row]]/100000,"")</f>
        <v/>
      </c>
      <c r="GH1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3" s="43" t="str">
        <f aca="false">IF(Tasks[[#This Row],[Task Name]]="","",LEFT(Tasks[[#This Row],[WBS]],FIND(".",Tasks[[#This Row],[WBS]]&amp;".")-1))</f>
        <v/>
      </c>
      <c r="GJ173" s="43" t="str">
        <f aca="false">IF(AND(Tasks[[#This Row],[Task Name]]&lt;&gt;"",Tasks[[#This Row],[_Level]]=1),Tasks[[#This Row],[_Row]],"")</f>
        <v/>
      </c>
      <c r="GK173" s="43" t="str">
        <f aca="false">IF(AND(Tasks[[#This Row],[_IsLeaf]]=1,N(Tasks[[#This Row],[_Days]])=0),Tasks[[#This Row],[Planned Finish]]+Tasks[[#This Row],[_Row]]/100000,"")</f>
        <v/>
      </c>
      <c r="GL173" s="43" t="str">
        <f aca="false">IF(AND(Tasks[[#This Row],[_IsLeaf]]=1,Tasks[[#This Row],[_LeafProgress]]&lt;1,OR(N(Tasks[[#This Row],[Finish Var]])&gt;0,Tasks[[#This Row],[Status]]="Late Start")),MAX(0,Tasks[[#This Row],[Finish Var]])+1-Tasks[[#This Row],[_Row]]/1000000,"")</f>
        <v/>
      </c>
      <c r="GM173" s="43" t="str">
        <f aca="false">IF(AND(Tasks[[#This Row],[_IsLeaf]]=1,N(Tasks[[#This Row],[Actual Start]])=0,Tasks[[#This Row],[_ShownFcstStart]]&gt;=StatusDate,Tasks[[#This Row],[_ShownFcstStart]]&lt;=LookaheadEnd),Tasks[[#This Row],[_ShownFcstStart]]+Tasks[[#This Row],[_Row]]/100000,"")</f>
        <v/>
      </c>
      <c r="GN173" s="43" t="str">
        <f aca="false">IF(AND(Tasks[[#This Row],[_IsLeaf]]=1,Tasks[[#This Row],[_LeafProgress]]&lt;1,Tasks[[#This Row],[_ShownFcstFinish]]&gt;=StatusDate,Tasks[[#This Row],[_ShownFcstFinish]]&lt;=LookaheadEnd),Tasks[[#This Row],[_ShownFcstFinish]]+Tasks[[#This Row],[_Row]]/100000,"")</f>
        <v/>
      </c>
      <c r="GO173" s="43" t="str">
        <f aca="false">IF(Tasks[[#This Row],[_LeafCritical]],Tasks[[#This Row],[_ShownFcstStart]]+Tasks[[#This Row],[_Row]]/100000,"")</f>
        <v/>
      </c>
      <c r="GP173" s="43" t="n">
        <f aca="false">Tasks[[#This Row],[_LeafWork]]*Tasks[[#This Row],[_LeafProgress]]</f>
        <v>0</v>
      </c>
      <c r="GQ173" s="91" t="str">
        <f aca="false">IF(AND(Tasks[[#This Row],[_IsLeaf]]=1,Tasks[[#This Row],[_LeafProgress]]&gt;=1),IF(N(Tasks[[#This Row],[Actual Finish]])&gt;0,Tasks[[#This Row],[Actual Finish]],Tasks[[#This Row],[_ShownFcstFinish]]),"")</f>
        <v/>
      </c>
      <c r="GR173" s="43" t="n">
        <f aca="false">IF(Tasks[[#This Row],[_IsLeaf]]=1,N(Tasks[[#This Row],[Story Points]]),0)</f>
        <v>0</v>
      </c>
      <c r="GS173" s="43" t="str">
        <f aca="false">""</f>
        <v/>
      </c>
      <c r="GT173" s="90" t="b">
        <f aca="false">IF(Tasks[[#This Row],[Task Name]]="",FALSE(),AND(Tasks[[#This Row],[_IsLeaf]]=1,N(Tasks[[#This Row],[_Days]])=0))</f>
        <v>0</v>
      </c>
      <c r="GU173" s="91" t="n">
        <f aca="false">IF(Tasks[[#This Row],[Task Name]]="",0,IF(AND(Tasks[[#This Row],[_IsLeaf]]=1,NOT(Tasks[[#This Row],[_IsMilestone]]),N(Tasks[[#This Row],[Progress]])&gt;0),Tasks[[#This Row],[Start]],0))</f>
        <v>0</v>
      </c>
      <c r="GV173" s="91" t="n">
        <f aca="false">IF(Tasks[[#This Row],[_DoneFrom]]=0,0,IF(Tasks[[#This Row],[Progress]]&gt;=1,Tasks[[#This Row],[Finish]],MAX(Tasks[[#This Row],[_DoneFrom]],Tasks[[#This Row],[Start]]+ROUND((Tasks[[#This Row],[Finish]]-Tasks[[#This Row],[Start]]+1)*Tasks[[#This Row],[Progress]],0)-1)))</f>
        <v>0</v>
      </c>
      <c r="GW173" s="91" t="n">
        <f aca="false">IF(Tasks[[#This Row],[Task Name]]="",0,IF(OR(NOT(Tasks[[#This Row],[_IsLeaf]]=1),Tasks[[#This Row],[_IsMilestone]],N(Tasks[[#This Row],[Progress]])&gt;=1),0,IF(Tasks[[#This Row],[_DoneTo]]&gt;0,Tasks[[#This Row],[_DoneTo]]+1,Tasks[[#This Row],[Start]])))</f>
        <v>0</v>
      </c>
      <c r="GX173" s="91" t="n">
        <f aca="false">IF(Tasks[[#This Row],[_RemFrom]]=0,0,Tasks[[#This Row],[Finish]])</f>
        <v>0</v>
      </c>
      <c r="GY173" s="90" t="b">
        <f aca="false">IF(Tasks[[#This Row],[Task Name]]="",FALSE(),OR(NOT(BaselineSet),N(Tasks[[#This Row],[Baseline Start]])&gt;0))</f>
        <v>0</v>
      </c>
      <c r="GZ17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92" t="str">
        <f aca="false">IF(Tasks[[#This Row],[_IsLeaf]]=1,Tasks[[#This Row],[_Row]],"")</f>
        <v/>
      </c>
      <c r="HD173" s="92" t="str">
        <f aca="false">IFERROR(INDEX(Tasks[UID],SMALL(Tasks[_PickKey],Tasks[[#This Row],[_Row]]))&amp;" "&amp;INDEX(Tasks[Task Name],SMALL(Tasks[_PickKey],Tasks[[#This Row],[_Row]])),"")</f>
        <v/>
      </c>
      <c r="HE173" s="43" t="str">
        <f aca="false">IF(Tasks[[#This Row],[Task Name]]="","",IF(Tasks[[#This Row],[_IsSummary]],NETWORKDAYS.INTL(Tasks[[#This Row],[Start]],Tasks[[#This Row],[Finish]],WorkWeek,Holidays),N(Tasks[[#This Row],[_Days]])))</f>
        <v/>
      </c>
      <c r="HF173" s="43" t="n">
        <f aca="false">IF(Tasks[[#This Row],[Expected]]="",0,((Tasks[[#This Row],[Pessimistic]]-Tasks[[#This Row],[Optimistic]])/6)^2)</f>
        <v>0</v>
      </c>
      <c r="HG173" s="43" t="n">
        <f aca="false">IF(Tasks[[#This Row],[Expected]]="",0,Tasks[[#This Row],[Expected]]-N(Tasks[[#This Row],[_Days]]))</f>
        <v>0</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4"/>
      <c r="U174" s="23"/>
      <c r="V174" s="84"/>
      <c r="W174" s="23"/>
      <c r="X174" s="84"/>
      <c r="Y174" s="23"/>
      <c r="Z174" s="84"/>
      <c r="AA174" s="23"/>
      <c r="AB174" s="23"/>
      <c r="AC174" s="7"/>
      <c r="AD174" s="7"/>
      <c r="AE174" s="63" t="str">
        <f aca="false">IF(Tasks[[#This Row],[Task Name]]="","",IF(Tasks[[#This Row],[_IsSummary]],MIN(INDEX(Tasks[_ShownFcstStart],Tasks[[#This Row],[_Row]]+1):INDEX(Tasks[_ShownFcstStart],Tasks[[#This Row],[_Row]]+Tasks[[#This Row],[_Descendants]])),Tasks[[#This Row],[_ShownFcstStart]]))</f>
        <v/>
      </c>
      <c r="AF174" s="63"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4" s="7"/>
      <c r="AK174" s="22"/>
      <c r="AL174" s="23"/>
      <c r="AM174" s="7"/>
      <c r="AN174" s="47"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3" t="str">
        <f aca="false">IF(Tasks[[#This Row],[Task Name]]="","",IF(N(Tasks[[#This Row],[Baseline Start]])&gt;0,Tasks[[#This Row],[Baseline Start]],Tasks[[#This Row],[_CalcStart]]))</f>
        <v/>
      </c>
      <c r="AR174" s="63" t="str">
        <f aca="false">IF(Tasks[[#This Row],[Task Name]]="","",IF(N(Tasks[[#This Row],[Baseline Finish]])&gt;0,Tasks[[#This Row],[Baseline Finish]],Tasks[[#This Row],[_CalcFinish]]))</f>
        <v/>
      </c>
      <c r="AS174" s="47" t="str">
        <f aca="false">IF(Tasks[[#This Row],[Task Name]]="","",IF(Tasks[[#This Row],[Start]]&gt;=Tasks[[#This Row],[Planned Start]],NETWORKDAYS.INTL(Tasks[[#This Row],[Planned Start]],Tasks[[#This Row],[Start]],WorkWeek,Holidays)-1,1-NETWORKDAYS.INTL(Tasks[[#This Row],[Start]],Tasks[[#This Row],[Planned Start]],WorkWeek,Holidays)))</f>
        <v/>
      </c>
      <c r="AT174" s="63" t="str">
        <f aca="false">IF(Tasks[[#This Row],[Task Name]]="","",IF(Tasks[[#This Row],[_IsSummary]],MIN(INDEX(Tasks[_LeafLateStart],Tasks[[#This Row],[_Row]]+1):INDEX(Tasks[_LeafLateStart],Tasks[[#This Row],[_Row]]+Tasks[[#This Row],[_Descendants]])),Tasks[[#This Row],[_LeafLateStart]]))</f>
        <v/>
      </c>
      <c r="AU174" s="63" t="str">
        <f aca="false">IF(Tasks[[#This Row],[Task Name]]="","",IF(Tasks[[#This Row],[_IsSummary]],MAX(INDEX(Tasks[_LeafLateFinish],Tasks[[#This Row],[_Row]]+1):INDEX(Tasks[_LeafLateFinish],Tasks[[#This Row],[_Row]]+Tasks[[#This Row],[_Descendants]])),Tasks[[#This Row],[_LeafLateFinish]]))</f>
        <v/>
      </c>
      <c r="AV174" s="47"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5"/>
      <c r="BA1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6"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7"/>
      <c r="BJ174" s="22"/>
      <c r="BK174" s="47" t="str">
        <f aca="false">IF(OR(Tasks[[#This Row],[Task Name]]="",Tasks[[#This Row],[Baseline Duration]]=""),"",Tasks[[#This Row],[_SpanDays]]-N(Tasks[[#This Row],[Baseline Duration]]))</f>
        <v/>
      </c>
      <c r="BL174" s="86" t="str">
        <f aca="false">IF(OR(Tasks[[#This Row],[Task Name]]="",Tasks[[#This Row],[Baseline Work]]=""),"",Tasks[[#This Row],[Work]]-N(Tasks[[#This Row],[Baseline Work]]))</f>
        <v/>
      </c>
      <c r="BM174" s="63" t="str">
        <f aca="false">IF(Tasks[[#This Row],[Task Name]]="","",IF(OR(TakeBaseline="Yes",N(Tasks[[#This Row],[Baseline Start]])=0),Tasks[[#This Row],[Start]],Tasks[[#This Row],[Baseline Start]]))</f>
        <v/>
      </c>
      <c r="BN174" s="63" t="str">
        <f aca="false">IF(Tasks[[#This Row],[Task Name]]="","",IF(OR(TakeBaseline="Yes",N(Tasks[[#This Row],[Baseline Finish]])=0),Tasks[[#This Row],[Finish]],Tasks[[#This Row],[Baseline Finish]]))</f>
        <v/>
      </c>
      <c r="BO174" s="21" t="str">
        <f aca="false">IF(Tasks[[#This Row],[Task Name]]="","",IF(OR(TakeBaseline="Yes",N(Tasks[[#This Row],[Baseline Duration]])=0),Tasks[[#This Row],[_SpanDays]],Tasks[[#This Row],[Baseline Duration]]))</f>
        <v/>
      </c>
      <c r="BP174" s="86" t="str">
        <f aca="false">IF(Tasks[[#This Row],[Task Name]]="","",IF(OR(TakeBaseline="Yes",N(Tasks[[#This Row],[Baseline Work]])=0),Tasks[[#This Row],[Work]],Tasks[[#This Row],[Baseline Work]]))</f>
        <v/>
      </c>
      <c r="BQ174" s="7"/>
      <c r="BR174" s="7"/>
      <c r="BS174" s="22"/>
      <c r="BT174" s="88"/>
      <c r="BU174" s="23"/>
      <c r="BV174" s="23"/>
      <c r="BW174" s="23"/>
      <c r="BX174" s="89" t="str">
        <f aca="false">IF(AND(Tasks[[#This Row],[_IsLeaf]]=1,ISNUMBER(Tasks[[#This Row],[Optimistic]]),ISNUMBER(Tasks[[#This Row],[Pessimistic]])),ROUND((Tasks[[#This Row],[Optimistic]]+4*N(Tasks[[#This Row],[_Days]])+Tasks[[#This Row],[Pessimistic]])/6,1),"")</f>
        <v/>
      </c>
      <c r="BY174" s="87"/>
      <c r="BZ174" s="87"/>
      <c r="CA174" s="22"/>
      <c r="CB174" s="43" t="str">
        <f aca="false">IF(Tasks[[#This Row],[Task Name]]="","",MAX(1,N(Tasks[[#This Row],[Level]])))</f>
        <v/>
      </c>
      <c r="CC174" s="43" t="n">
        <f aca="false">ROW()-ROW(Tasks[[#Headers],[ID]])</f>
        <v>169</v>
      </c>
      <c r="CD174" s="43" t="n">
        <f aca="false">IF(OR(Tasks[[#This Row],[Task Name]]="",Tasks[[#This Row],[_Level]]&lt;=1),0,IFERROR(LOOKUP(2,1/(Tasks[[#Headers],[_Level]]:Tasks[[#This Row],[_Level]]=Tasks[[#This Row],[_Level]]-1),ROW(Tasks[[#Headers],[_Level]]:Tasks[[#This Row],[_Level]])),0))</f>
        <v>0</v>
      </c>
      <c r="CE174" s="43" t="n">
        <f aca="false">IFERROR(N(INDEX(Tasks[_Level],Tasks[[#This Row],[_Row]]+1)),0)</f>
        <v>0</v>
      </c>
      <c r="CF174" s="90" t="b">
        <f aca="false">AND(Tasks[[#This Row],[Task Name]]&lt;&gt;"",Tasks[[#This Row],[_NextLevel]]&gt;Tasks[[#This Row],[_Level]])</f>
        <v>0</v>
      </c>
      <c r="CG174" s="43" t="n">
        <f aca="false">IF(Tasks[[#This Row],[_IsSummary]],COUNTIF(Tasks[WBS],Tasks[[#This Row],[WBS]]&amp;".*"),0)</f>
        <v>0</v>
      </c>
      <c r="CH174" s="43" t="n">
        <f aca="false">IF(AND(Tasks[[#This Row],[Task Name]]&lt;&gt;"",NOT(Tasks[[#This Row],[_IsSummary]])),1,0)</f>
        <v>0</v>
      </c>
      <c r="CI174" s="43" t="n">
        <f aca="false">IF(N(Tasks[[#This Row],[_Pred1UID]])=0,0,IFERROR(MATCH(Tasks[[#This Row],[_Pred1UID]],Tasks[UID],0),-1))</f>
        <v>0</v>
      </c>
      <c r="CJ174" s="43" t="n">
        <f aca="false">IF(N(Tasks[[#This Row],[_Pred2UID]])=0,0,IFERROR(MATCH(Tasks[[#This Row],[_Pred2UID]],Tasks[UID],0),-1))</f>
        <v>0</v>
      </c>
      <c r="CK174" s="43" t="n">
        <f aca="false">IF(N(Tasks[[#This Row],[_Pred3UID]])=0,0,IFERROR(MATCH(Tasks[[#This Row],[_Pred3UID]],Tasks[UID],0),-1))</f>
        <v>0</v>
      </c>
      <c r="CL174" s="43" t="n">
        <f aca="false">IF(N(Tasks[[#This Row],[_Pred4UID]])=0,0,IFERROR(MATCH(Tasks[[#This Row],[_Pred4UID]],Tasks[UID],0),-1))</f>
        <v>0</v>
      </c>
      <c r="CM1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4" s="91" t="n">
        <f aca="false">IF(OR(Tasks[[#This Row],[_ConstraintCode]]=2,Tasks[[#This Row],[_ConstraintCode]]=3,Tasks[[#This Row],[_ConstraintCode]]=4,Tasks[[#This Row],[_ConstraintCode]]=6),Tasks[[#This Row],[_ConstraintStart]],0)</f>
        <v>0</v>
      </c>
      <c r="CP174" s="91" t="n">
        <f aca="false">IF(OR(Tasks[[#This Row],[_ConstraintCode]]=2,Tasks[[#This Row],[_ConstraintCode]]=3,Tasks[[#This Row],[_ConstraintCode]]=5,Tasks[[#This Row],[_ConstraintCode]]=7),Tasks[[#This Row],[_ConstraintStart]],2958465)</f>
        <v>2958465</v>
      </c>
      <c r="CQ1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91" t="str">
        <f aca="false">IF(NOT(Tasks[[#This Row],[_IsLeaf]]=1),"",IF(N(Tasks[[#This Row],[_Days]])&lt;=0,Tasks[[#This Row],[_LeafCalcStart]],WORKDAY.INTL(Tasks[[#This Row],[_LeafCalcStart]],Tasks[[#This Row],[_Days]]-1,WorkWeek,Holidays)))</f>
        <v/>
      </c>
      <c r="CS1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3" t="str">
        <f aca="false">IF(Tasks[[#This Row],[_Predecessors]]="","",TRIM(MID(SUBSTITUTE(SUBSTITUTE(SUBSTITUTE(UPPER(Tasks[[#This Row],[_Predecessors]]),";",",")," ",""),",",REPT(" ",99)),1,99)))</f>
        <v/>
      </c>
      <c r="CV174" s="43" t="str">
        <f aca="false">IF(Tasks[[#This Row],[_Pred1Text]]="","",IFERROR(VALUE(LEFT(Tasks[[#This Row],[_Pred1Text]],MIN(FIND("F",Tasks[[#This Row],[_Pred1Text]]&amp;"F"),FIND("S",Tasks[[#This Row],[_Pred1Text]]&amp;"S"),FIND("+",Tasks[[#This Row],[_Pred1Text]]&amp;"+"),FIND("-",Tasks[[#This Row],[_Pred1Text]]&amp;"-"))-1)),""))</f>
        <v/>
      </c>
      <c r="CW1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3" t="str">
        <f aca="false">IF(Tasks[[#This Row],[_Pred1Text]]="","",TRIM(MID(SUBSTITUTE(SUBSTITUTE(SUBSTITUTE(UPPER(Tasks[[#This Row],[_Predecessors]]),";",",")," ",""),",",REPT(" ",99)),100,99)))</f>
        <v/>
      </c>
      <c r="CZ174" s="43" t="str">
        <f aca="false">IF(Tasks[[#This Row],[_Pred2Text]]="","",IFERROR(VALUE(LEFT(Tasks[[#This Row],[_Pred2Text]],MIN(FIND("F",Tasks[[#This Row],[_Pred2Text]]&amp;"F"),FIND("S",Tasks[[#This Row],[_Pred2Text]]&amp;"S"),FIND("+",Tasks[[#This Row],[_Pred2Text]]&amp;"+"),FIND("-",Tasks[[#This Row],[_Pred2Text]]&amp;"-"))-1)),""))</f>
        <v/>
      </c>
      <c r="DA1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3" t="str">
        <f aca="false">IF(Tasks[[#This Row],[_Pred2Text]]="","",TRIM(MID(SUBSTITUTE(SUBSTITUTE(SUBSTITUTE(UPPER(Tasks[[#This Row],[_Predecessors]]),";",",")," ",""),",",REPT(" ",99)),199,99)))</f>
        <v/>
      </c>
      <c r="DD174" s="43" t="str">
        <f aca="false">IF(Tasks[[#This Row],[_Pred3Text]]="","",IFERROR(VALUE(LEFT(Tasks[[#This Row],[_Pred3Text]],MIN(FIND("F",Tasks[[#This Row],[_Pred3Text]]&amp;"F"),FIND("S",Tasks[[#This Row],[_Pred3Text]]&amp;"S"),FIND("+",Tasks[[#This Row],[_Pred3Text]]&amp;"+"),FIND("-",Tasks[[#This Row],[_Pred3Text]]&amp;"-"))-1)),""))</f>
        <v/>
      </c>
      <c r="DE1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3" t="str">
        <f aca="false">IF(Tasks[[#This Row],[_Pred3Text]]="","",TRIM(MID(SUBSTITUTE(SUBSTITUTE(SUBSTITUTE(UPPER(Tasks[[#This Row],[_Predecessors]]),";",",")," ",""),",",REPT(" ",99)),298,99)))</f>
        <v/>
      </c>
      <c r="DH174" s="43" t="str">
        <f aca="false">IF(Tasks[[#This Row],[_Pred4Text]]="","",IFERROR(VALUE(LEFT(Tasks[[#This Row],[_Pred4Text]],MIN(FIND("F",Tasks[[#This Row],[_Pred4Text]]&amp;"F"),FIND("S",Tasks[[#This Row],[_Pred4Text]]&amp;"S"),FIND("+",Tasks[[#This Row],[_Pred4Text]]&amp;"+"),FIND("-",Tasks[[#This Row],[_Pred4Text]]&amp;"-"))-1)),""))</f>
        <v/>
      </c>
      <c r="DI1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3" t="str">
        <f aca="false">IF(OR(Tasks[[#This Row],[Task Name]]="",Tasks[[#This Row],[_Resources]]=""),"",TRIM(MID(SUBSTITUTE(Tasks[[#This Row],[_Resources]],",",REPT(" ",99)),1,99)))</f>
        <v/>
      </c>
      <c r="DL174" s="43" t="str">
        <f aca="false">IF(Tasks[[#This Row],[_Res1Text]]="","",TRIM(MID(SUBSTITUTE(Tasks[[#This Row],[_Resources]],",",REPT(" ",99)),100,99)))</f>
        <v/>
      </c>
      <c r="DM174" s="43" t="str">
        <f aca="false">IF(Tasks[[#This Row],[_Res2Text]]="","",TRIM(MID(SUBSTITUTE(Tasks[[#This Row],[_Resources]],",",REPT(" ",99)),199,99)))</f>
        <v/>
      </c>
      <c r="DN174" s="43" t="str">
        <f aca="false">IF(Tasks[[#This Row],[_Res3Text]]="","",TRIM(MID(SUBSTITUTE(Tasks[[#This Row],[_Resources]],",",REPT(" ",99)),298,99)))</f>
        <v/>
      </c>
      <c r="DO174" s="43" t="n">
        <f aca="false">IF(Tasks[[#This Row],[_Res1Text]]="",0,IFERROR(MATCH(TRIM(LEFT(Tasks[[#This Row],[_Res1Text]],FIND("[",Tasks[[#This Row],[_Res1Text]]&amp;"[")-1)),res_Name,0),IFERROR(MATCH(TRIM(LEFT(Tasks[[#This Row],[_Res1Text]],FIND("[",Tasks[[#This Row],[_Res1Text]]&amp;"[")-1)),res_Initials,0),0)))</f>
        <v>0</v>
      </c>
      <c r="DP174" s="43" t="n">
        <f aca="false">IF(Tasks[[#This Row],[_Res2Text]]="",0,IFERROR(MATCH(TRIM(LEFT(Tasks[[#This Row],[_Res2Text]],FIND("[",Tasks[[#This Row],[_Res2Text]]&amp;"[")-1)),res_Name,0),IFERROR(MATCH(TRIM(LEFT(Tasks[[#This Row],[_Res2Text]],FIND("[",Tasks[[#This Row],[_Res2Text]]&amp;"[")-1)),res_Initials,0),0)))</f>
        <v>0</v>
      </c>
      <c r="DQ174" s="43" t="n">
        <f aca="false">IF(Tasks[[#This Row],[_Res3Text]]="",0,IFERROR(MATCH(TRIM(LEFT(Tasks[[#This Row],[_Res3Text]],FIND("[",Tasks[[#This Row],[_Res3Text]]&amp;"[")-1)),res_Name,0),IFERROR(MATCH(TRIM(LEFT(Tasks[[#This Row],[_Res3Text]],FIND("[",Tasks[[#This Row],[_Res3Text]]&amp;"[")-1)),res_Initials,0),0)))</f>
        <v>0</v>
      </c>
      <c r="DR174" s="43" t="n">
        <f aca="false">IF(Tasks[[#This Row],[_Res4Text]]="",0,IFERROR(MATCH(TRIM(LEFT(Tasks[[#This Row],[_Res4Text]],FIND("[",Tasks[[#This Row],[_Res4Text]]&amp;"[")-1)),res_Name,0),IFERROR(MATCH(TRIM(LEFT(Tasks[[#This Row],[_Res4Text]],FIND("[",Tasks[[#This Row],[_Res4Text]]&amp;"[")-1)),res_Initials,0),0)))</f>
        <v>0</v>
      </c>
      <c r="DS174" s="43" t="str">
        <f aca="false">IF(Tasks[[#This Row],[_Res1Text]]="","",IF(Tasks[[#This Row],[_Res1Row]]&gt;0,INDEX(res_Name,Tasks[[#This Row],[_Res1Row]]),TRIM(LEFT(Tasks[[#This Row],[_Res1Text]],FIND("[",Tasks[[#This Row],[_Res1Text]]&amp;"[")-1))))</f>
        <v/>
      </c>
      <c r="DT1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3" t="n">
        <f aca="false">IF(NOT(Tasks[[#This Row],[_IsLeaf]]=1),0,(Tasks[[#This Row],[_Resource1]]&lt;&gt;"")+(Tasks[[#This Row],[_Res2]]&lt;&gt;"")+(Tasks[[#This Row],[_Res3]]&lt;&gt;"")+(Tasks[[#This Row],[_Res4]]&lt;&gt;""))</f>
        <v>0</v>
      </c>
      <c r="DV174" s="43" t="str">
        <f aca="false">IF(Tasks[[#This Row],[_Res2Text]]="","",IF(Tasks[[#This Row],[_Res2Row]]&gt;0,INDEX(res_Name,Tasks[[#This Row],[_Res2Row]]),TRIM(LEFT(Tasks[[#This Row],[_Res2Text]],FIND("[",Tasks[[#This Row],[_Res2Text]]&amp;"[")-1))))</f>
        <v/>
      </c>
      <c r="DW1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3" t="n">
        <f aca="false">IF(OR(NOT(Tasks[[#This Row],[_IsLeaf]]=1),Tasks[[#This Row],[_Res2Row]]=0),0,N(Tasks[[#This Row],[_Days]])*HoursPerDay*IF(Tasks[[#This Row],[_Res2Units]]="",DefaultUnits,Tasks[[#This Row],[_Res2Units]]))</f>
        <v>0</v>
      </c>
      <c r="DY174" s="43" t="n">
        <f aca="false">IF(AND(AND(Tasks[[#This Row],[_IsLeaf]]=1,Tasks[[#This Row],[_LeafTotalWork]]&gt;0),Tasks[[#This Row],[_Res2Work]]&gt;0),Tasks[[#This Row],[_Res2Work]]/(Tasks[[#This Row],[_FinishWorkday]]-Tasks[[#This Row],[_StartWorkday]]+1),0)</f>
        <v>0</v>
      </c>
      <c r="DZ174" s="43" t="n">
        <f aca="false">Tasks[[#This Row],[_Res2WorkPerWD]]*MAX(0,Tasks[[#This Row],[_StartWorkday]]-1)</f>
        <v>0</v>
      </c>
      <c r="EA174" s="43" t="n">
        <f aca="false">Tasks[[#This Row],[_Res2Work]]*Tasks[[#This Row],[_LeafProgress]]</f>
        <v>0</v>
      </c>
      <c r="EB174" s="43" t="str">
        <f aca="false">IF(Tasks[[#This Row],[_Res3Text]]="","",IF(Tasks[[#This Row],[_Res3Row]]&gt;0,INDEX(res_Name,Tasks[[#This Row],[_Res3Row]]),TRIM(LEFT(Tasks[[#This Row],[_Res3Text]],FIND("[",Tasks[[#This Row],[_Res3Text]]&amp;"[")-1))))</f>
        <v/>
      </c>
      <c r="EC1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3" t="n">
        <f aca="false">IF(OR(NOT(Tasks[[#This Row],[_IsLeaf]]=1),Tasks[[#This Row],[_Res3Row]]=0),0,N(Tasks[[#This Row],[_Days]])*HoursPerDay*IF(Tasks[[#This Row],[_Res3Units]]="",DefaultUnits,Tasks[[#This Row],[_Res3Units]]))</f>
        <v>0</v>
      </c>
      <c r="EE174" s="43" t="n">
        <f aca="false">IF(AND(AND(Tasks[[#This Row],[_IsLeaf]]=1,Tasks[[#This Row],[_LeafTotalWork]]&gt;0),Tasks[[#This Row],[_Res3Work]]&gt;0),Tasks[[#This Row],[_Res3Work]]/(Tasks[[#This Row],[_FinishWorkday]]-Tasks[[#This Row],[_StartWorkday]]+1),0)</f>
        <v>0</v>
      </c>
      <c r="EF174" s="43" t="n">
        <f aca="false">Tasks[[#This Row],[_Res3WorkPerWD]]*MAX(0,Tasks[[#This Row],[_StartWorkday]]-1)</f>
        <v>0</v>
      </c>
      <c r="EG174" s="43" t="n">
        <f aca="false">Tasks[[#This Row],[_Res3Work]]*Tasks[[#This Row],[_LeafProgress]]</f>
        <v>0</v>
      </c>
      <c r="EH174" s="43" t="str">
        <f aca="false">IF(Tasks[[#This Row],[_Res4Text]]="","",IF(Tasks[[#This Row],[_Res4Row]]&gt;0,INDEX(res_Name,Tasks[[#This Row],[_Res4Row]]),TRIM(LEFT(Tasks[[#This Row],[_Res4Text]],FIND("[",Tasks[[#This Row],[_Res4Text]]&amp;"[")-1))))</f>
        <v/>
      </c>
      <c r="EI1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3" t="n">
        <f aca="false">IF(OR(NOT(Tasks[[#This Row],[_IsLeaf]]=1),Tasks[[#This Row],[_Res4Row]]=0),0,N(Tasks[[#This Row],[_Days]])*HoursPerDay*IF(Tasks[[#This Row],[_Res4Units]]="",DefaultUnits,Tasks[[#This Row],[_Res4Units]]))</f>
        <v>0</v>
      </c>
      <c r="EK174" s="43" t="n">
        <f aca="false">IF(AND(AND(Tasks[[#This Row],[_IsLeaf]]=1,Tasks[[#This Row],[_LeafTotalWork]]&gt;0),Tasks[[#This Row],[_Res4Work]]&gt;0),Tasks[[#This Row],[_Res4Work]]/(Tasks[[#This Row],[_FinishWorkday]]-Tasks[[#This Row],[_StartWorkday]]+1),0)</f>
        <v>0</v>
      </c>
      <c r="EL174" s="43" t="n">
        <f aca="false">Tasks[[#This Row],[_Res4WorkPerWD]]*MAX(0,Tasks[[#This Row],[_StartWorkday]]-1)</f>
        <v>0</v>
      </c>
      <c r="EM174" s="43" t="n">
        <f aca="false">Tasks[[#This Row],[_Res4Work]]*Tasks[[#This Row],[_LeafProgress]]</f>
        <v>0</v>
      </c>
      <c r="EN174" s="43" t="n">
        <f aca="false">IF(ISNUMBER(Tasks[[#This Row],[% Complete]]),Tasks[[#This Row],[% Complete]],IF(Tasks[[#This Row],[Stage]]="",0,IFERROR(INDEX(stg_Pct,MATCH(Tasks[[#This Row],[Stage]],stg_Name,0)),0)))</f>
        <v>0</v>
      </c>
      <c r="EO174" s="43" t="n">
        <f aca="false">IF(NOT(Tasks[[#This Row],[_IsLeaf]]=1),0,IF(N(Tasks[[#This Row],[Actual Finish]])&gt;0,1,MIN(1,Tasks[[#This Row],[_Pct]])))</f>
        <v>0</v>
      </c>
      <c r="EP174" s="43" t="n">
        <f aca="false">IF(OR(NOT(Tasks[[#This Row],[_IsLeaf]]=1),Tasks[[#This Row],[_Res1Row]]=0),0,N(Tasks[[#This Row],[_Days]])*HoursPerDay*IF(Tasks[[#This Row],[_Units1]]="",DefaultUnits,Tasks[[#This Row],[_Units1]]))</f>
        <v>0</v>
      </c>
      <c r="EQ174" s="43" t="n">
        <f aca="false">Tasks[[#This Row],[_LeafWork]]+Tasks[[#This Row],[_Res2Work]]+Tasks[[#This Row],[_Res3Work]]+Tasks[[#This Row],[_Res4Work]]</f>
        <v>0</v>
      </c>
      <c r="ER1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3" t="n">
        <f aca="false">IF(NOT(Tasks[[#This Row],[_IsLeaf]]=1),0,MAX(_xlfn.MAXIFS(Tasks[_Row],Tasks[_Pred1UID],Tasks[[#This Row],[UID]]),_xlfn.MAXIFS(Tasks[_Row],Tasks[_Pred2UID],Tasks[[#This Row],[UID]]),_xlfn.MAXIFS(Tasks[_Row],Tasks[_Pred3UID],Tasks[[#This Row],[UID]]),_xlfn.MAXIFS(Tasks[_Row],Tasks[_Pred4UID],Tasks[[#This Row],[UID]])))</f>
        <v>0</v>
      </c>
      <c r="FA1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91" t="str">
        <f aca="false">IF(NOT(Tasks[[#This Row],[_IsLeaf]]=1),"",IF(N(Tasks[[#This Row],[_Days]])&lt;=0,Tasks[[#This Row],[_LeafLateFinish]],WORKDAY.INTL(Tasks[[#This Row],[_LeafLateFinish]],-(Tasks[[#This Row],[_Days]]-1),WorkWeek,Holidays)))</f>
        <v/>
      </c>
      <c r="FD1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4" s="90" t="b">
        <f aca="false">AND(Tasks[[#This Row],[_IsLeaf]]=1,Tasks[[#This Row],[_LeafProgress]]&lt;1,N(Tasks[[#This Row],[_LeafTotalSlack]])&lt;=CriticalSlackDays)</f>
        <v>0</v>
      </c>
      <c r="FF174" s="43" t="n">
        <f aca="false">IF(AND(Tasks[[#This Row],[_IsLeaf]]=1,Tasks[[#This Row],[_ConstraintCode]]=1,Tasks[[#This Row],[Mode]]&lt;&gt;"Manual",N(Tasks[[#This Row],[Actual Start]])=0),MAX(0,N(Tasks[[#This Row],[Free Slack]])),0)</f>
        <v>0</v>
      </c>
      <c r="FG174" s="91" t="str">
        <f aca="false">IF(NOT(Tasks[[#This Row],[_IsLeaf]]=1),"",IF(Tasks[[#This Row],[_AlapShift]]=0,Tasks[[#This Row],[_LeafCalcStart]],WORKDAY.INTL(Tasks[[#This Row],[_LeafCalcStart]],Tasks[[#This Row],[_AlapShift]],WorkWeek,Holidays)))</f>
        <v/>
      </c>
      <c r="FH174" s="91" t="str">
        <f aca="false">IF(NOT(Tasks[[#This Row],[_IsLeaf]]=1),"",IF(Tasks[[#This Row],[_AlapShift]]=0,Tasks[[#This Row],[_LeafCalcFinish]],WORKDAY.INTL(Tasks[[#This Row],[_LeafCalcFinish]],Tasks[[#This Row],[_AlapShift]],WorkWeek,Holidays)))</f>
        <v/>
      </c>
      <c r="FI174" s="91" t="str">
        <f aca="false">IF(NOT(Tasks[[#This Row],[_IsLeaf]]=1),"",IF(Tasks[[#This Row],[_AlapShift]]=0,Tasks[[#This Row],[_LeafFcstStart]],WORKDAY.INTL(Tasks[[#This Row],[_LeafFcstStart]],Tasks[[#This Row],[_AlapShift]],WorkWeek,Holidays)))</f>
        <v/>
      </c>
      <c r="FJ174" s="91" t="str">
        <f aca="false">IF(NOT(Tasks[[#This Row],[_IsLeaf]]=1),"",IF(Tasks[[#This Row],[_AlapShift]]=0,Tasks[[#This Row],[_LeafFcstFinish]],WORKDAY.INTL(Tasks[[#This Row],[_LeafFcstFinish]],Tasks[[#This Row],[_AlapShift]],WorkWeek,Holidays)))</f>
        <v/>
      </c>
      <c r="FK174" s="91" t="str">
        <f aca="false">IF(Tasks[[#This Row],[Task Name]]="","",IF(Tasks[[#This Row],[_IsSummary]],MIN(INDEX(Tasks[_ShownCalcStart],Tasks[[#This Row],[_Row]]+1):INDEX(Tasks[_ShownCalcStart],Tasks[[#This Row],[_Row]]+Tasks[[#This Row],[_Descendants]])),Tasks[[#This Row],[_ShownCalcStart]]))</f>
        <v/>
      </c>
      <c r="FL174" s="91" t="str">
        <f aca="false">IF(Tasks[[#This Row],[Task Name]]="","",IF(Tasks[[#This Row],[_IsSummary]],MAX(INDEX(Tasks[_ShownCalcFinish],Tasks[[#This Row],[_Row]]+1):INDEX(Tasks[_ShownCalcFinish],Tasks[[#This Row],[_Row]]+Tasks[[#This Row],[_Descendants]])),Tasks[[#This Row],[_ShownCalcFinish]]))</f>
        <v/>
      </c>
      <c r="FM1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4" s="43" t="n">
        <f aca="false">IF(AND(Tasks[[#This Row],[_IsLeaf]]=1,Tasks[[#This Row],[_LeafTotalWork]]&gt;0),NETWORKDAYS.INTL(ProjectStart,Tasks[[#This Row],[_ShownFcstStart]],WorkWeek,Holidays),0)</f>
        <v>0</v>
      </c>
      <c r="FZ174" s="43" t="n">
        <f aca="false">IF(AND(Tasks[[#This Row],[_IsLeaf]]=1,Tasks[[#This Row],[_LeafTotalWork]]&gt;0),MAX(Tasks[[#This Row],[_StartWorkday]],NETWORKDAYS.INTL(ProjectStart,Tasks[[#This Row],[_ShownFcstFinish]],WorkWeek,Holidays)),0)</f>
        <v>0</v>
      </c>
      <c r="GA174" s="43" t="n">
        <f aca="false">IF(AND(Tasks[[#This Row],[_IsLeaf]]=1,Tasks[[#This Row],[_LeafTotalWork]]&gt;0),Tasks[[#This Row],[_LeafWork]]/(Tasks[[#This Row],[_FinishWorkday]]-Tasks[[#This Row],[_StartWorkday]]+1),0)</f>
        <v>0</v>
      </c>
      <c r="GB174" s="43" t="n">
        <f aca="false">Tasks[[#This Row],[_WorkPerWorkday]]*(Tasks[[#This Row],[_StartWorkday]]-1)</f>
        <v>-0</v>
      </c>
      <c r="GC174" s="43" t="n">
        <f aca="false">IF(Tasks[[#This Row],[_IsLeaf]]=1,MAX(N(Tasks[[#This Row],[_Days]]),0.1),0)</f>
        <v>0</v>
      </c>
      <c r="GD174" s="43" t="n">
        <f aca="false">Tasks[[#This Row],[_WeightDur]]*Tasks[[#This Row],[_LeafProgress]]</f>
        <v>0</v>
      </c>
      <c r="GE174" s="43" t="n">
        <f aca="false">Tasks[[#This Row],[_WeightDur]]*Tasks[[#This Row],[_PlannedPct]]</f>
        <v>0</v>
      </c>
      <c r="GF1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3" t="str">
        <f aca="false">IF(AND(Tasks[[#This Row],[_IsLeaf]]=1,N(Tasks[[#This Row],[_Days]])=0,Tasks[[#This Row],[_LeafProgress]]&lt;1),Tasks[[#This Row],[_ShownFcstFinish]]+Tasks[[#This Row],[_Row]]/100000,"")</f>
        <v/>
      </c>
      <c r="GH1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4" s="43" t="str">
        <f aca="false">IF(Tasks[[#This Row],[Task Name]]="","",LEFT(Tasks[[#This Row],[WBS]],FIND(".",Tasks[[#This Row],[WBS]]&amp;".")-1))</f>
        <v/>
      </c>
      <c r="GJ174" s="43" t="str">
        <f aca="false">IF(AND(Tasks[[#This Row],[Task Name]]&lt;&gt;"",Tasks[[#This Row],[_Level]]=1),Tasks[[#This Row],[_Row]],"")</f>
        <v/>
      </c>
      <c r="GK174" s="43" t="str">
        <f aca="false">IF(AND(Tasks[[#This Row],[_IsLeaf]]=1,N(Tasks[[#This Row],[_Days]])=0),Tasks[[#This Row],[Planned Finish]]+Tasks[[#This Row],[_Row]]/100000,"")</f>
        <v/>
      </c>
      <c r="GL174" s="43" t="str">
        <f aca="false">IF(AND(Tasks[[#This Row],[_IsLeaf]]=1,Tasks[[#This Row],[_LeafProgress]]&lt;1,OR(N(Tasks[[#This Row],[Finish Var]])&gt;0,Tasks[[#This Row],[Status]]="Late Start")),MAX(0,Tasks[[#This Row],[Finish Var]])+1-Tasks[[#This Row],[_Row]]/1000000,"")</f>
        <v/>
      </c>
      <c r="GM174" s="43" t="str">
        <f aca="false">IF(AND(Tasks[[#This Row],[_IsLeaf]]=1,N(Tasks[[#This Row],[Actual Start]])=0,Tasks[[#This Row],[_ShownFcstStart]]&gt;=StatusDate,Tasks[[#This Row],[_ShownFcstStart]]&lt;=LookaheadEnd),Tasks[[#This Row],[_ShownFcstStart]]+Tasks[[#This Row],[_Row]]/100000,"")</f>
        <v/>
      </c>
      <c r="GN174" s="43" t="str">
        <f aca="false">IF(AND(Tasks[[#This Row],[_IsLeaf]]=1,Tasks[[#This Row],[_LeafProgress]]&lt;1,Tasks[[#This Row],[_ShownFcstFinish]]&gt;=StatusDate,Tasks[[#This Row],[_ShownFcstFinish]]&lt;=LookaheadEnd),Tasks[[#This Row],[_ShownFcstFinish]]+Tasks[[#This Row],[_Row]]/100000,"")</f>
        <v/>
      </c>
      <c r="GO174" s="43" t="str">
        <f aca="false">IF(Tasks[[#This Row],[_LeafCritical]],Tasks[[#This Row],[_ShownFcstStart]]+Tasks[[#This Row],[_Row]]/100000,"")</f>
        <v/>
      </c>
      <c r="GP174" s="43" t="n">
        <f aca="false">Tasks[[#This Row],[_LeafWork]]*Tasks[[#This Row],[_LeafProgress]]</f>
        <v>0</v>
      </c>
      <c r="GQ174" s="91" t="str">
        <f aca="false">IF(AND(Tasks[[#This Row],[_IsLeaf]]=1,Tasks[[#This Row],[_LeafProgress]]&gt;=1),IF(N(Tasks[[#This Row],[Actual Finish]])&gt;0,Tasks[[#This Row],[Actual Finish]],Tasks[[#This Row],[_ShownFcstFinish]]),"")</f>
        <v/>
      </c>
      <c r="GR174" s="43" t="n">
        <f aca="false">IF(Tasks[[#This Row],[_IsLeaf]]=1,N(Tasks[[#This Row],[Story Points]]),0)</f>
        <v>0</v>
      </c>
      <c r="GS174" s="43" t="str">
        <f aca="false">""</f>
        <v/>
      </c>
      <c r="GT174" s="90" t="b">
        <f aca="false">IF(Tasks[[#This Row],[Task Name]]="",FALSE(),AND(Tasks[[#This Row],[_IsLeaf]]=1,N(Tasks[[#This Row],[_Days]])=0))</f>
        <v>0</v>
      </c>
      <c r="GU174" s="91" t="n">
        <f aca="false">IF(Tasks[[#This Row],[Task Name]]="",0,IF(AND(Tasks[[#This Row],[_IsLeaf]]=1,NOT(Tasks[[#This Row],[_IsMilestone]]),N(Tasks[[#This Row],[Progress]])&gt;0),Tasks[[#This Row],[Start]],0))</f>
        <v>0</v>
      </c>
      <c r="GV174" s="91" t="n">
        <f aca="false">IF(Tasks[[#This Row],[_DoneFrom]]=0,0,IF(Tasks[[#This Row],[Progress]]&gt;=1,Tasks[[#This Row],[Finish]],MAX(Tasks[[#This Row],[_DoneFrom]],Tasks[[#This Row],[Start]]+ROUND((Tasks[[#This Row],[Finish]]-Tasks[[#This Row],[Start]]+1)*Tasks[[#This Row],[Progress]],0)-1)))</f>
        <v>0</v>
      </c>
      <c r="GW174" s="91" t="n">
        <f aca="false">IF(Tasks[[#This Row],[Task Name]]="",0,IF(OR(NOT(Tasks[[#This Row],[_IsLeaf]]=1),Tasks[[#This Row],[_IsMilestone]],N(Tasks[[#This Row],[Progress]])&gt;=1),0,IF(Tasks[[#This Row],[_DoneTo]]&gt;0,Tasks[[#This Row],[_DoneTo]]+1,Tasks[[#This Row],[Start]])))</f>
        <v>0</v>
      </c>
      <c r="GX174" s="91" t="n">
        <f aca="false">IF(Tasks[[#This Row],[_RemFrom]]=0,0,Tasks[[#This Row],[Finish]])</f>
        <v>0</v>
      </c>
      <c r="GY174" s="90" t="b">
        <f aca="false">IF(Tasks[[#This Row],[Task Name]]="",FALSE(),OR(NOT(BaselineSet),N(Tasks[[#This Row],[Baseline Start]])&gt;0))</f>
        <v>0</v>
      </c>
      <c r="GZ17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92" t="str">
        <f aca="false">IF(Tasks[[#This Row],[_IsLeaf]]=1,Tasks[[#This Row],[_Row]],"")</f>
        <v/>
      </c>
      <c r="HD174" s="92" t="str">
        <f aca="false">IFERROR(INDEX(Tasks[UID],SMALL(Tasks[_PickKey],Tasks[[#This Row],[_Row]]))&amp;" "&amp;INDEX(Tasks[Task Name],SMALL(Tasks[_PickKey],Tasks[[#This Row],[_Row]])),"")</f>
        <v/>
      </c>
      <c r="HE174" s="43" t="str">
        <f aca="false">IF(Tasks[[#This Row],[Task Name]]="","",IF(Tasks[[#This Row],[_IsSummary]],NETWORKDAYS.INTL(Tasks[[#This Row],[Start]],Tasks[[#This Row],[Finish]],WorkWeek,Holidays),N(Tasks[[#This Row],[_Days]])))</f>
        <v/>
      </c>
      <c r="HF174" s="43" t="n">
        <f aca="false">IF(Tasks[[#This Row],[Expected]]="",0,((Tasks[[#This Row],[Pessimistic]]-Tasks[[#This Row],[Optimistic]])/6)^2)</f>
        <v>0</v>
      </c>
      <c r="HG174" s="43" t="n">
        <f aca="false">IF(Tasks[[#This Row],[Expected]]="",0,Tasks[[#This Row],[Expected]]-N(Tasks[[#This Row],[_Days]]))</f>
        <v>0</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4"/>
      <c r="U175" s="23"/>
      <c r="V175" s="84"/>
      <c r="W175" s="23"/>
      <c r="X175" s="84"/>
      <c r="Y175" s="23"/>
      <c r="Z175" s="84"/>
      <c r="AA175" s="23"/>
      <c r="AB175" s="23"/>
      <c r="AC175" s="7"/>
      <c r="AD175" s="7"/>
      <c r="AE175" s="63" t="str">
        <f aca="false">IF(Tasks[[#This Row],[Task Name]]="","",IF(Tasks[[#This Row],[_IsSummary]],MIN(INDEX(Tasks[_ShownFcstStart],Tasks[[#This Row],[_Row]]+1):INDEX(Tasks[_ShownFcstStart],Tasks[[#This Row],[_Row]]+Tasks[[#This Row],[_Descendants]])),Tasks[[#This Row],[_ShownFcstStart]]))</f>
        <v/>
      </c>
      <c r="AF175" s="63"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5" s="7"/>
      <c r="AK175" s="22"/>
      <c r="AL175" s="23"/>
      <c r="AM175" s="7"/>
      <c r="AN175" s="47"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3" t="str">
        <f aca="false">IF(Tasks[[#This Row],[Task Name]]="","",IF(N(Tasks[[#This Row],[Baseline Start]])&gt;0,Tasks[[#This Row],[Baseline Start]],Tasks[[#This Row],[_CalcStart]]))</f>
        <v/>
      </c>
      <c r="AR175" s="63" t="str">
        <f aca="false">IF(Tasks[[#This Row],[Task Name]]="","",IF(N(Tasks[[#This Row],[Baseline Finish]])&gt;0,Tasks[[#This Row],[Baseline Finish]],Tasks[[#This Row],[_CalcFinish]]))</f>
        <v/>
      </c>
      <c r="AS175" s="47" t="str">
        <f aca="false">IF(Tasks[[#This Row],[Task Name]]="","",IF(Tasks[[#This Row],[Start]]&gt;=Tasks[[#This Row],[Planned Start]],NETWORKDAYS.INTL(Tasks[[#This Row],[Planned Start]],Tasks[[#This Row],[Start]],WorkWeek,Holidays)-1,1-NETWORKDAYS.INTL(Tasks[[#This Row],[Start]],Tasks[[#This Row],[Planned Start]],WorkWeek,Holidays)))</f>
        <v/>
      </c>
      <c r="AT175" s="63" t="str">
        <f aca="false">IF(Tasks[[#This Row],[Task Name]]="","",IF(Tasks[[#This Row],[_IsSummary]],MIN(INDEX(Tasks[_LeafLateStart],Tasks[[#This Row],[_Row]]+1):INDEX(Tasks[_LeafLateStart],Tasks[[#This Row],[_Row]]+Tasks[[#This Row],[_Descendants]])),Tasks[[#This Row],[_LeafLateStart]]))</f>
        <v/>
      </c>
      <c r="AU175" s="63" t="str">
        <f aca="false">IF(Tasks[[#This Row],[Task Name]]="","",IF(Tasks[[#This Row],[_IsSummary]],MAX(INDEX(Tasks[_LeafLateFinish],Tasks[[#This Row],[_Row]]+1):INDEX(Tasks[_LeafLateFinish],Tasks[[#This Row],[_Row]]+Tasks[[#This Row],[_Descendants]])),Tasks[[#This Row],[_LeafLateFinish]]))</f>
        <v/>
      </c>
      <c r="AV175" s="47"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5"/>
      <c r="BA1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6"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7"/>
      <c r="BJ175" s="22"/>
      <c r="BK175" s="47" t="str">
        <f aca="false">IF(OR(Tasks[[#This Row],[Task Name]]="",Tasks[[#This Row],[Baseline Duration]]=""),"",Tasks[[#This Row],[_SpanDays]]-N(Tasks[[#This Row],[Baseline Duration]]))</f>
        <v/>
      </c>
      <c r="BL175" s="86" t="str">
        <f aca="false">IF(OR(Tasks[[#This Row],[Task Name]]="",Tasks[[#This Row],[Baseline Work]]=""),"",Tasks[[#This Row],[Work]]-N(Tasks[[#This Row],[Baseline Work]]))</f>
        <v/>
      </c>
      <c r="BM175" s="63" t="str">
        <f aca="false">IF(Tasks[[#This Row],[Task Name]]="","",IF(OR(TakeBaseline="Yes",N(Tasks[[#This Row],[Baseline Start]])=0),Tasks[[#This Row],[Start]],Tasks[[#This Row],[Baseline Start]]))</f>
        <v/>
      </c>
      <c r="BN175" s="63" t="str">
        <f aca="false">IF(Tasks[[#This Row],[Task Name]]="","",IF(OR(TakeBaseline="Yes",N(Tasks[[#This Row],[Baseline Finish]])=0),Tasks[[#This Row],[Finish]],Tasks[[#This Row],[Baseline Finish]]))</f>
        <v/>
      </c>
      <c r="BO175" s="21" t="str">
        <f aca="false">IF(Tasks[[#This Row],[Task Name]]="","",IF(OR(TakeBaseline="Yes",N(Tasks[[#This Row],[Baseline Duration]])=0),Tasks[[#This Row],[_SpanDays]],Tasks[[#This Row],[Baseline Duration]]))</f>
        <v/>
      </c>
      <c r="BP175" s="86" t="str">
        <f aca="false">IF(Tasks[[#This Row],[Task Name]]="","",IF(OR(TakeBaseline="Yes",N(Tasks[[#This Row],[Baseline Work]])=0),Tasks[[#This Row],[Work]],Tasks[[#This Row],[Baseline Work]]))</f>
        <v/>
      </c>
      <c r="BQ175" s="7"/>
      <c r="BR175" s="7"/>
      <c r="BS175" s="22"/>
      <c r="BT175" s="88"/>
      <c r="BU175" s="23"/>
      <c r="BV175" s="23"/>
      <c r="BW175" s="23"/>
      <c r="BX175" s="89" t="str">
        <f aca="false">IF(AND(Tasks[[#This Row],[_IsLeaf]]=1,ISNUMBER(Tasks[[#This Row],[Optimistic]]),ISNUMBER(Tasks[[#This Row],[Pessimistic]])),ROUND((Tasks[[#This Row],[Optimistic]]+4*N(Tasks[[#This Row],[_Days]])+Tasks[[#This Row],[Pessimistic]])/6,1),"")</f>
        <v/>
      </c>
      <c r="BY175" s="87"/>
      <c r="BZ175" s="87"/>
      <c r="CA175" s="22"/>
      <c r="CB175" s="43" t="str">
        <f aca="false">IF(Tasks[[#This Row],[Task Name]]="","",MAX(1,N(Tasks[[#This Row],[Level]])))</f>
        <v/>
      </c>
      <c r="CC175" s="43" t="n">
        <f aca="false">ROW()-ROW(Tasks[[#Headers],[ID]])</f>
        <v>170</v>
      </c>
      <c r="CD175" s="43" t="n">
        <f aca="false">IF(OR(Tasks[[#This Row],[Task Name]]="",Tasks[[#This Row],[_Level]]&lt;=1),0,IFERROR(LOOKUP(2,1/(Tasks[[#Headers],[_Level]]:Tasks[[#This Row],[_Level]]=Tasks[[#This Row],[_Level]]-1),ROW(Tasks[[#Headers],[_Level]]:Tasks[[#This Row],[_Level]])),0))</f>
        <v>0</v>
      </c>
      <c r="CE175" s="43" t="n">
        <f aca="false">IFERROR(N(INDEX(Tasks[_Level],Tasks[[#This Row],[_Row]]+1)),0)</f>
        <v>0</v>
      </c>
      <c r="CF175" s="90" t="b">
        <f aca="false">AND(Tasks[[#This Row],[Task Name]]&lt;&gt;"",Tasks[[#This Row],[_NextLevel]]&gt;Tasks[[#This Row],[_Level]])</f>
        <v>0</v>
      </c>
      <c r="CG175" s="43" t="n">
        <f aca="false">IF(Tasks[[#This Row],[_IsSummary]],COUNTIF(Tasks[WBS],Tasks[[#This Row],[WBS]]&amp;".*"),0)</f>
        <v>0</v>
      </c>
      <c r="CH175" s="43" t="n">
        <f aca="false">IF(AND(Tasks[[#This Row],[Task Name]]&lt;&gt;"",NOT(Tasks[[#This Row],[_IsSummary]])),1,0)</f>
        <v>0</v>
      </c>
      <c r="CI175" s="43" t="n">
        <f aca="false">IF(N(Tasks[[#This Row],[_Pred1UID]])=0,0,IFERROR(MATCH(Tasks[[#This Row],[_Pred1UID]],Tasks[UID],0),-1))</f>
        <v>0</v>
      </c>
      <c r="CJ175" s="43" t="n">
        <f aca="false">IF(N(Tasks[[#This Row],[_Pred2UID]])=0,0,IFERROR(MATCH(Tasks[[#This Row],[_Pred2UID]],Tasks[UID],0),-1))</f>
        <v>0</v>
      </c>
      <c r="CK175" s="43" t="n">
        <f aca="false">IF(N(Tasks[[#This Row],[_Pred3UID]])=0,0,IFERROR(MATCH(Tasks[[#This Row],[_Pred3UID]],Tasks[UID],0),-1))</f>
        <v>0</v>
      </c>
      <c r="CL175" s="43" t="n">
        <f aca="false">IF(N(Tasks[[#This Row],[_Pred4UID]])=0,0,IFERROR(MATCH(Tasks[[#This Row],[_Pred4UID]],Tasks[UID],0),-1))</f>
        <v>0</v>
      </c>
      <c r="CM1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5" s="91" t="n">
        <f aca="false">IF(OR(Tasks[[#This Row],[_ConstraintCode]]=2,Tasks[[#This Row],[_ConstraintCode]]=3,Tasks[[#This Row],[_ConstraintCode]]=4,Tasks[[#This Row],[_ConstraintCode]]=6),Tasks[[#This Row],[_ConstraintStart]],0)</f>
        <v>0</v>
      </c>
      <c r="CP175" s="91" t="n">
        <f aca="false">IF(OR(Tasks[[#This Row],[_ConstraintCode]]=2,Tasks[[#This Row],[_ConstraintCode]]=3,Tasks[[#This Row],[_ConstraintCode]]=5,Tasks[[#This Row],[_ConstraintCode]]=7),Tasks[[#This Row],[_ConstraintStart]],2958465)</f>
        <v>2958465</v>
      </c>
      <c r="CQ1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91" t="str">
        <f aca="false">IF(NOT(Tasks[[#This Row],[_IsLeaf]]=1),"",IF(N(Tasks[[#This Row],[_Days]])&lt;=0,Tasks[[#This Row],[_LeafCalcStart]],WORKDAY.INTL(Tasks[[#This Row],[_LeafCalcStart]],Tasks[[#This Row],[_Days]]-1,WorkWeek,Holidays)))</f>
        <v/>
      </c>
      <c r="CS1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3" t="str">
        <f aca="false">IF(Tasks[[#This Row],[_Predecessors]]="","",TRIM(MID(SUBSTITUTE(SUBSTITUTE(SUBSTITUTE(UPPER(Tasks[[#This Row],[_Predecessors]]),";",",")," ",""),",",REPT(" ",99)),1,99)))</f>
        <v/>
      </c>
      <c r="CV175" s="43" t="str">
        <f aca="false">IF(Tasks[[#This Row],[_Pred1Text]]="","",IFERROR(VALUE(LEFT(Tasks[[#This Row],[_Pred1Text]],MIN(FIND("F",Tasks[[#This Row],[_Pred1Text]]&amp;"F"),FIND("S",Tasks[[#This Row],[_Pred1Text]]&amp;"S"),FIND("+",Tasks[[#This Row],[_Pred1Text]]&amp;"+"),FIND("-",Tasks[[#This Row],[_Pred1Text]]&amp;"-"))-1)),""))</f>
        <v/>
      </c>
      <c r="CW1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3" t="str">
        <f aca="false">IF(Tasks[[#This Row],[_Pred1Text]]="","",TRIM(MID(SUBSTITUTE(SUBSTITUTE(SUBSTITUTE(UPPER(Tasks[[#This Row],[_Predecessors]]),";",",")," ",""),",",REPT(" ",99)),100,99)))</f>
        <v/>
      </c>
      <c r="CZ175" s="43" t="str">
        <f aca="false">IF(Tasks[[#This Row],[_Pred2Text]]="","",IFERROR(VALUE(LEFT(Tasks[[#This Row],[_Pred2Text]],MIN(FIND("F",Tasks[[#This Row],[_Pred2Text]]&amp;"F"),FIND("S",Tasks[[#This Row],[_Pred2Text]]&amp;"S"),FIND("+",Tasks[[#This Row],[_Pred2Text]]&amp;"+"),FIND("-",Tasks[[#This Row],[_Pred2Text]]&amp;"-"))-1)),""))</f>
        <v/>
      </c>
      <c r="DA1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3" t="str">
        <f aca="false">IF(Tasks[[#This Row],[_Pred2Text]]="","",TRIM(MID(SUBSTITUTE(SUBSTITUTE(SUBSTITUTE(UPPER(Tasks[[#This Row],[_Predecessors]]),";",",")," ",""),",",REPT(" ",99)),199,99)))</f>
        <v/>
      </c>
      <c r="DD175" s="43" t="str">
        <f aca="false">IF(Tasks[[#This Row],[_Pred3Text]]="","",IFERROR(VALUE(LEFT(Tasks[[#This Row],[_Pred3Text]],MIN(FIND("F",Tasks[[#This Row],[_Pred3Text]]&amp;"F"),FIND("S",Tasks[[#This Row],[_Pred3Text]]&amp;"S"),FIND("+",Tasks[[#This Row],[_Pred3Text]]&amp;"+"),FIND("-",Tasks[[#This Row],[_Pred3Text]]&amp;"-"))-1)),""))</f>
        <v/>
      </c>
      <c r="DE1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3" t="str">
        <f aca="false">IF(Tasks[[#This Row],[_Pred3Text]]="","",TRIM(MID(SUBSTITUTE(SUBSTITUTE(SUBSTITUTE(UPPER(Tasks[[#This Row],[_Predecessors]]),";",",")," ",""),",",REPT(" ",99)),298,99)))</f>
        <v/>
      </c>
      <c r="DH175" s="43" t="str">
        <f aca="false">IF(Tasks[[#This Row],[_Pred4Text]]="","",IFERROR(VALUE(LEFT(Tasks[[#This Row],[_Pred4Text]],MIN(FIND("F",Tasks[[#This Row],[_Pred4Text]]&amp;"F"),FIND("S",Tasks[[#This Row],[_Pred4Text]]&amp;"S"),FIND("+",Tasks[[#This Row],[_Pred4Text]]&amp;"+"),FIND("-",Tasks[[#This Row],[_Pred4Text]]&amp;"-"))-1)),""))</f>
        <v/>
      </c>
      <c r="DI1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3" t="str">
        <f aca="false">IF(OR(Tasks[[#This Row],[Task Name]]="",Tasks[[#This Row],[_Resources]]=""),"",TRIM(MID(SUBSTITUTE(Tasks[[#This Row],[_Resources]],",",REPT(" ",99)),1,99)))</f>
        <v/>
      </c>
      <c r="DL175" s="43" t="str">
        <f aca="false">IF(Tasks[[#This Row],[_Res1Text]]="","",TRIM(MID(SUBSTITUTE(Tasks[[#This Row],[_Resources]],",",REPT(" ",99)),100,99)))</f>
        <v/>
      </c>
      <c r="DM175" s="43" t="str">
        <f aca="false">IF(Tasks[[#This Row],[_Res2Text]]="","",TRIM(MID(SUBSTITUTE(Tasks[[#This Row],[_Resources]],",",REPT(" ",99)),199,99)))</f>
        <v/>
      </c>
      <c r="DN175" s="43" t="str">
        <f aca="false">IF(Tasks[[#This Row],[_Res3Text]]="","",TRIM(MID(SUBSTITUTE(Tasks[[#This Row],[_Resources]],",",REPT(" ",99)),298,99)))</f>
        <v/>
      </c>
      <c r="DO175" s="43" t="n">
        <f aca="false">IF(Tasks[[#This Row],[_Res1Text]]="",0,IFERROR(MATCH(TRIM(LEFT(Tasks[[#This Row],[_Res1Text]],FIND("[",Tasks[[#This Row],[_Res1Text]]&amp;"[")-1)),res_Name,0),IFERROR(MATCH(TRIM(LEFT(Tasks[[#This Row],[_Res1Text]],FIND("[",Tasks[[#This Row],[_Res1Text]]&amp;"[")-1)),res_Initials,0),0)))</f>
        <v>0</v>
      </c>
      <c r="DP175" s="43" t="n">
        <f aca="false">IF(Tasks[[#This Row],[_Res2Text]]="",0,IFERROR(MATCH(TRIM(LEFT(Tasks[[#This Row],[_Res2Text]],FIND("[",Tasks[[#This Row],[_Res2Text]]&amp;"[")-1)),res_Name,0),IFERROR(MATCH(TRIM(LEFT(Tasks[[#This Row],[_Res2Text]],FIND("[",Tasks[[#This Row],[_Res2Text]]&amp;"[")-1)),res_Initials,0),0)))</f>
        <v>0</v>
      </c>
      <c r="DQ175" s="43" t="n">
        <f aca="false">IF(Tasks[[#This Row],[_Res3Text]]="",0,IFERROR(MATCH(TRIM(LEFT(Tasks[[#This Row],[_Res3Text]],FIND("[",Tasks[[#This Row],[_Res3Text]]&amp;"[")-1)),res_Name,0),IFERROR(MATCH(TRIM(LEFT(Tasks[[#This Row],[_Res3Text]],FIND("[",Tasks[[#This Row],[_Res3Text]]&amp;"[")-1)),res_Initials,0),0)))</f>
        <v>0</v>
      </c>
      <c r="DR175" s="43" t="n">
        <f aca="false">IF(Tasks[[#This Row],[_Res4Text]]="",0,IFERROR(MATCH(TRIM(LEFT(Tasks[[#This Row],[_Res4Text]],FIND("[",Tasks[[#This Row],[_Res4Text]]&amp;"[")-1)),res_Name,0),IFERROR(MATCH(TRIM(LEFT(Tasks[[#This Row],[_Res4Text]],FIND("[",Tasks[[#This Row],[_Res4Text]]&amp;"[")-1)),res_Initials,0),0)))</f>
        <v>0</v>
      </c>
      <c r="DS175" s="43" t="str">
        <f aca="false">IF(Tasks[[#This Row],[_Res1Text]]="","",IF(Tasks[[#This Row],[_Res1Row]]&gt;0,INDEX(res_Name,Tasks[[#This Row],[_Res1Row]]),TRIM(LEFT(Tasks[[#This Row],[_Res1Text]],FIND("[",Tasks[[#This Row],[_Res1Text]]&amp;"[")-1))))</f>
        <v/>
      </c>
      <c r="DT1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3" t="n">
        <f aca="false">IF(NOT(Tasks[[#This Row],[_IsLeaf]]=1),0,(Tasks[[#This Row],[_Resource1]]&lt;&gt;"")+(Tasks[[#This Row],[_Res2]]&lt;&gt;"")+(Tasks[[#This Row],[_Res3]]&lt;&gt;"")+(Tasks[[#This Row],[_Res4]]&lt;&gt;""))</f>
        <v>0</v>
      </c>
      <c r="DV175" s="43" t="str">
        <f aca="false">IF(Tasks[[#This Row],[_Res2Text]]="","",IF(Tasks[[#This Row],[_Res2Row]]&gt;0,INDEX(res_Name,Tasks[[#This Row],[_Res2Row]]),TRIM(LEFT(Tasks[[#This Row],[_Res2Text]],FIND("[",Tasks[[#This Row],[_Res2Text]]&amp;"[")-1))))</f>
        <v/>
      </c>
      <c r="DW1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3" t="n">
        <f aca="false">IF(OR(NOT(Tasks[[#This Row],[_IsLeaf]]=1),Tasks[[#This Row],[_Res2Row]]=0),0,N(Tasks[[#This Row],[_Days]])*HoursPerDay*IF(Tasks[[#This Row],[_Res2Units]]="",DefaultUnits,Tasks[[#This Row],[_Res2Units]]))</f>
        <v>0</v>
      </c>
      <c r="DY175" s="43" t="n">
        <f aca="false">IF(AND(AND(Tasks[[#This Row],[_IsLeaf]]=1,Tasks[[#This Row],[_LeafTotalWork]]&gt;0),Tasks[[#This Row],[_Res2Work]]&gt;0),Tasks[[#This Row],[_Res2Work]]/(Tasks[[#This Row],[_FinishWorkday]]-Tasks[[#This Row],[_StartWorkday]]+1),0)</f>
        <v>0</v>
      </c>
      <c r="DZ175" s="43" t="n">
        <f aca="false">Tasks[[#This Row],[_Res2WorkPerWD]]*MAX(0,Tasks[[#This Row],[_StartWorkday]]-1)</f>
        <v>0</v>
      </c>
      <c r="EA175" s="43" t="n">
        <f aca="false">Tasks[[#This Row],[_Res2Work]]*Tasks[[#This Row],[_LeafProgress]]</f>
        <v>0</v>
      </c>
      <c r="EB175" s="43" t="str">
        <f aca="false">IF(Tasks[[#This Row],[_Res3Text]]="","",IF(Tasks[[#This Row],[_Res3Row]]&gt;0,INDEX(res_Name,Tasks[[#This Row],[_Res3Row]]),TRIM(LEFT(Tasks[[#This Row],[_Res3Text]],FIND("[",Tasks[[#This Row],[_Res3Text]]&amp;"[")-1))))</f>
        <v/>
      </c>
      <c r="EC1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3" t="n">
        <f aca="false">IF(OR(NOT(Tasks[[#This Row],[_IsLeaf]]=1),Tasks[[#This Row],[_Res3Row]]=0),0,N(Tasks[[#This Row],[_Days]])*HoursPerDay*IF(Tasks[[#This Row],[_Res3Units]]="",DefaultUnits,Tasks[[#This Row],[_Res3Units]]))</f>
        <v>0</v>
      </c>
      <c r="EE175" s="43" t="n">
        <f aca="false">IF(AND(AND(Tasks[[#This Row],[_IsLeaf]]=1,Tasks[[#This Row],[_LeafTotalWork]]&gt;0),Tasks[[#This Row],[_Res3Work]]&gt;0),Tasks[[#This Row],[_Res3Work]]/(Tasks[[#This Row],[_FinishWorkday]]-Tasks[[#This Row],[_StartWorkday]]+1),0)</f>
        <v>0</v>
      </c>
      <c r="EF175" s="43" t="n">
        <f aca="false">Tasks[[#This Row],[_Res3WorkPerWD]]*MAX(0,Tasks[[#This Row],[_StartWorkday]]-1)</f>
        <v>0</v>
      </c>
      <c r="EG175" s="43" t="n">
        <f aca="false">Tasks[[#This Row],[_Res3Work]]*Tasks[[#This Row],[_LeafProgress]]</f>
        <v>0</v>
      </c>
      <c r="EH175" s="43" t="str">
        <f aca="false">IF(Tasks[[#This Row],[_Res4Text]]="","",IF(Tasks[[#This Row],[_Res4Row]]&gt;0,INDEX(res_Name,Tasks[[#This Row],[_Res4Row]]),TRIM(LEFT(Tasks[[#This Row],[_Res4Text]],FIND("[",Tasks[[#This Row],[_Res4Text]]&amp;"[")-1))))</f>
        <v/>
      </c>
      <c r="EI1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3" t="n">
        <f aca="false">IF(OR(NOT(Tasks[[#This Row],[_IsLeaf]]=1),Tasks[[#This Row],[_Res4Row]]=0),0,N(Tasks[[#This Row],[_Days]])*HoursPerDay*IF(Tasks[[#This Row],[_Res4Units]]="",DefaultUnits,Tasks[[#This Row],[_Res4Units]]))</f>
        <v>0</v>
      </c>
      <c r="EK175" s="43" t="n">
        <f aca="false">IF(AND(AND(Tasks[[#This Row],[_IsLeaf]]=1,Tasks[[#This Row],[_LeafTotalWork]]&gt;0),Tasks[[#This Row],[_Res4Work]]&gt;0),Tasks[[#This Row],[_Res4Work]]/(Tasks[[#This Row],[_FinishWorkday]]-Tasks[[#This Row],[_StartWorkday]]+1),0)</f>
        <v>0</v>
      </c>
      <c r="EL175" s="43" t="n">
        <f aca="false">Tasks[[#This Row],[_Res4WorkPerWD]]*MAX(0,Tasks[[#This Row],[_StartWorkday]]-1)</f>
        <v>0</v>
      </c>
      <c r="EM175" s="43" t="n">
        <f aca="false">Tasks[[#This Row],[_Res4Work]]*Tasks[[#This Row],[_LeafProgress]]</f>
        <v>0</v>
      </c>
      <c r="EN175" s="43" t="n">
        <f aca="false">IF(ISNUMBER(Tasks[[#This Row],[% Complete]]),Tasks[[#This Row],[% Complete]],IF(Tasks[[#This Row],[Stage]]="",0,IFERROR(INDEX(stg_Pct,MATCH(Tasks[[#This Row],[Stage]],stg_Name,0)),0)))</f>
        <v>0</v>
      </c>
      <c r="EO175" s="43" t="n">
        <f aca="false">IF(NOT(Tasks[[#This Row],[_IsLeaf]]=1),0,IF(N(Tasks[[#This Row],[Actual Finish]])&gt;0,1,MIN(1,Tasks[[#This Row],[_Pct]])))</f>
        <v>0</v>
      </c>
      <c r="EP175" s="43" t="n">
        <f aca="false">IF(OR(NOT(Tasks[[#This Row],[_IsLeaf]]=1),Tasks[[#This Row],[_Res1Row]]=0),0,N(Tasks[[#This Row],[_Days]])*HoursPerDay*IF(Tasks[[#This Row],[_Units1]]="",DefaultUnits,Tasks[[#This Row],[_Units1]]))</f>
        <v>0</v>
      </c>
      <c r="EQ175" s="43" t="n">
        <f aca="false">Tasks[[#This Row],[_LeafWork]]+Tasks[[#This Row],[_Res2Work]]+Tasks[[#This Row],[_Res3Work]]+Tasks[[#This Row],[_Res4Work]]</f>
        <v>0</v>
      </c>
      <c r="ER1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3" t="n">
        <f aca="false">IF(NOT(Tasks[[#This Row],[_IsLeaf]]=1),0,MAX(_xlfn.MAXIFS(Tasks[_Row],Tasks[_Pred1UID],Tasks[[#This Row],[UID]]),_xlfn.MAXIFS(Tasks[_Row],Tasks[_Pred2UID],Tasks[[#This Row],[UID]]),_xlfn.MAXIFS(Tasks[_Row],Tasks[_Pred3UID],Tasks[[#This Row],[UID]]),_xlfn.MAXIFS(Tasks[_Row],Tasks[_Pred4UID],Tasks[[#This Row],[UID]])))</f>
        <v>0</v>
      </c>
      <c r="FA1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91" t="str">
        <f aca="false">IF(NOT(Tasks[[#This Row],[_IsLeaf]]=1),"",IF(N(Tasks[[#This Row],[_Days]])&lt;=0,Tasks[[#This Row],[_LeafLateFinish]],WORKDAY.INTL(Tasks[[#This Row],[_LeafLateFinish]],-(Tasks[[#This Row],[_Days]]-1),WorkWeek,Holidays)))</f>
        <v/>
      </c>
      <c r="FD1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5" s="90" t="b">
        <f aca="false">AND(Tasks[[#This Row],[_IsLeaf]]=1,Tasks[[#This Row],[_LeafProgress]]&lt;1,N(Tasks[[#This Row],[_LeafTotalSlack]])&lt;=CriticalSlackDays)</f>
        <v>0</v>
      </c>
      <c r="FF175" s="43" t="n">
        <f aca="false">IF(AND(Tasks[[#This Row],[_IsLeaf]]=1,Tasks[[#This Row],[_ConstraintCode]]=1,Tasks[[#This Row],[Mode]]&lt;&gt;"Manual",N(Tasks[[#This Row],[Actual Start]])=0),MAX(0,N(Tasks[[#This Row],[Free Slack]])),0)</f>
        <v>0</v>
      </c>
      <c r="FG175" s="91" t="str">
        <f aca="false">IF(NOT(Tasks[[#This Row],[_IsLeaf]]=1),"",IF(Tasks[[#This Row],[_AlapShift]]=0,Tasks[[#This Row],[_LeafCalcStart]],WORKDAY.INTL(Tasks[[#This Row],[_LeafCalcStart]],Tasks[[#This Row],[_AlapShift]],WorkWeek,Holidays)))</f>
        <v/>
      </c>
      <c r="FH175" s="91" t="str">
        <f aca="false">IF(NOT(Tasks[[#This Row],[_IsLeaf]]=1),"",IF(Tasks[[#This Row],[_AlapShift]]=0,Tasks[[#This Row],[_LeafCalcFinish]],WORKDAY.INTL(Tasks[[#This Row],[_LeafCalcFinish]],Tasks[[#This Row],[_AlapShift]],WorkWeek,Holidays)))</f>
        <v/>
      </c>
      <c r="FI175" s="91" t="str">
        <f aca="false">IF(NOT(Tasks[[#This Row],[_IsLeaf]]=1),"",IF(Tasks[[#This Row],[_AlapShift]]=0,Tasks[[#This Row],[_LeafFcstStart]],WORKDAY.INTL(Tasks[[#This Row],[_LeafFcstStart]],Tasks[[#This Row],[_AlapShift]],WorkWeek,Holidays)))</f>
        <v/>
      </c>
      <c r="FJ175" s="91" t="str">
        <f aca="false">IF(NOT(Tasks[[#This Row],[_IsLeaf]]=1),"",IF(Tasks[[#This Row],[_AlapShift]]=0,Tasks[[#This Row],[_LeafFcstFinish]],WORKDAY.INTL(Tasks[[#This Row],[_LeafFcstFinish]],Tasks[[#This Row],[_AlapShift]],WorkWeek,Holidays)))</f>
        <v/>
      </c>
      <c r="FK175" s="91" t="str">
        <f aca="false">IF(Tasks[[#This Row],[Task Name]]="","",IF(Tasks[[#This Row],[_IsSummary]],MIN(INDEX(Tasks[_ShownCalcStart],Tasks[[#This Row],[_Row]]+1):INDEX(Tasks[_ShownCalcStart],Tasks[[#This Row],[_Row]]+Tasks[[#This Row],[_Descendants]])),Tasks[[#This Row],[_ShownCalcStart]]))</f>
        <v/>
      </c>
      <c r="FL175" s="91" t="str">
        <f aca="false">IF(Tasks[[#This Row],[Task Name]]="","",IF(Tasks[[#This Row],[_IsSummary]],MAX(INDEX(Tasks[_ShownCalcFinish],Tasks[[#This Row],[_Row]]+1):INDEX(Tasks[_ShownCalcFinish],Tasks[[#This Row],[_Row]]+Tasks[[#This Row],[_Descendants]])),Tasks[[#This Row],[_ShownCalcFinish]]))</f>
        <v/>
      </c>
      <c r="FM1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5" s="43" t="n">
        <f aca="false">IF(AND(Tasks[[#This Row],[_IsLeaf]]=1,Tasks[[#This Row],[_LeafTotalWork]]&gt;0),NETWORKDAYS.INTL(ProjectStart,Tasks[[#This Row],[_ShownFcstStart]],WorkWeek,Holidays),0)</f>
        <v>0</v>
      </c>
      <c r="FZ175" s="43" t="n">
        <f aca="false">IF(AND(Tasks[[#This Row],[_IsLeaf]]=1,Tasks[[#This Row],[_LeafTotalWork]]&gt;0),MAX(Tasks[[#This Row],[_StartWorkday]],NETWORKDAYS.INTL(ProjectStart,Tasks[[#This Row],[_ShownFcstFinish]],WorkWeek,Holidays)),0)</f>
        <v>0</v>
      </c>
      <c r="GA175" s="43" t="n">
        <f aca="false">IF(AND(Tasks[[#This Row],[_IsLeaf]]=1,Tasks[[#This Row],[_LeafTotalWork]]&gt;0),Tasks[[#This Row],[_LeafWork]]/(Tasks[[#This Row],[_FinishWorkday]]-Tasks[[#This Row],[_StartWorkday]]+1),0)</f>
        <v>0</v>
      </c>
      <c r="GB175" s="43" t="n">
        <f aca="false">Tasks[[#This Row],[_WorkPerWorkday]]*(Tasks[[#This Row],[_StartWorkday]]-1)</f>
        <v>-0</v>
      </c>
      <c r="GC175" s="43" t="n">
        <f aca="false">IF(Tasks[[#This Row],[_IsLeaf]]=1,MAX(N(Tasks[[#This Row],[_Days]]),0.1),0)</f>
        <v>0</v>
      </c>
      <c r="GD175" s="43" t="n">
        <f aca="false">Tasks[[#This Row],[_WeightDur]]*Tasks[[#This Row],[_LeafProgress]]</f>
        <v>0</v>
      </c>
      <c r="GE175" s="43" t="n">
        <f aca="false">Tasks[[#This Row],[_WeightDur]]*Tasks[[#This Row],[_PlannedPct]]</f>
        <v>0</v>
      </c>
      <c r="GF1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3" t="str">
        <f aca="false">IF(AND(Tasks[[#This Row],[_IsLeaf]]=1,N(Tasks[[#This Row],[_Days]])=0,Tasks[[#This Row],[_LeafProgress]]&lt;1),Tasks[[#This Row],[_ShownFcstFinish]]+Tasks[[#This Row],[_Row]]/100000,"")</f>
        <v/>
      </c>
      <c r="GH1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5" s="43" t="str">
        <f aca="false">IF(Tasks[[#This Row],[Task Name]]="","",LEFT(Tasks[[#This Row],[WBS]],FIND(".",Tasks[[#This Row],[WBS]]&amp;".")-1))</f>
        <v/>
      </c>
      <c r="GJ175" s="43" t="str">
        <f aca="false">IF(AND(Tasks[[#This Row],[Task Name]]&lt;&gt;"",Tasks[[#This Row],[_Level]]=1),Tasks[[#This Row],[_Row]],"")</f>
        <v/>
      </c>
      <c r="GK175" s="43" t="str">
        <f aca="false">IF(AND(Tasks[[#This Row],[_IsLeaf]]=1,N(Tasks[[#This Row],[_Days]])=0),Tasks[[#This Row],[Planned Finish]]+Tasks[[#This Row],[_Row]]/100000,"")</f>
        <v/>
      </c>
      <c r="GL175" s="43" t="str">
        <f aca="false">IF(AND(Tasks[[#This Row],[_IsLeaf]]=1,Tasks[[#This Row],[_LeafProgress]]&lt;1,OR(N(Tasks[[#This Row],[Finish Var]])&gt;0,Tasks[[#This Row],[Status]]="Late Start")),MAX(0,Tasks[[#This Row],[Finish Var]])+1-Tasks[[#This Row],[_Row]]/1000000,"")</f>
        <v/>
      </c>
      <c r="GM175" s="43" t="str">
        <f aca="false">IF(AND(Tasks[[#This Row],[_IsLeaf]]=1,N(Tasks[[#This Row],[Actual Start]])=0,Tasks[[#This Row],[_ShownFcstStart]]&gt;=StatusDate,Tasks[[#This Row],[_ShownFcstStart]]&lt;=LookaheadEnd),Tasks[[#This Row],[_ShownFcstStart]]+Tasks[[#This Row],[_Row]]/100000,"")</f>
        <v/>
      </c>
      <c r="GN175" s="43" t="str">
        <f aca="false">IF(AND(Tasks[[#This Row],[_IsLeaf]]=1,Tasks[[#This Row],[_LeafProgress]]&lt;1,Tasks[[#This Row],[_ShownFcstFinish]]&gt;=StatusDate,Tasks[[#This Row],[_ShownFcstFinish]]&lt;=LookaheadEnd),Tasks[[#This Row],[_ShownFcstFinish]]+Tasks[[#This Row],[_Row]]/100000,"")</f>
        <v/>
      </c>
      <c r="GO175" s="43" t="str">
        <f aca="false">IF(Tasks[[#This Row],[_LeafCritical]],Tasks[[#This Row],[_ShownFcstStart]]+Tasks[[#This Row],[_Row]]/100000,"")</f>
        <v/>
      </c>
      <c r="GP175" s="43" t="n">
        <f aca="false">Tasks[[#This Row],[_LeafWork]]*Tasks[[#This Row],[_LeafProgress]]</f>
        <v>0</v>
      </c>
      <c r="GQ175" s="91" t="str">
        <f aca="false">IF(AND(Tasks[[#This Row],[_IsLeaf]]=1,Tasks[[#This Row],[_LeafProgress]]&gt;=1),IF(N(Tasks[[#This Row],[Actual Finish]])&gt;0,Tasks[[#This Row],[Actual Finish]],Tasks[[#This Row],[_ShownFcstFinish]]),"")</f>
        <v/>
      </c>
      <c r="GR175" s="43" t="n">
        <f aca="false">IF(Tasks[[#This Row],[_IsLeaf]]=1,N(Tasks[[#This Row],[Story Points]]),0)</f>
        <v>0</v>
      </c>
      <c r="GS175" s="43" t="str">
        <f aca="false">""</f>
        <v/>
      </c>
      <c r="GT175" s="90" t="b">
        <f aca="false">IF(Tasks[[#This Row],[Task Name]]="",FALSE(),AND(Tasks[[#This Row],[_IsLeaf]]=1,N(Tasks[[#This Row],[_Days]])=0))</f>
        <v>0</v>
      </c>
      <c r="GU175" s="91" t="n">
        <f aca="false">IF(Tasks[[#This Row],[Task Name]]="",0,IF(AND(Tasks[[#This Row],[_IsLeaf]]=1,NOT(Tasks[[#This Row],[_IsMilestone]]),N(Tasks[[#This Row],[Progress]])&gt;0),Tasks[[#This Row],[Start]],0))</f>
        <v>0</v>
      </c>
      <c r="GV175" s="91" t="n">
        <f aca="false">IF(Tasks[[#This Row],[_DoneFrom]]=0,0,IF(Tasks[[#This Row],[Progress]]&gt;=1,Tasks[[#This Row],[Finish]],MAX(Tasks[[#This Row],[_DoneFrom]],Tasks[[#This Row],[Start]]+ROUND((Tasks[[#This Row],[Finish]]-Tasks[[#This Row],[Start]]+1)*Tasks[[#This Row],[Progress]],0)-1)))</f>
        <v>0</v>
      </c>
      <c r="GW175" s="91" t="n">
        <f aca="false">IF(Tasks[[#This Row],[Task Name]]="",0,IF(OR(NOT(Tasks[[#This Row],[_IsLeaf]]=1),Tasks[[#This Row],[_IsMilestone]],N(Tasks[[#This Row],[Progress]])&gt;=1),0,IF(Tasks[[#This Row],[_DoneTo]]&gt;0,Tasks[[#This Row],[_DoneTo]]+1,Tasks[[#This Row],[Start]])))</f>
        <v>0</v>
      </c>
      <c r="GX175" s="91" t="n">
        <f aca="false">IF(Tasks[[#This Row],[_RemFrom]]=0,0,Tasks[[#This Row],[Finish]])</f>
        <v>0</v>
      </c>
      <c r="GY175" s="90" t="b">
        <f aca="false">IF(Tasks[[#This Row],[Task Name]]="",FALSE(),OR(NOT(BaselineSet),N(Tasks[[#This Row],[Baseline Start]])&gt;0))</f>
        <v>0</v>
      </c>
      <c r="GZ17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92" t="str">
        <f aca="false">IF(Tasks[[#This Row],[_IsLeaf]]=1,Tasks[[#This Row],[_Row]],"")</f>
        <v/>
      </c>
      <c r="HD175" s="92" t="str">
        <f aca="false">IFERROR(INDEX(Tasks[UID],SMALL(Tasks[_PickKey],Tasks[[#This Row],[_Row]]))&amp;" "&amp;INDEX(Tasks[Task Name],SMALL(Tasks[_PickKey],Tasks[[#This Row],[_Row]])),"")</f>
        <v/>
      </c>
      <c r="HE175" s="43" t="str">
        <f aca="false">IF(Tasks[[#This Row],[Task Name]]="","",IF(Tasks[[#This Row],[_IsSummary]],NETWORKDAYS.INTL(Tasks[[#This Row],[Start]],Tasks[[#This Row],[Finish]],WorkWeek,Holidays),N(Tasks[[#This Row],[_Days]])))</f>
        <v/>
      </c>
      <c r="HF175" s="43" t="n">
        <f aca="false">IF(Tasks[[#This Row],[Expected]]="",0,((Tasks[[#This Row],[Pessimistic]]-Tasks[[#This Row],[Optimistic]])/6)^2)</f>
        <v>0</v>
      </c>
      <c r="HG175" s="43" t="n">
        <f aca="false">IF(Tasks[[#This Row],[Expected]]="",0,Tasks[[#This Row],[Expected]]-N(Tasks[[#This Row],[_Days]]))</f>
        <v>0</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4"/>
      <c r="U176" s="23"/>
      <c r="V176" s="84"/>
      <c r="W176" s="23"/>
      <c r="X176" s="84"/>
      <c r="Y176" s="23"/>
      <c r="Z176" s="84"/>
      <c r="AA176" s="23"/>
      <c r="AB176" s="23"/>
      <c r="AC176" s="7"/>
      <c r="AD176" s="7"/>
      <c r="AE176" s="63" t="str">
        <f aca="false">IF(Tasks[[#This Row],[Task Name]]="","",IF(Tasks[[#This Row],[_IsSummary]],MIN(INDEX(Tasks[_ShownFcstStart],Tasks[[#This Row],[_Row]]+1):INDEX(Tasks[_ShownFcstStart],Tasks[[#This Row],[_Row]]+Tasks[[#This Row],[_Descendants]])),Tasks[[#This Row],[_ShownFcstStart]]))</f>
        <v/>
      </c>
      <c r="AF176" s="63"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6" s="7"/>
      <c r="AK176" s="22"/>
      <c r="AL176" s="23"/>
      <c r="AM176" s="7"/>
      <c r="AN176" s="47"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3" t="str">
        <f aca="false">IF(Tasks[[#This Row],[Task Name]]="","",IF(N(Tasks[[#This Row],[Baseline Start]])&gt;0,Tasks[[#This Row],[Baseline Start]],Tasks[[#This Row],[_CalcStart]]))</f>
        <v/>
      </c>
      <c r="AR176" s="63" t="str">
        <f aca="false">IF(Tasks[[#This Row],[Task Name]]="","",IF(N(Tasks[[#This Row],[Baseline Finish]])&gt;0,Tasks[[#This Row],[Baseline Finish]],Tasks[[#This Row],[_CalcFinish]]))</f>
        <v/>
      </c>
      <c r="AS176" s="47" t="str">
        <f aca="false">IF(Tasks[[#This Row],[Task Name]]="","",IF(Tasks[[#This Row],[Start]]&gt;=Tasks[[#This Row],[Planned Start]],NETWORKDAYS.INTL(Tasks[[#This Row],[Planned Start]],Tasks[[#This Row],[Start]],WorkWeek,Holidays)-1,1-NETWORKDAYS.INTL(Tasks[[#This Row],[Start]],Tasks[[#This Row],[Planned Start]],WorkWeek,Holidays)))</f>
        <v/>
      </c>
      <c r="AT176" s="63" t="str">
        <f aca="false">IF(Tasks[[#This Row],[Task Name]]="","",IF(Tasks[[#This Row],[_IsSummary]],MIN(INDEX(Tasks[_LeafLateStart],Tasks[[#This Row],[_Row]]+1):INDEX(Tasks[_LeafLateStart],Tasks[[#This Row],[_Row]]+Tasks[[#This Row],[_Descendants]])),Tasks[[#This Row],[_LeafLateStart]]))</f>
        <v/>
      </c>
      <c r="AU176" s="63" t="str">
        <f aca="false">IF(Tasks[[#This Row],[Task Name]]="","",IF(Tasks[[#This Row],[_IsSummary]],MAX(INDEX(Tasks[_LeafLateFinish],Tasks[[#This Row],[_Row]]+1):INDEX(Tasks[_LeafLateFinish],Tasks[[#This Row],[_Row]]+Tasks[[#This Row],[_Descendants]])),Tasks[[#This Row],[_LeafLateFinish]]))</f>
        <v/>
      </c>
      <c r="AV176" s="47"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5"/>
      <c r="BA1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6"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7"/>
      <c r="BJ176" s="22"/>
      <c r="BK176" s="47" t="str">
        <f aca="false">IF(OR(Tasks[[#This Row],[Task Name]]="",Tasks[[#This Row],[Baseline Duration]]=""),"",Tasks[[#This Row],[_SpanDays]]-N(Tasks[[#This Row],[Baseline Duration]]))</f>
        <v/>
      </c>
      <c r="BL176" s="86" t="str">
        <f aca="false">IF(OR(Tasks[[#This Row],[Task Name]]="",Tasks[[#This Row],[Baseline Work]]=""),"",Tasks[[#This Row],[Work]]-N(Tasks[[#This Row],[Baseline Work]]))</f>
        <v/>
      </c>
      <c r="BM176" s="63" t="str">
        <f aca="false">IF(Tasks[[#This Row],[Task Name]]="","",IF(OR(TakeBaseline="Yes",N(Tasks[[#This Row],[Baseline Start]])=0),Tasks[[#This Row],[Start]],Tasks[[#This Row],[Baseline Start]]))</f>
        <v/>
      </c>
      <c r="BN176" s="63" t="str">
        <f aca="false">IF(Tasks[[#This Row],[Task Name]]="","",IF(OR(TakeBaseline="Yes",N(Tasks[[#This Row],[Baseline Finish]])=0),Tasks[[#This Row],[Finish]],Tasks[[#This Row],[Baseline Finish]]))</f>
        <v/>
      </c>
      <c r="BO176" s="21" t="str">
        <f aca="false">IF(Tasks[[#This Row],[Task Name]]="","",IF(OR(TakeBaseline="Yes",N(Tasks[[#This Row],[Baseline Duration]])=0),Tasks[[#This Row],[_SpanDays]],Tasks[[#This Row],[Baseline Duration]]))</f>
        <v/>
      </c>
      <c r="BP176" s="86" t="str">
        <f aca="false">IF(Tasks[[#This Row],[Task Name]]="","",IF(OR(TakeBaseline="Yes",N(Tasks[[#This Row],[Baseline Work]])=0),Tasks[[#This Row],[Work]],Tasks[[#This Row],[Baseline Work]]))</f>
        <v/>
      </c>
      <c r="BQ176" s="7"/>
      <c r="BR176" s="7"/>
      <c r="BS176" s="22"/>
      <c r="BT176" s="88"/>
      <c r="BU176" s="23"/>
      <c r="BV176" s="23"/>
      <c r="BW176" s="23"/>
      <c r="BX176" s="89" t="str">
        <f aca="false">IF(AND(Tasks[[#This Row],[_IsLeaf]]=1,ISNUMBER(Tasks[[#This Row],[Optimistic]]),ISNUMBER(Tasks[[#This Row],[Pessimistic]])),ROUND((Tasks[[#This Row],[Optimistic]]+4*N(Tasks[[#This Row],[_Days]])+Tasks[[#This Row],[Pessimistic]])/6,1),"")</f>
        <v/>
      </c>
      <c r="BY176" s="87"/>
      <c r="BZ176" s="87"/>
      <c r="CA176" s="22"/>
      <c r="CB176" s="43" t="str">
        <f aca="false">IF(Tasks[[#This Row],[Task Name]]="","",MAX(1,N(Tasks[[#This Row],[Level]])))</f>
        <v/>
      </c>
      <c r="CC176" s="43" t="n">
        <f aca="false">ROW()-ROW(Tasks[[#Headers],[ID]])</f>
        <v>171</v>
      </c>
      <c r="CD176" s="43" t="n">
        <f aca="false">IF(OR(Tasks[[#This Row],[Task Name]]="",Tasks[[#This Row],[_Level]]&lt;=1),0,IFERROR(LOOKUP(2,1/(Tasks[[#Headers],[_Level]]:Tasks[[#This Row],[_Level]]=Tasks[[#This Row],[_Level]]-1),ROW(Tasks[[#Headers],[_Level]]:Tasks[[#This Row],[_Level]])),0))</f>
        <v>0</v>
      </c>
      <c r="CE176" s="43" t="n">
        <f aca="false">IFERROR(N(INDEX(Tasks[_Level],Tasks[[#This Row],[_Row]]+1)),0)</f>
        <v>0</v>
      </c>
      <c r="CF176" s="90" t="b">
        <f aca="false">AND(Tasks[[#This Row],[Task Name]]&lt;&gt;"",Tasks[[#This Row],[_NextLevel]]&gt;Tasks[[#This Row],[_Level]])</f>
        <v>0</v>
      </c>
      <c r="CG176" s="43" t="n">
        <f aca="false">IF(Tasks[[#This Row],[_IsSummary]],COUNTIF(Tasks[WBS],Tasks[[#This Row],[WBS]]&amp;".*"),0)</f>
        <v>0</v>
      </c>
      <c r="CH176" s="43" t="n">
        <f aca="false">IF(AND(Tasks[[#This Row],[Task Name]]&lt;&gt;"",NOT(Tasks[[#This Row],[_IsSummary]])),1,0)</f>
        <v>0</v>
      </c>
      <c r="CI176" s="43" t="n">
        <f aca="false">IF(N(Tasks[[#This Row],[_Pred1UID]])=0,0,IFERROR(MATCH(Tasks[[#This Row],[_Pred1UID]],Tasks[UID],0),-1))</f>
        <v>0</v>
      </c>
      <c r="CJ176" s="43" t="n">
        <f aca="false">IF(N(Tasks[[#This Row],[_Pred2UID]])=0,0,IFERROR(MATCH(Tasks[[#This Row],[_Pred2UID]],Tasks[UID],0),-1))</f>
        <v>0</v>
      </c>
      <c r="CK176" s="43" t="n">
        <f aca="false">IF(N(Tasks[[#This Row],[_Pred3UID]])=0,0,IFERROR(MATCH(Tasks[[#This Row],[_Pred3UID]],Tasks[UID],0),-1))</f>
        <v>0</v>
      </c>
      <c r="CL176" s="43" t="n">
        <f aca="false">IF(N(Tasks[[#This Row],[_Pred4UID]])=0,0,IFERROR(MATCH(Tasks[[#This Row],[_Pred4UID]],Tasks[UID],0),-1))</f>
        <v>0</v>
      </c>
      <c r="CM1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6" s="91" t="n">
        <f aca="false">IF(OR(Tasks[[#This Row],[_ConstraintCode]]=2,Tasks[[#This Row],[_ConstraintCode]]=3,Tasks[[#This Row],[_ConstraintCode]]=4,Tasks[[#This Row],[_ConstraintCode]]=6),Tasks[[#This Row],[_ConstraintStart]],0)</f>
        <v>0</v>
      </c>
      <c r="CP176" s="91" t="n">
        <f aca="false">IF(OR(Tasks[[#This Row],[_ConstraintCode]]=2,Tasks[[#This Row],[_ConstraintCode]]=3,Tasks[[#This Row],[_ConstraintCode]]=5,Tasks[[#This Row],[_ConstraintCode]]=7),Tasks[[#This Row],[_ConstraintStart]],2958465)</f>
        <v>2958465</v>
      </c>
      <c r="CQ1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91" t="str">
        <f aca="false">IF(NOT(Tasks[[#This Row],[_IsLeaf]]=1),"",IF(N(Tasks[[#This Row],[_Days]])&lt;=0,Tasks[[#This Row],[_LeafCalcStart]],WORKDAY.INTL(Tasks[[#This Row],[_LeafCalcStart]],Tasks[[#This Row],[_Days]]-1,WorkWeek,Holidays)))</f>
        <v/>
      </c>
      <c r="CS1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3" t="str">
        <f aca="false">IF(Tasks[[#This Row],[_Predecessors]]="","",TRIM(MID(SUBSTITUTE(SUBSTITUTE(SUBSTITUTE(UPPER(Tasks[[#This Row],[_Predecessors]]),";",",")," ",""),",",REPT(" ",99)),1,99)))</f>
        <v/>
      </c>
      <c r="CV176" s="43" t="str">
        <f aca="false">IF(Tasks[[#This Row],[_Pred1Text]]="","",IFERROR(VALUE(LEFT(Tasks[[#This Row],[_Pred1Text]],MIN(FIND("F",Tasks[[#This Row],[_Pred1Text]]&amp;"F"),FIND("S",Tasks[[#This Row],[_Pred1Text]]&amp;"S"),FIND("+",Tasks[[#This Row],[_Pred1Text]]&amp;"+"),FIND("-",Tasks[[#This Row],[_Pred1Text]]&amp;"-"))-1)),""))</f>
        <v/>
      </c>
      <c r="CW1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3" t="str">
        <f aca="false">IF(Tasks[[#This Row],[_Pred1Text]]="","",TRIM(MID(SUBSTITUTE(SUBSTITUTE(SUBSTITUTE(UPPER(Tasks[[#This Row],[_Predecessors]]),";",",")," ",""),",",REPT(" ",99)),100,99)))</f>
        <v/>
      </c>
      <c r="CZ176" s="43" t="str">
        <f aca="false">IF(Tasks[[#This Row],[_Pred2Text]]="","",IFERROR(VALUE(LEFT(Tasks[[#This Row],[_Pred2Text]],MIN(FIND("F",Tasks[[#This Row],[_Pred2Text]]&amp;"F"),FIND("S",Tasks[[#This Row],[_Pred2Text]]&amp;"S"),FIND("+",Tasks[[#This Row],[_Pred2Text]]&amp;"+"),FIND("-",Tasks[[#This Row],[_Pred2Text]]&amp;"-"))-1)),""))</f>
        <v/>
      </c>
      <c r="DA1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3" t="str">
        <f aca="false">IF(Tasks[[#This Row],[_Pred2Text]]="","",TRIM(MID(SUBSTITUTE(SUBSTITUTE(SUBSTITUTE(UPPER(Tasks[[#This Row],[_Predecessors]]),";",",")," ",""),",",REPT(" ",99)),199,99)))</f>
        <v/>
      </c>
      <c r="DD176" s="43" t="str">
        <f aca="false">IF(Tasks[[#This Row],[_Pred3Text]]="","",IFERROR(VALUE(LEFT(Tasks[[#This Row],[_Pred3Text]],MIN(FIND("F",Tasks[[#This Row],[_Pred3Text]]&amp;"F"),FIND("S",Tasks[[#This Row],[_Pred3Text]]&amp;"S"),FIND("+",Tasks[[#This Row],[_Pred3Text]]&amp;"+"),FIND("-",Tasks[[#This Row],[_Pred3Text]]&amp;"-"))-1)),""))</f>
        <v/>
      </c>
      <c r="DE1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3" t="str">
        <f aca="false">IF(Tasks[[#This Row],[_Pred3Text]]="","",TRIM(MID(SUBSTITUTE(SUBSTITUTE(SUBSTITUTE(UPPER(Tasks[[#This Row],[_Predecessors]]),";",",")," ",""),",",REPT(" ",99)),298,99)))</f>
        <v/>
      </c>
      <c r="DH176" s="43" t="str">
        <f aca="false">IF(Tasks[[#This Row],[_Pred4Text]]="","",IFERROR(VALUE(LEFT(Tasks[[#This Row],[_Pred4Text]],MIN(FIND("F",Tasks[[#This Row],[_Pred4Text]]&amp;"F"),FIND("S",Tasks[[#This Row],[_Pred4Text]]&amp;"S"),FIND("+",Tasks[[#This Row],[_Pred4Text]]&amp;"+"),FIND("-",Tasks[[#This Row],[_Pred4Text]]&amp;"-"))-1)),""))</f>
        <v/>
      </c>
      <c r="DI1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3" t="str">
        <f aca="false">IF(OR(Tasks[[#This Row],[Task Name]]="",Tasks[[#This Row],[_Resources]]=""),"",TRIM(MID(SUBSTITUTE(Tasks[[#This Row],[_Resources]],",",REPT(" ",99)),1,99)))</f>
        <v/>
      </c>
      <c r="DL176" s="43" t="str">
        <f aca="false">IF(Tasks[[#This Row],[_Res1Text]]="","",TRIM(MID(SUBSTITUTE(Tasks[[#This Row],[_Resources]],",",REPT(" ",99)),100,99)))</f>
        <v/>
      </c>
      <c r="DM176" s="43" t="str">
        <f aca="false">IF(Tasks[[#This Row],[_Res2Text]]="","",TRIM(MID(SUBSTITUTE(Tasks[[#This Row],[_Resources]],",",REPT(" ",99)),199,99)))</f>
        <v/>
      </c>
      <c r="DN176" s="43" t="str">
        <f aca="false">IF(Tasks[[#This Row],[_Res3Text]]="","",TRIM(MID(SUBSTITUTE(Tasks[[#This Row],[_Resources]],",",REPT(" ",99)),298,99)))</f>
        <v/>
      </c>
      <c r="DO176" s="43" t="n">
        <f aca="false">IF(Tasks[[#This Row],[_Res1Text]]="",0,IFERROR(MATCH(TRIM(LEFT(Tasks[[#This Row],[_Res1Text]],FIND("[",Tasks[[#This Row],[_Res1Text]]&amp;"[")-1)),res_Name,0),IFERROR(MATCH(TRIM(LEFT(Tasks[[#This Row],[_Res1Text]],FIND("[",Tasks[[#This Row],[_Res1Text]]&amp;"[")-1)),res_Initials,0),0)))</f>
        <v>0</v>
      </c>
      <c r="DP176" s="43" t="n">
        <f aca="false">IF(Tasks[[#This Row],[_Res2Text]]="",0,IFERROR(MATCH(TRIM(LEFT(Tasks[[#This Row],[_Res2Text]],FIND("[",Tasks[[#This Row],[_Res2Text]]&amp;"[")-1)),res_Name,0),IFERROR(MATCH(TRIM(LEFT(Tasks[[#This Row],[_Res2Text]],FIND("[",Tasks[[#This Row],[_Res2Text]]&amp;"[")-1)),res_Initials,0),0)))</f>
        <v>0</v>
      </c>
      <c r="DQ176" s="43" t="n">
        <f aca="false">IF(Tasks[[#This Row],[_Res3Text]]="",0,IFERROR(MATCH(TRIM(LEFT(Tasks[[#This Row],[_Res3Text]],FIND("[",Tasks[[#This Row],[_Res3Text]]&amp;"[")-1)),res_Name,0),IFERROR(MATCH(TRIM(LEFT(Tasks[[#This Row],[_Res3Text]],FIND("[",Tasks[[#This Row],[_Res3Text]]&amp;"[")-1)),res_Initials,0),0)))</f>
        <v>0</v>
      </c>
      <c r="DR176" s="43" t="n">
        <f aca="false">IF(Tasks[[#This Row],[_Res4Text]]="",0,IFERROR(MATCH(TRIM(LEFT(Tasks[[#This Row],[_Res4Text]],FIND("[",Tasks[[#This Row],[_Res4Text]]&amp;"[")-1)),res_Name,0),IFERROR(MATCH(TRIM(LEFT(Tasks[[#This Row],[_Res4Text]],FIND("[",Tasks[[#This Row],[_Res4Text]]&amp;"[")-1)),res_Initials,0),0)))</f>
        <v>0</v>
      </c>
      <c r="DS176" s="43" t="str">
        <f aca="false">IF(Tasks[[#This Row],[_Res1Text]]="","",IF(Tasks[[#This Row],[_Res1Row]]&gt;0,INDEX(res_Name,Tasks[[#This Row],[_Res1Row]]),TRIM(LEFT(Tasks[[#This Row],[_Res1Text]],FIND("[",Tasks[[#This Row],[_Res1Text]]&amp;"[")-1))))</f>
        <v/>
      </c>
      <c r="DT1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3" t="n">
        <f aca="false">IF(NOT(Tasks[[#This Row],[_IsLeaf]]=1),0,(Tasks[[#This Row],[_Resource1]]&lt;&gt;"")+(Tasks[[#This Row],[_Res2]]&lt;&gt;"")+(Tasks[[#This Row],[_Res3]]&lt;&gt;"")+(Tasks[[#This Row],[_Res4]]&lt;&gt;""))</f>
        <v>0</v>
      </c>
      <c r="DV176" s="43" t="str">
        <f aca="false">IF(Tasks[[#This Row],[_Res2Text]]="","",IF(Tasks[[#This Row],[_Res2Row]]&gt;0,INDEX(res_Name,Tasks[[#This Row],[_Res2Row]]),TRIM(LEFT(Tasks[[#This Row],[_Res2Text]],FIND("[",Tasks[[#This Row],[_Res2Text]]&amp;"[")-1))))</f>
        <v/>
      </c>
      <c r="DW1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3" t="n">
        <f aca="false">IF(OR(NOT(Tasks[[#This Row],[_IsLeaf]]=1),Tasks[[#This Row],[_Res2Row]]=0),0,N(Tasks[[#This Row],[_Days]])*HoursPerDay*IF(Tasks[[#This Row],[_Res2Units]]="",DefaultUnits,Tasks[[#This Row],[_Res2Units]]))</f>
        <v>0</v>
      </c>
      <c r="DY176" s="43" t="n">
        <f aca="false">IF(AND(AND(Tasks[[#This Row],[_IsLeaf]]=1,Tasks[[#This Row],[_LeafTotalWork]]&gt;0),Tasks[[#This Row],[_Res2Work]]&gt;0),Tasks[[#This Row],[_Res2Work]]/(Tasks[[#This Row],[_FinishWorkday]]-Tasks[[#This Row],[_StartWorkday]]+1),0)</f>
        <v>0</v>
      </c>
      <c r="DZ176" s="43" t="n">
        <f aca="false">Tasks[[#This Row],[_Res2WorkPerWD]]*MAX(0,Tasks[[#This Row],[_StartWorkday]]-1)</f>
        <v>0</v>
      </c>
      <c r="EA176" s="43" t="n">
        <f aca="false">Tasks[[#This Row],[_Res2Work]]*Tasks[[#This Row],[_LeafProgress]]</f>
        <v>0</v>
      </c>
      <c r="EB176" s="43" t="str">
        <f aca="false">IF(Tasks[[#This Row],[_Res3Text]]="","",IF(Tasks[[#This Row],[_Res3Row]]&gt;0,INDEX(res_Name,Tasks[[#This Row],[_Res3Row]]),TRIM(LEFT(Tasks[[#This Row],[_Res3Text]],FIND("[",Tasks[[#This Row],[_Res3Text]]&amp;"[")-1))))</f>
        <v/>
      </c>
      <c r="EC1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3" t="n">
        <f aca="false">IF(OR(NOT(Tasks[[#This Row],[_IsLeaf]]=1),Tasks[[#This Row],[_Res3Row]]=0),0,N(Tasks[[#This Row],[_Days]])*HoursPerDay*IF(Tasks[[#This Row],[_Res3Units]]="",DefaultUnits,Tasks[[#This Row],[_Res3Units]]))</f>
        <v>0</v>
      </c>
      <c r="EE176" s="43" t="n">
        <f aca="false">IF(AND(AND(Tasks[[#This Row],[_IsLeaf]]=1,Tasks[[#This Row],[_LeafTotalWork]]&gt;0),Tasks[[#This Row],[_Res3Work]]&gt;0),Tasks[[#This Row],[_Res3Work]]/(Tasks[[#This Row],[_FinishWorkday]]-Tasks[[#This Row],[_StartWorkday]]+1),0)</f>
        <v>0</v>
      </c>
      <c r="EF176" s="43" t="n">
        <f aca="false">Tasks[[#This Row],[_Res3WorkPerWD]]*MAX(0,Tasks[[#This Row],[_StartWorkday]]-1)</f>
        <v>0</v>
      </c>
      <c r="EG176" s="43" t="n">
        <f aca="false">Tasks[[#This Row],[_Res3Work]]*Tasks[[#This Row],[_LeafProgress]]</f>
        <v>0</v>
      </c>
      <c r="EH176" s="43" t="str">
        <f aca="false">IF(Tasks[[#This Row],[_Res4Text]]="","",IF(Tasks[[#This Row],[_Res4Row]]&gt;0,INDEX(res_Name,Tasks[[#This Row],[_Res4Row]]),TRIM(LEFT(Tasks[[#This Row],[_Res4Text]],FIND("[",Tasks[[#This Row],[_Res4Text]]&amp;"[")-1))))</f>
        <v/>
      </c>
      <c r="EI1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3" t="n">
        <f aca="false">IF(OR(NOT(Tasks[[#This Row],[_IsLeaf]]=1),Tasks[[#This Row],[_Res4Row]]=0),0,N(Tasks[[#This Row],[_Days]])*HoursPerDay*IF(Tasks[[#This Row],[_Res4Units]]="",DefaultUnits,Tasks[[#This Row],[_Res4Units]]))</f>
        <v>0</v>
      </c>
      <c r="EK176" s="43" t="n">
        <f aca="false">IF(AND(AND(Tasks[[#This Row],[_IsLeaf]]=1,Tasks[[#This Row],[_LeafTotalWork]]&gt;0),Tasks[[#This Row],[_Res4Work]]&gt;0),Tasks[[#This Row],[_Res4Work]]/(Tasks[[#This Row],[_FinishWorkday]]-Tasks[[#This Row],[_StartWorkday]]+1),0)</f>
        <v>0</v>
      </c>
      <c r="EL176" s="43" t="n">
        <f aca="false">Tasks[[#This Row],[_Res4WorkPerWD]]*MAX(0,Tasks[[#This Row],[_StartWorkday]]-1)</f>
        <v>0</v>
      </c>
      <c r="EM176" s="43" t="n">
        <f aca="false">Tasks[[#This Row],[_Res4Work]]*Tasks[[#This Row],[_LeafProgress]]</f>
        <v>0</v>
      </c>
      <c r="EN176" s="43" t="n">
        <f aca="false">IF(ISNUMBER(Tasks[[#This Row],[% Complete]]),Tasks[[#This Row],[% Complete]],IF(Tasks[[#This Row],[Stage]]="",0,IFERROR(INDEX(stg_Pct,MATCH(Tasks[[#This Row],[Stage]],stg_Name,0)),0)))</f>
        <v>0</v>
      </c>
      <c r="EO176" s="43" t="n">
        <f aca="false">IF(NOT(Tasks[[#This Row],[_IsLeaf]]=1),0,IF(N(Tasks[[#This Row],[Actual Finish]])&gt;0,1,MIN(1,Tasks[[#This Row],[_Pct]])))</f>
        <v>0</v>
      </c>
      <c r="EP176" s="43" t="n">
        <f aca="false">IF(OR(NOT(Tasks[[#This Row],[_IsLeaf]]=1),Tasks[[#This Row],[_Res1Row]]=0),0,N(Tasks[[#This Row],[_Days]])*HoursPerDay*IF(Tasks[[#This Row],[_Units1]]="",DefaultUnits,Tasks[[#This Row],[_Units1]]))</f>
        <v>0</v>
      </c>
      <c r="EQ176" s="43" t="n">
        <f aca="false">Tasks[[#This Row],[_LeafWork]]+Tasks[[#This Row],[_Res2Work]]+Tasks[[#This Row],[_Res3Work]]+Tasks[[#This Row],[_Res4Work]]</f>
        <v>0</v>
      </c>
      <c r="ER1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3" t="n">
        <f aca="false">IF(NOT(Tasks[[#This Row],[_IsLeaf]]=1),0,MAX(_xlfn.MAXIFS(Tasks[_Row],Tasks[_Pred1UID],Tasks[[#This Row],[UID]]),_xlfn.MAXIFS(Tasks[_Row],Tasks[_Pred2UID],Tasks[[#This Row],[UID]]),_xlfn.MAXIFS(Tasks[_Row],Tasks[_Pred3UID],Tasks[[#This Row],[UID]]),_xlfn.MAXIFS(Tasks[_Row],Tasks[_Pred4UID],Tasks[[#This Row],[UID]])))</f>
        <v>0</v>
      </c>
      <c r="FA1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91" t="str">
        <f aca="false">IF(NOT(Tasks[[#This Row],[_IsLeaf]]=1),"",IF(N(Tasks[[#This Row],[_Days]])&lt;=0,Tasks[[#This Row],[_LeafLateFinish]],WORKDAY.INTL(Tasks[[#This Row],[_LeafLateFinish]],-(Tasks[[#This Row],[_Days]]-1),WorkWeek,Holidays)))</f>
        <v/>
      </c>
      <c r="FD1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6" s="90" t="b">
        <f aca="false">AND(Tasks[[#This Row],[_IsLeaf]]=1,Tasks[[#This Row],[_LeafProgress]]&lt;1,N(Tasks[[#This Row],[_LeafTotalSlack]])&lt;=CriticalSlackDays)</f>
        <v>0</v>
      </c>
      <c r="FF176" s="43" t="n">
        <f aca="false">IF(AND(Tasks[[#This Row],[_IsLeaf]]=1,Tasks[[#This Row],[_ConstraintCode]]=1,Tasks[[#This Row],[Mode]]&lt;&gt;"Manual",N(Tasks[[#This Row],[Actual Start]])=0),MAX(0,N(Tasks[[#This Row],[Free Slack]])),0)</f>
        <v>0</v>
      </c>
      <c r="FG176" s="91" t="str">
        <f aca="false">IF(NOT(Tasks[[#This Row],[_IsLeaf]]=1),"",IF(Tasks[[#This Row],[_AlapShift]]=0,Tasks[[#This Row],[_LeafCalcStart]],WORKDAY.INTL(Tasks[[#This Row],[_LeafCalcStart]],Tasks[[#This Row],[_AlapShift]],WorkWeek,Holidays)))</f>
        <v/>
      </c>
      <c r="FH176" s="91" t="str">
        <f aca="false">IF(NOT(Tasks[[#This Row],[_IsLeaf]]=1),"",IF(Tasks[[#This Row],[_AlapShift]]=0,Tasks[[#This Row],[_LeafCalcFinish]],WORKDAY.INTL(Tasks[[#This Row],[_LeafCalcFinish]],Tasks[[#This Row],[_AlapShift]],WorkWeek,Holidays)))</f>
        <v/>
      </c>
      <c r="FI176" s="91" t="str">
        <f aca="false">IF(NOT(Tasks[[#This Row],[_IsLeaf]]=1),"",IF(Tasks[[#This Row],[_AlapShift]]=0,Tasks[[#This Row],[_LeafFcstStart]],WORKDAY.INTL(Tasks[[#This Row],[_LeafFcstStart]],Tasks[[#This Row],[_AlapShift]],WorkWeek,Holidays)))</f>
        <v/>
      </c>
      <c r="FJ176" s="91" t="str">
        <f aca="false">IF(NOT(Tasks[[#This Row],[_IsLeaf]]=1),"",IF(Tasks[[#This Row],[_AlapShift]]=0,Tasks[[#This Row],[_LeafFcstFinish]],WORKDAY.INTL(Tasks[[#This Row],[_LeafFcstFinish]],Tasks[[#This Row],[_AlapShift]],WorkWeek,Holidays)))</f>
        <v/>
      </c>
      <c r="FK176" s="91" t="str">
        <f aca="false">IF(Tasks[[#This Row],[Task Name]]="","",IF(Tasks[[#This Row],[_IsSummary]],MIN(INDEX(Tasks[_ShownCalcStart],Tasks[[#This Row],[_Row]]+1):INDEX(Tasks[_ShownCalcStart],Tasks[[#This Row],[_Row]]+Tasks[[#This Row],[_Descendants]])),Tasks[[#This Row],[_ShownCalcStart]]))</f>
        <v/>
      </c>
      <c r="FL176" s="91" t="str">
        <f aca="false">IF(Tasks[[#This Row],[Task Name]]="","",IF(Tasks[[#This Row],[_IsSummary]],MAX(INDEX(Tasks[_ShownCalcFinish],Tasks[[#This Row],[_Row]]+1):INDEX(Tasks[_ShownCalcFinish],Tasks[[#This Row],[_Row]]+Tasks[[#This Row],[_Descendants]])),Tasks[[#This Row],[_ShownCalcFinish]]))</f>
        <v/>
      </c>
      <c r="FM1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6" s="43" t="n">
        <f aca="false">IF(AND(Tasks[[#This Row],[_IsLeaf]]=1,Tasks[[#This Row],[_LeafTotalWork]]&gt;0),NETWORKDAYS.INTL(ProjectStart,Tasks[[#This Row],[_ShownFcstStart]],WorkWeek,Holidays),0)</f>
        <v>0</v>
      </c>
      <c r="FZ176" s="43" t="n">
        <f aca="false">IF(AND(Tasks[[#This Row],[_IsLeaf]]=1,Tasks[[#This Row],[_LeafTotalWork]]&gt;0),MAX(Tasks[[#This Row],[_StartWorkday]],NETWORKDAYS.INTL(ProjectStart,Tasks[[#This Row],[_ShownFcstFinish]],WorkWeek,Holidays)),0)</f>
        <v>0</v>
      </c>
      <c r="GA176" s="43" t="n">
        <f aca="false">IF(AND(Tasks[[#This Row],[_IsLeaf]]=1,Tasks[[#This Row],[_LeafTotalWork]]&gt;0),Tasks[[#This Row],[_LeafWork]]/(Tasks[[#This Row],[_FinishWorkday]]-Tasks[[#This Row],[_StartWorkday]]+1),0)</f>
        <v>0</v>
      </c>
      <c r="GB176" s="43" t="n">
        <f aca="false">Tasks[[#This Row],[_WorkPerWorkday]]*(Tasks[[#This Row],[_StartWorkday]]-1)</f>
        <v>-0</v>
      </c>
      <c r="GC176" s="43" t="n">
        <f aca="false">IF(Tasks[[#This Row],[_IsLeaf]]=1,MAX(N(Tasks[[#This Row],[_Days]]),0.1),0)</f>
        <v>0</v>
      </c>
      <c r="GD176" s="43" t="n">
        <f aca="false">Tasks[[#This Row],[_WeightDur]]*Tasks[[#This Row],[_LeafProgress]]</f>
        <v>0</v>
      </c>
      <c r="GE176" s="43" t="n">
        <f aca="false">Tasks[[#This Row],[_WeightDur]]*Tasks[[#This Row],[_PlannedPct]]</f>
        <v>0</v>
      </c>
      <c r="GF1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3" t="str">
        <f aca="false">IF(AND(Tasks[[#This Row],[_IsLeaf]]=1,N(Tasks[[#This Row],[_Days]])=0,Tasks[[#This Row],[_LeafProgress]]&lt;1),Tasks[[#This Row],[_ShownFcstFinish]]+Tasks[[#This Row],[_Row]]/100000,"")</f>
        <v/>
      </c>
      <c r="GH1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6" s="43" t="str">
        <f aca="false">IF(Tasks[[#This Row],[Task Name]]="","",LEFT(Tasks[[#This Row],[WBS]],FIND(".",Tasks[[#This Row],[WBS]]&amp;".")-1))</f>
        <v/>
      </c>
      <c r="GJ176" s="43" t="str">
        <f aca="false">IF(AND(Tasks[[#This Row],[Task Name]]&lt;&gt;"",Tasks[[#This Row],[_Level]]=1),Tasks[[#This Row],[_Row]],"")</f>
        <v/>
      </c>
      <c r="GK176" s="43" t="str">
        <f aca="false">IF(AND(Tasks[[#This Row],[_IsLeaf]]=1,N(Tasks[[#This Row],[_Days]])=0),Tasks[[#This Row],[Planned Finish]]+Tasks[[#This Row],[_Row]]/100000,"")</f>
        <v/>
      </c>
      <c r="GL176" s="43" t="str">
        <f aca="false">IF(AND(Tasks[[#This Row],[_IsLeaf]]=1,Tasks[[#This Row],[_LeafProgress]]&lt;1,OR(N(Tasks[[#This Row],[Finish Var]])&gt;0,Tasks[[#This Row],[Status]]="Late Start")),MAX(0,Tasks[[#This Row],[Finish Var]])+1-Tasks[[#This Row],[_Row]]/1000000,"")</f>
        <v/>
      </c>
      <c r="GM176" s="43" t="str">
        <f aca="false">IF(AND(Tasks[[#This Row],[_IsLeaf]]=1,N(Tasks[[#This Row],[Actual Start]])=0,Tasks[[#This Row],[_ShownFcstStart]]&gt;=StatusDate,Tasks[[#This Row],[_ShownFcstStart]]&lt;=LookaheadEnd),Tasks[[#This Row],[_ShownFcstStart]]+Tasks[[#This Row],[_Row]]/100000,"")</f>
        <v/>
      </c>
      <c r="GN176" s="43" t="str">
        <f aca="false">IF(AND(Tasks[[#This Row],[_IsLeaf]]=1,Tasks[[#This Row],[_LeafProgress]]&lt;1,Tasks[[#This Row],[_ShownFcstFinish]]&gt;=StatusDate,Tasks[[#This Row],[_ShownFcstFinish]]&lt;=LookaheadEnd),Tasks[[#This Row],[_ShownFcstFinish]]+Tasks[[#This Row],[_Row]]/100000,"")</f>
        <v/>
      </c>
      <c r="GO176" s="43" t="str">
        <f aca="false">IF(Tasks[[#This Row],[_LeafCritical]],Tasks[[#This Row],[_ShownFcstStart]]+Tasks[[#This Row],[_Row]]/100000,"")</f>
        <v/>
      </c>
      <c r="GP176" s="43" t="n">
        <f aca="false">Tasks[[#This Row],[_LeafWork]]*Tasks[[#This Row],[_LeafProgress]]</f>
        <v>0</v>
      </c>
      <c r="GQ176" s="91" t="str">
        <f aca="false">IF(AND(Tasks[[#This Row],[_IsLeaf]]=1,Tasks[[#This Row],[_LeafProgress]]&gt;=1),IF(N(Tasks[[#This Row],[Actual Finish]])&gt;0,Tasks[[#This Row],[Actual Finish]],Tasks[[#This Row],[_ShownFcstFinish]]),"")</f>
        <v/>
      </c>
      <c r="GR176" s="43" t="n">
        <f aca="false">IF(Tasks[[#This Row],[_IsLeaf]]=1,N(Tasks[[#This Row],[Story Points]]),0)</f>
        <v>0</v>
      </c>
      <c r="GS176" s="43" t="str">
        <f aca="false">""</f>
        <v/>
      </c>
      <c r="GT176" s="90" t="b">
        <f aca="false">IF(Tasks[[#This Row],[Task Name]]="",FALSE(),AND(Tasks[[#This Row],[_IsLeaf]]=1,N(Tasks[[#This Row],[_Days]])=0))</f>
        <v>0</v>
      </c>
      <c r="GU176" s="91" t="n">
        <f aca="false">IF(Tasks[[#This Row],[Task Name]]="",0,IF(AND(Tasks[[#This Row],[_IsLeaf]]=1,NOT(Tasks[[#This Row],[_IsMilestone]]),N(Tasks[[#This Row],[Progress]])&gt;0),Tasks[[#This Row],[Start]],0))</f>
        <v>0</v>
      </c>
      <c r="GV176" s="91" t="n">
        <f aca="false">IF(Tasks[[#This Row],[_DoneFrom]]=0,0,IF(Tasks[[#This Row],[Progress]]&gt;=1,Tasks[[#This Row],[Finish]],MAX(Tasks[[#This Row],[_DoneFrom]],Tasks[[#This Row],[Start]]+ROUND((Tasks[[#This Row],[Finish]]-Tasks[[#This Row],[Start]]+1)*Tasks[[#This Row],[Progress]],0)-1)))</f>
        <v>0</v>
      </c>
      <c r="GW176" s="91" t="n">
        <f aca="false">IF(Tasks[[#This Row],[Task Name]]="",0,IF(OR(NOT(Tasks[[#This Row],[_IsLeaf]]=1),Tasks[[#This Row],[_IsMilestone]],N(Tasks[[#This Row],[Progress]])&gt;=1),0,IF(Tasks[[#This Row],[_DoneTo]]&gt;0,Tasks[[#This Row],[_DoneTo]]+1,Tasks[[#This Row],[Start]])))</f>
        <v>0</v>
      </c>
      <c r="GX176" s="91" t="n">
        <f aca="false">IF(Tasks[[#This Row],[_RemFrom]]=0,0,Tasks[[#This Row],[Finish]])</f>
        <v>0</v>
      </c>
      <c r="GY176" s="90" t="b">
        <f aca="false">IF(Tasks[[#This Row],[Task Name]]="",FALSE(),OR(NOT(BaselineSet),N(Tasks[[#This Row],[Baseline Start]])&gt;0))</f>
        <v>0</v>
      </c>
      <c r="GZ17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92" t="str">
        <f aca="false">IF(Tasks[[#This Row],[_IsLeaf]]=1,Tasks[[#This Row],[_Row]],"")</f>
        <v/>
      </c>
      <c r="HD176" s="92" t="str">
        <f aca="false">IFERROR(INDEX(Tasks[UID],SMALL(Tasks[_PickKey],Tasks[[#This Row],[_Row]]))&amp;" "&amp;INDEX(Tasks[Task Name],SMALL(Tasks[_PickKey],Tasks[[#This Row],[_Row]])),"")</f>
        <v/>
      </c>
      <c r="HE176" s="43" t="str">
        <f aca="false">IF(Tasks[[#This Row],[Task Name]]="","",IF(Tasks[[#This Row],[_IsSummary]],NETWORKDAYS.INTL(Tasks[[#This Row],[Start]],Tasks[[#This Row],[Finish]],WorkWeek,Holidays),N(Tasks[[#This Row],[_Days]])))</f>
        <v/>
      </c>
      <c r="HF176" s="43" t="n">
        <f aca="false">IF(Tasks[[#This Row],[Expected]]="",0,((Tasks[[#This Row],[Pessimistic]]-Tasks[[#This Row],[Optimistic]])/6)^2)</f>
        <v>0</v>
      </c>
      <c r="HG176" s="43" t="n">
        <f aca="false">IF(Tasks[[#This Row],[Expected]]="",0,Tasks[[#This Row],[Expected]]-N(Tasks[[#This Row],[_Days]]))</f>
        <v>0</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4"/>
      <c r="U177" s="23"/>
      <c r="V177" s="84"/>
      <c r="W177" s="23"/>
      <c r="X177" s="84"/>
      <c r="Y177" s="23"/>
      <c r="Z177" s="84"/>
      <c r="AA177" s="23"/>
      <c r="AB177" s="23"/>
      <c r="AC177" s="7"/>
      <c r="AD177" s="7"/>
      <c r="AE177" s="63" t="str">
        <f aca="false">IF(Tasks[[#This Row],[Task Name]]="","",IF(Tasks[[#This Row],[_IsSummary]],MIN(INDEX(Tasks[_ShownFcstStart],Tasks[[#This Row],[_Row]]+1):INDEX(Tasks[_ShownFcstStart],Tasks[[#This Row],[_Row]]+Tasks[[#This Row],[_Descendants]])),Tasks[[#This Row],[_ShownFcstStart]]))</f>
        <v/>
      </c>
      <c r="AF177" s="63"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7" s="7"/>
      <c r="AK177" s="22"/>
      <c r="AL177" s="23"/>
      <c r="AM177" s="7"/>
      <c r="AN177" s="47"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3" t="str">
        <f aca="false">IF(Tasks[[#This Row],[Task Name]]="","",IF(N(Tasks[[#This Row],[Baseline Start]])&gt;0,Tasks[[#This Row],[Baseline Start]],Tasks[[#This Row],[_CalcStart]]))</f>
        <v/>
      </c>
      <c r="AR177" s="63" t="str">
        <f aca="false">IF(Tasks[[#This Row],[Task Name]]="","",IF(N(Tasks[[#This Row],[Baseline Finish]])&gt;0,Tasks[[#This Row],[Baseline Finish]],Tasks[[#This Row],[_CalcFinish]]))</f>
        <v/>
      </c>
      <c r="AS177" s="47" t="str">
        <f aca="false">IF(Tasks[[#This Row],[Task Name]]="","",IF(Tasks[[#This Row],[Start]]&gt;=Tasks[[#This Row],[Planned Start]],NETWORKDAYS.INTL(Tasks[[#This Row],[Planned Start]],Tasks[[#This Row],[Start]],WorkWeek,Holidays)-1,1-NETWORKDAYS.INTL(Tasks[[#This Row],[Start]],Tasks[[#This Row],[Planned Start]],WorkWeek,Holidays)))</f>
        <v/>
      </c>
      <c r="AT177" s="63" t="str">
        <f aca="false">IF(Tasks[[#This Row],[Task Name]]="","",IF(Tasks[[#This Row],[_IsSummary]],MIN(INDEX(Tasks[_LeafLateStart],Tasks[[#This Row],[_Row]]+1):INDEX(Tasks[_LeafLateStart],Tasks[[#This Row],[_Row]]+Tasks[[#This Row],[_Descendants]])),Tasks[[#This Row],[_LeafLateStart]]))</f>
        <v/>
      </c>
      <c r="AU177" s="63" t="str">
        <f aca="false">IF(Tasks[[#This Row],[Task Name]]="","",IF(Tasks[[#This Row],[_IsSummary]],MAX(INDEX(Tasks[_LeafLateFinish],Tasks[[#This Row],[_Row]]+1):INDEX(Tasks[_LeafLateFinish],Tasks[[#This Row],[_Row]]+Tasks[[#This Row],[_Descendants]])),Tasks[[#This Row],[_LeafLateFinish]]))</f>
        <v/>
      </c>
      <c r="AV177" s="47"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5"/>
      <c r="BA1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6"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7"/>
      <c r="BJ177" s="22"/>
      <c r="BK177" s="47" t="str">
        <f aca="false">IF(OR(Tasks[[#This Row],[Task Name]]="",Tasks[[#This Row],[Baseline Duration]]=""),"",Tasks[[#This Row],[_SpanDays]]-N(Tasks[[#This Row],[Baseline Duration]]))</f>
        <v/>
      </c>
      <c r="BL177" s="86" t="str">
        <f aca="false">IF(OR(Tasks[[#This Row],[Task Name]]="",Tasks[[#This Row],[Baseline Work]]=""),"",Tasks[[#This Row],[Work]]-N(Tasks[[#This Row],[Baseline Work]]))</f>
        <v/>
      </c>
      <c r="BM177" s="63" t="str">
        <f aca="false">IF(Tasks[[#This Row],[Task Name]]="","",IF(OR(TakeBaseline="Yes",N(Tasks[[#This Row],[Baseline Start]])=0),Tasks[[#This Row],[Start]],Tasks[[#This Row],[Baseline Start]]))</f>
        <v/>
      </c>
      <c r="BN177" s="63" t="str">
        <f aca="false">IF(Tasks[[#This Row],[Task Name]]="","",IF(OR(TakeBaseline="Yes",N(Tasks[[#This Row],[Baseline Finish]])=0),Tasks[[#This Row],[Finish]],Tasks[[#This Row],[Baseline Finish]]))</f>
        <v/>
      </c>
      <c r="BO177" s="21" t="str">
        <f aca="false">IF(Tasks[[#This Row],[Task Name]]="","",IF(OR(TakeBaseline="Yes",N(Tasks[[#This Row],[Baseline Duration]])=0),Tasks[[#This Row],[_SpanDays]],Tasks[[#This Row],[Baseline Duration]]))</f>
        <v/>
      </c>
      <c r="BP177" s="86" t="str">
        <f aca="false">IF(Tasks[[#This Row],[Task Name]]="","",IF(OR(TakeBaseline="Yes",N(Tasks[[#This Row],[Baseline Work]])=0),Tasks[[#This Row],[Work]],Tasks[[#This Row],[Baseline Work]]))</f>
        <v/>
      </c>
      <c r="BQ177" s="7"/>
      <c r="BR177" s="7"/>
      <c r="BS177" s="22"/>
      <c r="BT177" s="88"/>
      <c r="BU177" s="23"/>
      <c r="BV177" s="23"/>
      <c r="BW177" s="23"/>
      <c r="BX177" s="89" t="str">
        <f aca="false">IF(AND(Tasks[[#This Row],[_IsLeaf]]=1,ISNUMBER(Tasks[[#This Row],[Optimistic]]),ISNUMBER(Tasks[[#This Row],[Pessimistic]])),ROUND((Tasks[[#This Row],[Optimistic]]+4*N(Tasks[[#This Row],[_Days]])+Tasks[[#This Row],[Pessimistic]])/6,1),"")</f>
        <v/>
      </c>
      <c r="BY177" s="87"/>
      <c r="BZ177" s="87"/>
      <c r="CA177" s="22"/>
      <c r="CB177" s="43" t="str">
        <f aca="false">IF(Tasks[[#This Row],[Task Name]]="","",MAX(1,N(Tasks[[#This Row],[Level]])))</f>
        <v/>
      </c>
      <c r="CC177" s="43" t="n">
        <f aca="false">ROW()-ROW(Tasks[[#Headers],[ID]])</f>
        <v>172</v>
      </c>
      <c r="CD177" s="43" t="n">
        <f aca="false">IF(OR(Tasks[[#This Row],[Task Name]]="",Tasks[[#This Row],[_Level]]&lt;=1),0,IFERROR(LOOKUP(2,1/(Tasks[[#Headers],[_Level]]:Tasks[[#This Row],[_Level]]=Tasks[[#This Row],[_Level]]-1),ROW(Tasks[[#Headers],[_Level]]:Tasks[[#This Row],[_Level]])),0))</f>
        <v>0</v>
      </c>
      <c r="CE177" s="43" t="n">
        <f aca="false">IFERROR(N(INDEX(Tasks[_Level],Tasks[[#This Row],[_Row]]+1)),0)</f>
        <v>0</v>
      </c>
      <c r="CF177" s="90" t="b">
        <f aca="false">AND(Tasks[[#This Row],[Task Name]]&lt;&gt;"",Tasks[[#This Row],[_NextLevel]]&gt;Tasks[[#This Row],[_Level]])</f>
        <v>0</v>
      </c>
      <c r="CG177" s="43" t="n">
        <f aca="false">IF(Tasks[[#This Row],[_IsSummary]],COUNTIF(Tasks[WBS],Tasks[[#This Row],[WBS]]&amp;".*"),0)</f>
        <v>0</v>
      </c>
      <c r="CH177" s="43" t="n">
        <f aca="false">IF(AND(Tasks[[#This Row],[Task Name]]&lt;&gt;"",NOT(Tasks[[#This Row],[_IsSummary]])),1,0)</f>
        <v>0</v>
      </c>
      <c r="CI177" s="43" t="n">
        <f aca="false">IF(N(Tasks[[#This Row],[_Pred1UID]])=0,0,IFERROR(MATCH(Tasks[[#This Row],[_Pred1UID]],Tasks[UID],0),-1))</f>
        <v>0</v>
      </c>
      <c r="CJ177" s="43" t="n">
        <f aca="false">IF(N(Tasks[[#This Row],[_Pred2UID]])=0,0,IFERROR(MATCH(Tasks[[#This Row],[_Pred2UID]],Tasks[UID],0),-1))</f>
        <v>0</v>
      </c>
      <c r="CK177" s="43" t="n">
        <f aca="false">IF(N(Tasks[[#This Row],[_Pred3UID]])=0,0,IFERROR(MATCH(Tasks[[#This Row],[_Pred3UID]],Tasks[UID],0),-1))</f>
        <v>0</v>
      </c>
      <c r="CL177" s="43" t="n">
        <f aca="false">IF(N(Tasks[[#This Row],[_Pred4UID]])=0,0,IFERROR(MATCH(Tasks[[#This Row],[_Pred4UID]],Tasks[UID],0),-1))</f>
        <v>0</v>
      </c>
      <c r="CM1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7" s="91" t="n">
        <f aca="false">IF(OR(Tasks[[#This Row],[_ConstraintCode]]=2,Tasks[[#This Row],[_ConstraintCode]]=3,Tasks[[#This Row],[_ConstraintCode]]=4,Tasks[[#This Row],[_ConstraintCode]]=6),Tasks[[#This Row],[_ConstraintStart]],0)</f>
        <v>0</v>
      </c>
      <c r="CP177" s="91" t="n">
        <f aca="false">IF(OR(Tasks[[#This Row],[_ConstraintCode]]=2,Tasks[[#This Row],[_ConstraintCode]]=3,Tasks[[#This Row],[_ConstraintCode]]=5,Tasks[[#This Row],[_ConstraintCode]]=7),Tasks[[#This Row],[_ConstraintStart]],2958465)</f>
        <v>2958465</v>
      </c>
      <c r="CQ1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91" t="str">
        <f aca="false">IF(NOT(Tasks[[#This Row],[_IsLeaf]]=1),"",IF(N(Tasks[[#This Row],[_Days]])&lt;=0,Tasks[[#This Row],[_LeafCalcStart]],WORKDAY.INTL(Tasks[[#This Row],[_LeafCalcStart]],Tasks[[#This Row],[_Days]]-1,WorkWeek,Holidays)))</f>
        <v/>
      </c>
      <c r="CS1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3" t="str">
        <f aca="false">IF(Tasks[[#This Row],[_Predecessors]]="","",TRIM(MID(SUBSTITUTE(SUBSTITUTE(SUBSTITUTE(UPPER(Tasks[[#This Row],[_Predecessors]]),";",",")," ",""),",",REPT(" ",99)),1,99)))</f>
        <v/>
      </c>
      <c r="CV177" s="43" t="str">
        <f aca="false">IF(Tasks[[#This Row],[_Pred1Text]]="","",IFERROR(VALUE(LEFT(Tasks[[#This Row],[_Pred1Text]],MIN(FIND("F",Tasks[[#This Row],[_Pred1Text]]&amp;"F"),FIND("S",Tasks[[#This Row],[_Pred1Text]]&amp;"S"),FIND("+",Tasks[[#This Row],[_Pred1Text]]&amp;"+"),FIND("-",Tasks[[#This Row],[_Pred1Text]]&amp;"-"))-1)),""))</f>
        <v/>
      </c>
      <c r="CW1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3" t="str">
        <f aca="false">IF(Tasks[[#This Row],[_Pred1Text]]="","",TRIM(MID(SUBSTITUTE(SUBSTITUTE(SUBSTITUTE(UPPER(Tasks[[#This Row],[_Predecessors]]),";",",")," ",""),",",REPT(" ",99)),100,99)))</f>
        <v/>
      </c>
      <c r="CZ177" s="43" t="str">
        <f aca="false">IF(Tasks[[#This Row],[_Pred2Text]]="","",IFERROR(VALUE(LEFT(Tasks[[#This Row],[_Pred2Text]],MIN(FIND("F",Tasks[[#This Row],[_Pred2Text]]&amp;"F"),FIND("S",Tasks[[#This Row],[_Pred2Text]]&amp;"S"),FIND("+",Tasks[[#This Row],[_Pred2Text]]&amp;"+"),FIND("-",Tasks[[#This Row],[_Pred2Text]]&amp;"-"))-1)),""))</f>
        <v/>
      </c>
      <c r="DA1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3" t="str">
        <f aca="false">IF(Tasks[[#This Row],[_Pred2Text]]="","",TRIM(MID(SUBSTITUTE(SUBSTITUTE(SUBSTITUTE(UPPER(Tasks[[#This Row],[_Predecessors]]),";",",")," ",""),",",REPT(" ",99)),199,99)))</f>
        <v/>
      </c>
      <c r="DD177" s="43" t="str">
        <f aca="false">IF(Tasks[[#This Row],[_Pred3Text]]="","",IFERROR(VALUE(LEFT(Tasks[[#This Row],[_Pred3Text]],MIN(FIND("F",Tasks[[#This Row],[_Pred3Text]]&amp;"F"),FIND("S",Tasks[[#This Row],[_Pred3Text]]&amp;"S"),FIND("+",Tasks[[#This Row],[_Pred3Text]]&amp;"+"),FIND("-",Tasks[[#This Row],[_Pred3Text]]&amp;"-"))-1)),""))</f>
        <v/>
      </c>
      <c r="DE1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3" t="str">
        <f aca="false">IF(Tasks[[#This Row],[_Pred3Text]]="","",TRIM(MID(SUBSTITUTE(SUBSTITUTE(SUBSTITUTE(UPPER(Tasks[[#This Row],[_Predecessors]]),";",",")," ",""),",",REPT(" ",99)),298,99)))</f>
        <v/>
      </c>
      <c r="DH177" s="43" t="str">
        <f aca="false">IF(Tasks[[#This Row],[_Pred4Text]]="","",IFERROR(VALUE(LEFT(Tasks[[#This Row],[_Pred4Text]],MIN(FIND("F",Tasks[[#This Row],[_Pred4Text]]&amp;"F"),FIND("S",Tasks[[#This Row],[_Pred4Text]]&amp;"S"),FIND("+",Tasks[[#This Row],[_Pred4Text]]&amp;"+"),FIND("-",Tasks[[#This Row],[_Pred4Text]]&amp;"-"))-1)),""))</f>
        <v/>
      </c>
      <c r="DI1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3" t="str">
        <f aca="false">IF(OR(Tasks[[#This Row],[Task Name]]="",Tasks[[#This Row],[_Resources]]=""),"",TRIM(MID(SUBSTITUTE(Tasks[[#This Row],[_Resources]],",",REPT(" ",99)),1,99)))</f>
        <v/>
      </c>
      <c r="DL177" s="43" t="str">
        <f aca="false">IF(Tasks[[#This Row],[_Res1Text]]="","",TRIM(MID(SUBSTITUTE(Tasks[[#This Row],[_Resources]],",",REPT(" ",99)),100,99)))</f>
        <v/>
      </c>
      <c r="DM177" s="43" t="str">
        <f aca="false">IF(Tasks[[#This Row],[_Res2Text]]="","",TRIM(MID(SUBSTITUTE(Tasks[[#This Row],[_Resources]],",",REPT(" ",99)),199,99)))</f>
        <v/>
      </c>
      <c r="DN177" s="43" t="str">
        <f aca="false">IF(Tasks[[#This Row],[_Res3Text]]="","",TRIM(MID(SUBSTITUTE(Tasks[[#This Row],[_Resources]],",",REPT(" ",99)),298,99)))</f>
        <v/>
      </c>
      <c r="DO177" s="43" t="n">
        <f aca="false">IF(Tasks[[#This Row],[_Res1Text]]="",0,IFERROR(MATCH(TRIM(LEFT(Tasks[[#This Row],[_Res1Text]],FIND("[",Tasks[[#This Row],[_Res1Text]]&amp;"[")-1)),res_Name,0),IFERROR(MATCH(TRIM(LEFT(Tasks[[#This Row],[_Res1Text]],FIND("[",Tasks[[#This Row],[_Res1Text]]&amp;"[")-1)),res_Initials,0),0)))</f>
        <v>0</v>
      </c>
      <c r="DP177" s="43" t="n">
        <f aca="false">IF(Tasks[[#This Row],[_Res2Text]]="",0,IFERROR(MATCH(TRIM(LEFT(Tasks[[#This Row],[_Res2Text]],FIND("[",Tasks[[#This Row],[_Res2Text]]&amp;"[")-1)),res_Name,0),IFERROR(MATCH(TRIM(LEFT(Tasks[[#This Row],[_Res2Text]],FIND("[",Tasks[[#This Row],[_Res2Text]]&amp;"[")-1)),res_Initials,0),0)))</f>
        <v>0</v>
      </c>
      <c r="DQ177" s="43" t="n">
        <f aca="false">IF(Tasks[[#This Row],[_Res3Text]]="",0,IFERROR(MATCH(TRIM(LEFT(Tasks[[#This Row],[_Res3Text]],FIND("[",Tasks[[#This Row],[_Res3Text]]&amp;"[")-1)),res_Name,0),IFERROR(MATCH(TRIM(LEFT(Tasks[[#This Row],[_Res3Text]],FIND("[",Tasks[[#This Row],[_Res3Text]]&amp;"[")-1)),res_Initials,0),0)))</f>
        <v>0</v>
      </c>
      <c r="DR177" s="43" t="n">
        <f aca="false">IF(Tasks[[#This Row],[_Res4Text]]="",0,IFERROR(MATCH(TRIM(LEFT(Tasks[[#This Row],[_Res4Text]],FIND("[",Tasks[[#This Row],[_Res4Text]]&amp;"[")-1)),res_Name,0),IFERROR(MATCH(TRIM(LEFT(Tasks[[#This Row],[_Res4Text]],FIND("[",Tasks[[#This Row],[_Res4Text]]&amp;"[")-1)),res_Initials,0),0)))</f>
        <v>0</v>
      </c>
      <c r="DS177" s="43" t="str">
        <f aca="false">IF(Tasks[[#This Row],[_Res1Text]]="","",IF(Tasks[[#This Row],[_Res1Row]]&gt;0,INDEX(res_Name,Tasks[[#This Row],[_Res1Row]]),TRIM(LEFT(Tasks[[#This Row],[_Res1Text]],FIND("[",Tasks[[#This Row],[_Res1Text]]&amp;"[")-1))))</f>
        <v/>
      </c>
      <c r="DT1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3" t="n">
        <f aca="false">IF(NOT(Tasks[[#This Row],[_IsLeaf]]=1),0,(Tasks[[#This Row],[_Resource1]]&lt;&gt;"")+(Tasks[[#This Row],[_Res2]]&lt;&gt;"")+(Tasks[[#This Row],[_Res3]]&lt;&gt;"")+(Tasks[[#This Row],[_Res4]]&lt;&gt;""))</f>
        <v>0</v>
      </c>
      <c r="DV177" s="43" t="str">
        <f aca="false">IF(Tasks[[#This Row],[_Res2Text]]="","",IF(Tasks[[#This Row],[_Res2Row]]&gt;0,INDEX(res_Name,Tasks[[#This Row],[_Res2Row]]),TRIM(LEFT(Tasks[[#This Row],[_Res2Text]],FIND("[",Tasks[[#This Row],[_Res2Text]]&amp;"[")-1))))</f>
        <v/>
      </c>
      <c r="DW1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3" t="n">
        <f aca="false">IF(OR(NOT(Tasks[[#This Row],[_IsLeaf]]=1),Tasks[[#This Row],[_Res2Row]]=0),0,N(Tasks[[#This Row],[_Days]])*HoursPerDay*IF(Tasks[[#This Row],[_Res2Units]]="",DefaultUnits,Tasks[[#This Row],[_Res2Units]]))</f>
        <v>0</v>
      </c>
      <c r="DY177" s="43" t="n">
        <f aca="false">IF(AND(AND(Tasks[[#This Row],[_IsLeaf]]=1,Tasks[[#This Row],[_LeafTotalWork]]&gt;0),Tasks[[#This Row],[_Res2Work]]&gt;0),Tasks[[#This Row],[_Res2Work]]/(Tasks[[#This Row],[_FinishWorkday]]-Tasks[[#This Row],[_StartWorkday]]+1),0)</f>
        <v>0</v>
      </c>
      <c r="DZ177" s="43" t="n">
        <f aca="false">Tasks[[#This Row],[_Res2WorkPerWD]]*MAX(0,Tasks[[#This Row],[_StartWorkday]]-1)</f>
        <v>0</v>
      </c>
      <c r="EA177" s="43" t="n">
        <f aca="false">Tasks[[#This Row],[_Res2Work]]*Tasks[[#This Row],[_LeafProgress]]</f>
        <v>0</v>
      </c>
      <c r="EB177" s="43" t="str">
        <f aca="false">IF(Tasks[[#This Row],[_Res3Text]]="","",IF(Tasks[[#This Row],[_Res3Row]]&gt;0,INDEX(res_Name,Tasks[[#This Row],[_Res3Row]]),TRIM(LEFT(Tasks[[#This Row],[_Res3Text]],FIND("[",Tasks[[#This Row],[_Res3Text]]&amp;"[")-1))))</f>
        <v/>
      </c>
      <c r="EC1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3" t="n">
        <f aca="false">IF(OR(NOT(Tasks[[#This Row],[_IsLeaf]]=1),Tasks[[#This Row],[_Res3Row]]=0),0,N(Tasks[[#This Row],[_Days]])*HoursPerDay*IF(Tasks[[#This Row],[_Res3Units]]="",DefaultUnits,Tasks[[#This Row],[_Res3Units]]))</f>
        <v>0</v>
      </c>
      <c r="EE177" s="43" t="n">
        <f aca="false">IF(AND(AND(Tasks[[#This Row],[_IsLeaf]]=1,Tasks[[#This Row],[_LeafTotalWork]]&gt;0),Tasks[[#This Row],[_Res3Work]]&gt;0),Tasks[[#This Row],[_Res3Work]]/(Tasks[[#This Row],[_FinishWorkday]]-Tasks[[#This Row],[_StartWorkday]]+1),0)</f>
        <v>0</v>
      </c>
      <c r="EF177" s="43" t="n">
        <f aca="false">Tasks[[#This Row],[_Res3WorkPerWD]]*MAX(0,Tasks[[#This Row],[_StartWorkday]]-1)</f>
        <v>0</v>
      </c>
      <c r="EG177" s="43" t="n">
        <f aca="false">Tasks[[#This Row],[_Res3Work]]*Tasks[[#This Row],[_LeafProgress]]</f>
        <v>0</v>
      </c>
      <c r="EH177" s="43" t="str">
        <f aca="false">IF(Tasks[[#This Row],[_Res4Text]]="","",IF(Tasks[[#This Row],[_Res4Row]]&gt;0,INDEX(res_Name,Tasks[[#This Row],[_Res4Row]]),TRIM(LEFT(Tasks[[#This Row],[_Res4Text]],FIND("[",Tasks[[#This Row],[_Res4Text]]&amp;"[")-1))))</f>
        <v/>
      </c>
      <c r="EI1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3" t="n">
        <f aca="false">IF(OR(NOT(Tasks[[#This Row],[_IsLeaf]]=1),Tasks[[#This Row],[_Res4Row]]=0),0,N(Tasks[[#This Row],[_Days]])*HoursPerDay*IF(Tasks[[#This Row],[_Res4Units]]="",DefaultUnits,Tasks[[#This Row],[_Res4Units]]))</f>
        <v>0</v>
      </c>
      <c r="EK177" s="43" t="n">
        <f aca="false">IF(AND(AND(Tasks[[#This Row],[_IsLeaf]]=1,Tasks[[#This Row],[_LeafTotalWork]]&gt;0),Tasks[[#This Row],[_Res4Work]]&gt;0),Tasks[[#This Row],[_Res4Work]]/(Tasks[[#This Row],[_FinishWorkday]]-Tasks[[#This Row],[_StartWorkday]]+1),0)</f>
        <v>0</v>
      </c>
      <c r="EL177" s="43" t="n">
        <f aca="false">Tasks[[#This Row],[_Res4WorkPerWD]]*MAX(0,Tasks[[#This Row],[_StartWorkday]]-1)</f>
        <v>0</v>
      </c>
      <c r="EM177" s="43" t="n">
        <f aca="false">Tasks[[#This Row],[_Res4Work]]*Tasks[[#This Row],[_LeafProgress]]</f>
        <v>0</v>
      </c>
      <c r="EN177" s="43" t="n">
        <f aca="false">IF(ISNUMBER(Tasks[[#This Row],[% Complete]]),Tasks[[#This Row],[% Complete]],IF(Tasks[[#This Row],[Stage]]="",0,IFERROR(INDEX(stg_Pct,MATCH(Tasks[[#This Row],[Stage]],stg_Name,0)),0)))</f>
        <v>0</v>
      </c>
      <c r="EO177" s="43" t="n">
        <f aca="false">IF(NOT(Tasks[[#This Row],[_IsLeaf]]=1),0,IF(N(Tasks[[#This Row],[Actual Finish]])&gt;0,1,MIN(1,Tasks[[#This Row],[_Pct]])))</f>
        <v>0</v>
      </c>
      <c r="EP177" s="43" t="n">
        <f aca="false">IF(OR(NOT(Tasks[[#This Row],[_IsLeaf]]=1),Tasks[[#This Row],[_Res1Row]]=0),0,N(Tasks[[#This Row],[_Days]])*HoursPerDay*IF(Tasks[[#This Row],[_Units1]]="",DefaultUnits,Tasks[[#This Row],[_Units1]]))</f>
        <v>0</v>
      </c>
      <c r="EQ177" s="43" t="n">
        <f aca="false">Tasks[[#This Row],[_LeafWork]]+Tasks[[#This Row],[_Res2Work]]+Tasks[[#This Row],[_Res3Work]]+Tasks[[#This Row],[_Res4Work]]</f>
        <v>0</v>
      </c>
      <c r="ER1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3" t="n">
        <f aca="false">IF(NOT(Tasks[[#This Row],[_IsLeaf]]=1),0,MAX(_xlfn.MAXIFS(Tasks[_Row],Tasks[_Pred1UID],Tasks[[#This Row],[UID]]),_xlfn.MAXIFS(Tasks[_Row],Tasks[_Pred2UID],Tasks[[#This Row],[UID]]),_xlfn.MAXIFS(Tasks[_Row],Tasks[_Pred3UID],Tasks[[#This Row],[UID]]),_xlfn.MAXIFS(Tasks[_Row],Tasks[_Pred4UID],Tasks[[#This Row],[UID]])))</f>
        <v>0</v>
      </c>
      <c r="FA1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91" t="str">
        <f aca="false">IF(NOT(Tasks[[#This Row],[_IsLeaf]]=1),"",IF(N(Tasks[[#This Row],[_Days]])&lt;=0,Tasks[[#This Row],[_LeafLateFinish]],WORKDAY.INTL(Tasks[[#This Row],[_LeafLateFinish]],-(Tasks[[#This Row],[_Days]]-1),WorkWeek,Holidays)))</f>
        <v/>
      </c>
      <c r="FD1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7" s="90" t="b">
        <f aca="false">AND(Tasks[[#This Row],[_IsLeaf]]=1,Tasks[[#This Row],[_LeafProgress]]&lt;1,N(Tasks[[#This Row],[_LeafTotalSlack]])&lt;=CriticalSlackDays)</f>
        <v>0</v>
      </c>
      <c r="FF177" s="43" t="n">
        <f aca="false">IF(AND(Tasks[[#This Row],[_IsLeaf]]=1,Tasks[[#This Row],[_ConstraintCode]]=1,Tasks[[#This Row],[Mode]]&lt;&gt;"Manual",N(Tasks[[#This Row],[Actual Start]])=0),MAX(0,N(Tasks[[#This Row],[Free Slack]])),0)</f>
        <v>0</v>
      </c>
      <c r="FG177" s="91" t="str">
        <f aca="false">IF(NOT(Tasks[[#This Row],[_IsLeaf]]=1),"",IF(Tasks[[#This Row],[_AlapShift]]=0,Tasks[[#This Row],[_LeafCalcStart]],WORKDAY.INTL(Tasks[[#This Row],[_LeafCalcStart]],Tasks[[#This Row],[_AlapShift]],WorkWeek,Holidays)))</f>
        <v/>
      </c>
      <c r="FH177" s="91" t="str">
        <f aca="false">IF(NOT(Tasks[[#This Row],[_IsLeaf]]=1),"",IF(Tasks[[#This Row],[_AlapShift]]=0,Tasks[[#This Row],[_LeafCalcFinish]],WORKDAY.INTL(Tasks[[#This Row],[_LeafCalcFinish]],Tasks[[#This Row],[_AlapShift]],WorkWeek,Holidays)))</f>
        <v/>
      </c>
      <c r="FI177" s="91" t="str">
        <f aca="false">IF(NOT(Tasks[[#This Row],[_IsLeaf]]=1),"",IF(Tasks[[#This Row],[_AlapShift]]=0,Tasks[[#This Row],[_LeafFcstStart]],WORKDAY.INTL(Tasks[[#This Row],[_LeafFcstStart]],Tasks[[#This Row],[_AlapShift]],WorkWeek,Holidays)))</f>
        <v/>
      </c>
      <c r="FJ177" s="91" t="str">
        <f aca="false">IF(NOT(Tasks[[#This Row],[_IsLeaf]]=1),"",IF(Tasks[[#This Row],[_AlapShift]]=0,Tasks[[#This Row],[_LeafFcstFinish]],WORKDAY.INTL(Tasks[[#This Row],[_LeafFcstFinish]],Tasks[[#This Row],[_AlapShift]],WorkWeek,Holidays)))</f>
        <v/>
      </c>
      <c r="FK177" s="91" t="str">
        <f aca="false">IF(Tasks[[#This Row],[Task Name]]="","",IF(Tasks[[#This Row],[_IsSummary]],MIN(INDEX(Tasks[_ShownCalcStart],Tasks[[#This Row],[_Row]]+1):INDEX(Tasks[_ShownCalcStart],Tasks[[#This Row],[_Row]]+Tasks[[#This Row],[_Descendants]])),Tasks[[#This Row],[_ShownCalcStart]]))</f>
        <v/>
      </c>
      <c r="FL177" s="91" t="str">
        <f aca="false">IF(Tasks[[#This Row],[Task Name]]="","",IF(Tasks[[#This Row],[_IsSummary]],MAX(INDEX(Tasks[_ShownCalcFinish],Tasks[[#This Row],[_Row]]+1):INDEX(Tasks[_ShownCalcFinish],Tasks[[#This Row],[_Row]]+Tasks[[#This Row],[_Descendants]])),Tasks[[#This Row],[_ShownCalcFinish]]))</f>
        <v/>
      </c>
      <c r="FM1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7" s="43" t="n">
        <f aca="false">IF(AND(Tasks[[#This Row],[_IsLeaf]]=1,Tasks[[#This Row],[_LeafTotalWork]]&gt;0),NETWORKDAYS.INTL(ProjectStart,Tasks[[#This Row],[_ShownFcstStart]],WorkWeek,Holidays),0)</f>
        <v>0</v>
      </c>
      <c r="FZ177" s="43" t="n">
        <f aca="false">IF(AND(Tasks[[#This Row],[_IsLeaf]]=1,Tasks[[#This Row],[_LeafTotalWork]]&gt;0),MAX(Tasks[[#This Row],[_StartWorkday]],NETWORKDAYS.INTL(ProjectStart,Tasks[[#This Row],[_ShownFcstFinish]],WorkWeek,Holidays)),0)</f>
        <v>0</v>
      </c>
      <c r="GA177" s="43" t="n">
        <f aca="false">IF(AND(Tasks[[#This Row],[_IsLeaf]]=1,Tasks[[#This Row],[_LeafTotalWork]]&gt;0),Tasks[[#This Row],[_LeafWork]]/(Tasks[[#This Row],[_FinishWorkday]]-Tasks[[#This Row],[_StartWorkday]]+1),0)</f>
        <v>0</v>
      </c>
      <c r="GB177" s="43" t="n">
        <f aca="false">Tasks[[#This Row],[_WorkPerWorkday]]*(Tasks[[#This Row],[_StartWorkday]]-1)</f>
        <v>-0</v>
      </c>
      <c r="GC177" s="43" t="n">
        <f aca="false">IF(Tasks[[#This Row],[_IsLeaf]]=1,MAX(N(Tasks[[#This Row],[_Days]]),0.1),0)</f>
        <v>0</v>
      </c>
      <c r="GD177" s="43" t="n">
        <f aca="false">Tasks[[#This Row],[_WeightDur]]*Tasks[[#This Row],[_LeafProgress]]</f>
        <v>0</v>
      </c>
      <c r="GE177" s="43" t="n">
        <f aca="false">Tasks[[#This Row],[_WeightDur]]*Tasks[[#This Row],[_PlannedPct]]</f>
        <v>0</v>
      </c>
      <c r="GF1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3" t="str">
        <f aca="false">IF(AND(Tasks[[#This Row],[_IsLeaf]]=1,N(Tasks[[#This Row],[_Days]])=0,Tasks[[#This Row],[_LeafProgress]]&lt;1),Tasks[[#This Row],[_ShownFcstFinish]]+Tasks[[#This Row],[_Row]]/100000,"")</f>
        <v/>
      </c>
      <c r="GH1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7" s="43" t="str">
        <f aca="false">IF(Tasks[[#This Row],[Task Name]]="","",LEFT(Tasks[[#This Row],[WBS]],FIND(".",Tasks[[#This Row],[WBS]]&amp;".")-1))</f>
        <v/>
      </c>
      <c r="GJ177" s="43" t="str">
        <f aca="false">IF(AND(Tasks[[#This Row],[Task Name]]&lt;&gt;"",Tasks[[#This Row],[_Level]]=1),Tasks[[#This Row],[_Row]],"")</f>
        <v/>
      </c>
      <c r="GK177" s="43" t="str">
        <f aca="false">IF(AND(Tasks[[#This Row],[_IsLeaf]]=1,N(Tasks[[#This Row],[_Days]])=0),Tasks[[#This Row],[Planned Finish]]+Tasks[[#This Row],[_Row]]/100000,"")</f>
        <v/>
      </c>
      <c r="GL177" s="43" t="str">
        <f aca="false">IF(AND(Tasks[[#This Row],[_IsLeaf]]=1,Tasks[[#This Row],[_LeafProgress]]&lt;1,OR(N(Tasks[[#This Row],[Finish Var]])&gt;0,Tasks[[#This Row],[Status]]="Late Start")),MAX(0,Tasks[[#This Row],[Finish Var]])+1-Tasks[[#This Row],[_Row]]/1000000,"")</f>
        <v/>
      </c>
      <c r="GM177" s="43" t="str">
        <f aca="false">IF(AND(Tasks[[#This Row],[_IsLeaf]]=1,N(Tasks[[#This Row],[Actual Start]])=0,Tasks[[#This Row],[_ShownFcstStart]]&gt;=StatusDate,Tasks[[#This Row],[_ShownFcstStart]]&lt;=LookaheadEnd),Tasks[[#This Row],[_ShownFcstStart]]+Tasks[[#This Row],[_Row]]/100000,"")</f>
        <v/>
      </c>
      <c r="GN177" s="43" t="str">
        <f aca="false">IF(AND(Tasks[[#This Row],[_IsLeaf]]=1,Tasks[[#This Row],[_LeafProgress]]&lt;1,Tasks[[#This Row],[_ShownFcstFinish]]&gt;=StatusDate,Tasks[[#This Row],[_ShownFcstFinish]]&lt;=LookaheadEnd),Tasks[[#This Row],[_ShownFcstFinish]]+Tasks[[#This Row],[_Row]]/100000,"")</f>
        <v/>
      </c>
      <c r="GO177" s="43" t="str">
        <f aca="false">IF(Tasks[[#This Row],[_LeafCritical]],Tasks[[#This Row],[_ShownFcstStart]]+Tasks[[#This Row],[_Row]]/100000,"")</f>
        <v/>
      </c>
      <c r="GP177" s="43" t="n">
        <f aca="false">Tasks[[#This Row],[_LeafWork]]*Tasks[[#This Row],[_LeafProgress]]</f>
        <v>0</v>
      </c>
      <c r="GQ177" s="91" t="str">
        <f aca="false">IF(AND(Tasks[[#This Row],[_IsLeaf]]=1,Tasks[[#This Row],[_LeafProgress]]&gt;=1),IF(N(Tasks[[#This Row],[Actual Finish]])&gt;0,Tasks[[#This Row],[Actual Finish]],Tasks[[#This Row],[_ShownFcstFinish]]),"")</f>
        <v/>
      </c>
      <c r="GR177" s="43" t="n">
        <f aca="false">IF(Tasks[[#This Row],[_IsLeaf]]=1,N(Tasks[[#This Row],[Story Points]]),0)</f>
        <v>0</v>
      </c>
      <c r="GS177" s="43" t="str">
        <f aca="false">""</f>
        <v/>
      </c>
      <c r="GT177" s="90" t="b">
        <f aca="false">IF(Tasks[[#This Row],[Task Name]]="",FALSE(),AND(Tasks[[#This Row],[_IsLeaf]]=1,N(Tasks[[#This Row],[_Days]])=0))</f>
        <v>0</v>
      </c>
      <c r="GU177" s="91" t="n">
        <f aca="false">IF(Tasks[[#This Row],[Task Name]]="",0,IF(AND(Tasks[[#This Row],[_IsLeaf]]=1,NOT(Tasks[[#This Row],[_IsMilestone]]),N(Tasks[[#This Row],[Progress]])&gt;0),Tasks[[#This Row],[Start]],0))</f>
        <v>0</v>
      </c>
      <c r="GV177" s="91" t="n">
        <f aca="false">IF(Tasks[[#This Row],[_DoneFrom]]=0,0,IF(Tasks[[#This Row],[Progress]]&gt;=1,Tasks[[#This Row],[Finish]],MAX(Tasks[[#This Row],[_DoneFrom]],Tasks[[#This Row],[Start]]+ROUND((Tasks[[#This Row],[Finish]]-Tasks[[#This Row],[Start]]+1)*Tasks[[#This Row],[Progress]],0)-1)))</f>
        <v>0</v>
      </c>
      <c r="GW177" s="91" t="n">
        <f aca="false">IF(Tasks[[#This Row],[Task Name]]="",0,IF(OR(NOT(Tasks[[#This Row],[_IsLeaf]]=1),Tasks[[#This Row],[_IsMilestone]],N(Tasks[[#This Row],[Progress]])&gt;=1),0,IF(Tasks[[#This Row],[_DoneTo]]&gt;0,Tasks[[#This Row],[_DoneTo]]+1,Tasks[[#This Row],[Start]])))</f>
        <v>0</v>
      </c>
      <c r="GX177" s="91" t="n">
        <f aca="false">IF(Tasks[[#This Row],[_RemFrom]]=0,0,Tasks[[#This Row],[Finish]])</f>
        <v>0</v>
      </c>
      <c r="GY177" s="90" t="b">
        <f aca="false">IF(Tasks[[#This Row],[Task Name]]="",FALSE(),OR(NOT(BaselineSet),N(Tasks[[#This Row],[Baseline Start]])&gt;0))</f>
        <v>0</v>
      </c>
      <c r="GZ17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92" t="str">
        <f aca="false">IF(Tasks[[#This Row],[_IsLeaf]]=1,Tasks[[#This Row],[_Row]],"")</f>
        <v/>
      </c>
      <c r="HD177" s="92" t="str">
        <f aca="false">IFERROR(INDEX(Tasks[UID],SMALL(Tasks[_PickKey],Tasks[[#This Row],[_Row]]))&amp;" "&amp;INDEX(Tasks[Task Name],SMALL(Tasks[_PickKey],Tasks[[#This Row],[_Row]])),"")</f>
        <v/>
      </c>
      <c r="HE177" s="43" t="str">
        <f aca="false">IF(Tasks[[#This Row],[Task Name]]="","",IF(Tasks[[#This Row],[_IsSummary]],NETWORKDAYS.INTL(Tasks[[#This Row],[Start]],Tasks[[#This Row],[Finish]],WorkWeek,Holidays),N(Tasks[[#This Row],[_Days]])))</f>
        <v/>
      </c>
      <c r="HF177" s="43" t="n">
        <f aca="false">IF(Tasks[[#This Row],[Expected]]="",0,((Tasks[[#This Row],[Pessimistic]]-Tasks[[#This Row],[Optimistic]])/6)^2)</f>
        <v>0</v>
      </c>
      <c r="HG177" s="43" t="n">
        <f aca="false">IF(Tasks[[#This Row],[Expected]]="",0,Tasks[[#This Row],[Expected]]-N(Tasks[[#This Row],[_Days]]))</f>
        <v>0</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4"/>
      <c r="U178" s="23"/>
      <c r="V178" s="84"/>
      <c r="W178" s="23"/>
      <c r="X178" s="84"/>
      <c r="Y178" s="23"/>
      <c r="Z178" s="84"/>
      <c r="AA178" s="23"/>
      <c r="AB178" s="23"/>
      <c r="AC178" s="7"/>
      <c r="AD178" s="7"/>
      <c r="AE178" s="63" t="str">
        <f aca="false">IF(Tasks[[#This Row],[Task Name]]="","",IF(Tasks[[#This Row],[_IsSummary]],MIN(INDEX(Tasks[_ShownFcstStart],Tasks[[#This Row],[_Row]]+1):INDEX(Tasks[_ShownFcstStart],Tasks[[#This Row],[_Row]]+Tasks[[#This Row],[_Descendants]])),Tasks[[#This Row],[_ShownFcstStart]]))</f>
        <v/>
      </c>
      <c r="AF178" s="63"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8" s="7"/>
      <c r="AK178" s="22"/>
      <c r="AL178" s="23"/>
      <c r="AM178" s="7"/>
      <c r="AN178" s="47"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3" t="str">
        <f aca="false">IF(Tasks[[#This Row],[Task Name]]="","",IF(N(Tasks[[#This Row],[Baseline Start]])&gt;0,Tasks[[#This Row],[Baseline Start]],Tasks[[#This Row],[_CalcStart]]))</f>
        <v/>
      </c>
      <c r="AR178" s="63" t="str">
        <f aca="false">IF(Tasks[[#This Row],[Task Name]]="","",IF(N(Tasks[[#This Row],[Baseline Finish]])&gt;0,Tasks[[#This Row],[Baseline Finish]],Tasks[[#This Row],[_CalcFinish]]))</f>
        <v/>
      </c>
      <c r="AS178" s="47" t="str">
        <f aca="false">IF(Tasks[[#This Row],[Task Name]]="","",IF(Tasks[[#This Row],[Start]]&gt;=Tasks[[#This Row],[Planned Start]],NETWORKDAYS.INTL(Tasks[[#This Row],[Planned Start]],Tasks[[#This Row],[Start]],WorkWeek,Holidays)-1,1-NETWORKDAYS.INTL(Tasks[[#This Row],[Start]],Tasks[[#This Row],[Planned Start]],WorkWeek,Holidays)))</f>
        <v/>
      </c>
      <c r="AT178" s="63" t="str">
        <f aca="false">IF(Tasks[[#This Row],[Task Name]]="","",IF(Tasks[[#This Row],[_IsSummary]],MIN(INDEX(Tasks[_LeafLateStart],Tasks[[#This Row],[_Row]]+1):INDEX(Tasks[_LeafLateStart],Tasks[[#This Row],[_Row]]+Tasks[[#This Row],[_Descendants]])),Tasks[[#This Row],[_LeafLateStart]]))</f>
        <v/>
      </c>
      <c r="AU178" s="63" t="str">
        <f aca="false">IF(Tasks[[#This Row],[Task Name]]="","",IF(Tasks[[#This Row],[_IsSummary]],MAX(INDEX(Tasks[_LeafLateFinish],Tasks[[#This Row],[_Row]]+1):INDEX(Tasks[_LeafLateFinish],Tasks[[#This Row],[_Row]]+Tasks[[#This Row],[_Descendants]])),Tasks[[#This Row],[_LeafLateFinish]]))</f>
        <v/>
      </c>
      <c r="AV178" s="47"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5"/>
      <c r="BA1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6"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7"/>
      <c r="BJ178" s="22"/>
      <c r="BK178" s="47" t="str">
        <f aca="false">IF(OR(Tasks[[#This Row],[Task Name]]="",Tasks[[#This Row],[Baseline Duration]]=""),"",Tasks[[#This Row],[_SpanDays]]-N(Tasks[[#This Row],[Baseline Duration]]))</f>
        <v/>
      </c>
      <c r="BL178" s="86" t="str">
        <f aca="false">IF(OR(Tasks[[#This Row],[Task Name]]="",Tasks[[#This Row],[Baseline Work]]=""),"",Tasks[[#This Row],[Work]]-N(Tasks[[#This Row],[Baseline Work]]))</f>
        <v/>
      </c>
      <c r="BM178" s="63" t="str">
        <f aca="false">IF(Tasks[[#This Row],[Task Name]]="","",IF(OR(TakeBaseline="Yes",N(Tasks[[#This Row],[Baseline Start]])=0),Tasks[[#This Row],[Start]],Tasks[[#This Row],[Baseline Start]]))</f>
        <v/>
      </c>
      <c r="BN178" s="63" t="str">
        <f aca="false">IF(Tasks[[#This Row],[Task Name]]="","",IF(OR(TakeBaseline="Yes",N(Tasks[[#This Row],[Baseline Finish]])=0),Tasks[[#This Row],[Finish]],Tasks[[#This Row],[Baseline Finish]]))</f>
        <v/>
      </c>
      <c r="BO178" s="21" t="str">
        <f aca="false">IF(Tasks[[#This Row],[Task Name]]="","",IF(OR(TakeBaseline="Yes",N(Tasks[[#This Row],[Baseline Duration]])=0),Tasks[[#This Row],[_SpanDays]],Tasks[[#This Row],[Baseline Duration]]))</f>
        <v/>
      </c>
      <c r="BP178" s="86" t="str">
        <f aca="false">IF(Tasks[[#This Row],[Task Name]]="","",IF(OR(TakeBaseline="Yes",N(Tasks[[#This Row],[Baseline Work]])=0),Tasks[[#This Row],[Work]],Tasks[[#This Row],[Baseline Work]]))</f>
        <v/>
      </c>
      <c r="BQ178" s="7"/>
      <c r="BR178" s="7"/>
      <c r="BS178" s="22"/>
      <c r="BT178" s="88"/>
      <c r="BU178" s="23"/>
      <c r="BV178" s="23"/>
      <c r="BW178" s="23"/>
      <c r="BX178" s="89" t="str">
        <f aca="false">IF(AND(Tasks[[#This Row],[_IsLeaf]]=1,ISNUMBER(Tasks[[#This Row],[Optimistic]]),ISNUMBER(Tasks[[#This Row],[Pessimistic]])),ROUND((Tasks[[#This Row],[Optimistic]]+4*N(Tasks[[#This Row],[_Days]])+Tasks[[#This Row],[Pessimistic]])/6,1),"")</f>
        <v/>
      </c>
      <c r="BY178" s="87"/>
      <c r="BZ178" s="87"/>
      <c r="CA178" s="22"/>
      <c r="CB178" s="43" t="str">
        <f aca="false">IF(Tasks[[#This Row],[Task Name]]="","",MAX(1,N(Tasks[[#This Row],[Level]])))</f>
        <v/>
      </c>
      <c r="CC178" s="43" t="n">
        <f aca="false">ROW()-ROW(Tasks[[#Headers],[ID]])</f>
        <v>173</v>
      </c>
      <c r="CD178" s="43" t="n">
        <f aca="false">IF(OR(Tasks[[#This Row],[Task Name]]="",Tasks[[#This Row],[_Level]]&lt;=1),0,IFERROR(LOOKUP(2,1/(Tasks[[#Headers],[_Level]]:Tasks[[#This Row],[_Level]]=Tasks[[#This Row],[_Level]]-1),ROW(Tasks[[#Headers],[_Level]]:Tasks[[#This Row],[_Level]])),0))</f>
        <v>0</v>
      </c>
      <c r="CE178" s="43" t="n">
        <f aca="false">IFERROR(N(INDEX(Tasks[_Level],Tasks[[#This Row],[_Row]]+1)),0)</f>
        <v>0</v>
      </c>
      <c r="CF178" s="90" t="b">
        <f aca="false">AND(Tasks[[#This Row],[Task Name]]&lt;&gt;"",Tasks[[#This Row],[_NextLevel]]&gt;Tasks[[#This Row],[_Level]])</f>
        <v>0</v>
      </c>
      <c r="CG178" s="43" t="n">
        <f aca="false">IF(Tasks[[#This Row],[_IsSummary]],COUNTIF(Tasks[WBS],Tasks[[#This Row],[WBS]]&amp;".*"),0)</f>
        <v>0</v>
      </c>
      <c r="CH178" s="43" t="n">
        <f aca="false">IF(AND(Tasks[[#This Row],[Task Name]]&lt;&gt;"",NOT(Tasks[[#This Row],[_IsSummary]])),1,0)</f>
        <v>0</v>
      </c>
      <c r="CI178" s="43" t="n">
        <f aca="false">IF(N(Tasks[[#This Row],[_Pred1UID]])=0,0,IFERROR(MATCH(Tasks[[#This Row],[_Pred1UID]],Tasks[UID],0),-1))</f>
        <v>0</v>
      </c>
      <c r="CJ178" s="43" t="n">
        <f aca="false">IF(N(Tasks[[#This Row],[_Pred2UID]])=0,0,IFERROR(MATCH(Tasks[[#This Row],[_Pred2UID]],Tasks[UID],0),-1))</f>
        <v>0</v>
      </c>
      <c r="CK178" s="43" t="n">
        <f aca="false">IF(N(Tasks[[#This Row],[_Pred3UID]])=0,0,IFERROR(MATCH(Tasks[[#This Row],[_Pred3UID]],Tasks[UID],0),-1))</f>
        <v>0</v>
      </c>
      <c r="CL178" s="43" t="n">
        <f aca="false">IF(N(Tasks[[#This Row],[_Pred4UID]])=0,0,IFERROR(MATCH(Tasks[[#This Row],[_Pred4UID]],Tasks[UID],0),-1))</f>
        <v>0</v>
      </c>
      <c r="CM1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8" s="91" t="n">
        <f aca="false">IF(OR(Tasks[[#This Row],[_ConstraintCode]]=2,Tasks[[#This Row],[_ConstraintCode]]=3,Tasks[[#This Row],[_ConstraintCode]]=4,Tasks[[#This Row],[_ConstraintCode]]=6),Tasks[[#This Row],[_ConstraintStart]],0)</f>
        <v>0</v>
      </c>
      <c r="CP178" s="91" t="n">
        <f aca="false">IF(OR(Tasks[[#This Row],[_ConstraintCode]]=2,Tasks[[#This Row],[_ConstraintCode]]=3,Tasks[[#This Row],[_ConstraintCode]]=5,Tasks[[#This Row],[_ConstraintCode]]=7),Tasks[[#This Row],[_ConstraintStart]],2958465)</f>
        <v>2958465</v>
      </c>
      <c r="CQ1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91" t="str">
        <f aca="false">IF(NOT(Tasks[[#This Row],[_IsLeaf]]=1),"",IF(N(Tasks[[#This Row],[_Days]])&lt;=0,Tasks[[#This Row],[_LeafCalcStart]],WORKDAY.INTL(Tasks[[#This Row],[_LeafCalcStart]],Tasks[[#This Row],[_Days]]-1,WorkWeek,Holidays)))</f>
        <v/>
      </c>
      <c r="CS1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3" t="str">
        <f aca="false">IF(Tasks[[#This Row],[_Predecessors]]="","",TRIM(MID(SUBSTITUTE(SUBSTITUTE(SUBSTITUTE(UPPER(Tasks[[#This Row],[_Predecessors]]),";",",")," ",""),",",REPT(" ",99)),1,99)))</f>
        <v/>
      </c>
      <c r="CV178" s="43" t="str">
        <f aca="false">IF(Tasks[[#This Row],[_Pred1Text]]="","",IFERROR(VALUE(LEFT(Tasks[[#This Row],[_Pred1Text]],MIN(FIND("F",Tasks[[#This Row],[_Pred1Text]]&amp;"F"),FIND("S",Tasks[[#This Row],[_Pred1Text]]&amp;"S"),FIND("+",Tasks[[#This Row],[_Pred1Text]]&amp;"+"),FIND("-",Tasks[[#This Row],[_Pred1Text]]&amp;"-"))-1)),""))</f>
        <v/>
      </c>
      <c r="CW1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3" t="str">
        <f aca="false">IF(Tasks[[#This Row],[_Pred1Text]]="","",TRIM(MID(SUBSTITUTE(SUBSTITUTE(SUBSTITUTE(UPPER(Tasks[[#This Row],[_Predecessors]]),";",",")," ",""),",",REPT(" ",99)),100,99)))</f>
        <v/>
      </c>
      <c r="CZ178" s="43" t="str">
        <f aca="false">IF(Tasks[[#This Row],[_Pred2Text]]="","",IFERROR(VALUE(LEFT(Tasks[[#This Row],[_Pred2Text]],MIN(FIND("F",Tasks[[#This Row],[_Pred2Text]]&amp;"F"),FIND("S",Tasks[[#This Row],[_Pred2Text]]&amp;"S"),FIND("+",Tasks[[#This Row],[_Pred2Text]]&amp;"+"),FIND("-",Tasks[[#This Row],[_Pred2Text]]&amp;"-"))-1)),""))</f>
        <v/>
      </c>
      <c r="DA1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3" t="str">
        <f aca="false">IF(Tasks[[#This Row],[_Pred2Text]]="","",TRIM(MID(SUBSTITUTE(SUBSTITUTE(SUBSTITUTE(UPPER(Tasks[[#This Row],[_Predecessors]]),";",",")," ",""),",",REPT(" ",99)),199,99)))</f>
        <v/>
      </c>
      <c r="DD178" s="43" t="str">
        <f aca="false">IF(Tasks[[#This Row],[_Pred3Text]]="","",IFERROR(VALUE(LEFT(Tasks[[#This Row],[_Pred3Text]],MIN(FIND("F",Tasks[[#This Row],[_Pred3Text]]&amp;"F"),FIND("S",Tasks[[#This Row],[_Pred3Text]]&amp;"S"),FIND("+",Tasks[[#This Row],[_Pred3Text]]&amp;"+"),FIND("-",Tasks[[#This Row],[_Pred3Text]]&amp;"-"))-1)),""))</f>
        <v/>
      </c>
      <c r="DE1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3" t="str">
        <f aca="false">IF(Tasks[[#This Row],[_Pred3Text]]="","",TRIM(MID(SUBSTITUTE(SUBSTITUTE(SUBSTITUTE(UPPER(Tasks[[#This Row],[_Predecessors]]),";",",")," ",""),",",REPT(" ",99)),298,99)))</f>
        <v/>
      </c>
      <c r="DH178" s="43" t="str">
        <f aca="false">IF(Tasks[[#This Row],[_Pred4Text]]="","",IFERROR(VALUE(LEFT(Tasks[[#This Row],[_Pred4Text]],MIN(FIND("F",Tasks[[#This Row],[_Pred4Text]]&amp;"F"),FIND("S",Tasks[[#This Row],[_Pred4Text]]&amp;"S"),FIND("+",Tasks[[#This Row],[_Pred4Text]]&amp;"+"),FIND("-",Tasks[[#This Row],[_Pred4Text]]&amp;"-"))-1)),""))</f>
        <v/>
      </c>
      <c r="DI1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3" t="str">
        <f aca="false">IF(OR(Tasks[[#This Row],[Task Name]]="",Tasks[[#This Row],[_Resources]]=""),"",TRIM(MID(SUBSTITUTE(Tasks[[#This Row],[_Resources]],",",REPT(" ",99)),1,99)))</f>
        <v/>
      </c>
      <c r="DL178" s="43" t="str">
        <f aca="false">IF(Tasks[[#This Row],[_Res1Text]]="","",TRIM(MID(SUBSTITUTE(Tasks[[#This Row],[_Resources]],",",REPT(" ",99)),100,99)))</f>
        <v/>
      </c>
      <c r="DM178" s="43" t="str">
        <f aca="false">IF(Tasks[[#This Row],[_Res2Text]]="","",TRIM(MID(SUBSTITUTE(Tasks[[#This Row],[_Resources]],",",REPT(" ",99)),199,99)))</f>
        <v/>
      </c>
      <c r="DN178" s="43" t="str">
        <f aca="false">IF(Tasks[[#This Row],[_Res3Text]]="","",TRIM(MID(SUBSTITUTE(Tasks[[#This Row],[_Resources]],",",REPT(" ",99)),298,99)))</f>
        <v/>
      </c>
      <c r="DO178" s="43" t="n">
        <f aca="false">IF(Tasks[[#This Row],[_Res1Text]]="",0,IFERROR(MATCH(TRIM(LEFT(Tasks[[#This Row],[_Res1Text]],FIND("[",Tasks[[#This Row],[_Res1Text]]&amp;"[")-1)),res_Name,0),IFERROR(MATCH(TRIM(LEFT(Tasks[[#This Row],[_Res1Text]],FIND("[",Tasks[[#This Row],[_Res1Text]]&amp;"[")-1)),res_Initials,0),0)))</f>
        <v>0</v>
      </c>
      <c r="DP178" s="43" t="n">
        <f aca="false">IF(Tasks[[#This Row],[_Res2Text]]="",0,IFERROR(MATCH(TRIM(LEFT(Tasks[[#This Row],[_Res2Text]],FIND("[",Tasks[[#This Row],[_Res2Text]]&amp;"[")-1)),res_Name,0),IFERROR(MATCH(TRIM(LEFT(Tasks[[#This Row],[_Res2Text]],FIND("[",Tasks[[#This Row],[_Res2Text]]&amp;"[")-1)),res_Initials,0),0)))</f>
        <v>0</v>
      </c>
      <c r="DQ178" s="43" t="n">
        <f aca="false">IF(Tasks[[#This Row],[_Res3Text]]="",0,IFERROR(MATCH(TRIM(LEFT(Tasks[[#This Row],[_Res3Text]],FIND("[",Tasks[[#This Row],[_Res3Text]]&amp;"[")-1)),res_Name,0),IFERROR(MATCH(TRIM(LEFT(Tasks[[#This Row],[_Res3Text]],FIND("[",Tasks[[#This Row],[_Res3Text]]&amp;"[")-1)),res_Initials,0),0)))</f>
        <v>0</v>
      </c>
      <c r="DR178" s="43" t="n">
        <f aca="false">IF(Tasks[[#This Row],[_Res4Text]]="",0,IFERROR(MATCH(TRIM(LEFT(Tasks[[#This Row],[_Res4Text]],FIND("[",Tasks[[#This Row],[_Res4Text]]&amp;"[")-1)),res_Name,0),IFERROR(MATCH(TRIM(LEFT(Tasks[[#This Row],[_Res4Text]],FIND("[",Tasks[[#This Row],[_Res4Text]]&amp;"[")-1)),res_Initials,0),0)))</f>
        <v>0</v>
      </c>
      <c r="DS178" s="43" t="str">
        <f aca="false">IF(Tasks[[#This Row],[_Res1Text]]="","",IF(Tasks[[#This Row],[_Res1Row]]&gt;0,INDEX(res_Name,Tasks[[#This Row],[_Res1Row]]),TRIM(LEFT(Tasks[[#This Row],[_Res1Text]],FIND("[",Tasks[[#This Row],[_Res1Text]]&amp;"[")-1))))</f>
        <v/>
      </c>
      <c r="DT1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3" t="n">
        <f aca="false">IF(NOT(Tasks[[#This Row],[_IsLeaf]]=1),0,(Tasks[[#This Row],[_Resource1]]&lt;&gt;"")+(Tasks[[#This Row],[_Res2]]&lt;&gt;"")+(Tasks[[#This Row],[_Res3]]&lt;&gt;"")+(Tasks[[#This Row],[_Res4]]&lt;&gt;""))</f>
        <v>0</v>
      </c>
      <c r="DV178" s="43" t="str">
        <f aca="false">IF(Tasks[[#This Row],[_Res2Text]]="","",IF(Tasks[[#This Row],[_Res2Row]]&gt;0,INDEX(res_Name,Tasks[[#This Row],[_Res2Row]]),TRIM(LEFT(Tasks[[#This Row],[_Res2Text]],FIND("[",Tasks[[#This Row],[_Res2Text]]&amp;"[")-1))))</f>
        <v/>
      </c>
      <c r="DW1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3" t="n">
        <f aca="false">IF(OR(NOT(Tasks[[#This Row],[_IsLeaf]]=1),Tasks[[#This Row],[_Res2Row]]=0),0,N(Tasks[[#This Row],[_Days]])*HoursPerDay*IF(Tasks[[#This Row],[_Res2Units]]="",DefaultUnits,Tasks[[#This Row],[_Res2Units]]))</f>
        <v>0</v>
      </c>
      <c r="DY178" s="43" t="n">
        <f aca="false">IF(AND(AND(Tasks[[#This Row],[_IsLeaf]]=1,Tasks[[#This Row],[_LeafTotalWork]]&gt;0),Tasks[[#This Row],[_Res2Work]]&gt;0),Tasks[[#This Row],[_Res2Work]]/(Tasks[[#This Row],[_FinishWorkday]]-Tasks[[#This Row],[_StartWorkday]]+1),0)</f>
        <v>0</v>
      </c>
      <c r="DZ178" s="43" t="n">
        <f aca="false">Tasks[[#This Row],[_Res2WorkPerWD]]*MAX(0,Tasks[[#This Row],[_StartWorkday]]-1)</f>
        <v>0</v>
      </c>
      <c r="EA178" s="43" t="n">
        <f aca="false">Tasks[[#This Row],[_Res2Work]]*Tasks[[#This Row],[_LeafProgress]]</f>
        <v>0</v>
      </c>
      <c r="EB178" s="43" t="str">
        <f aca="false">IF(Tasks[[#This Row],[_Res3Text]]="","",IF(Tasks[[#This Row],[_Res3Row]]&gt;0,INDEX(res_Name,Tasks[[#This Row],[_Res3Row]]),TRIM(LEFT(Tasks[[#This Row],[_Res3Text]],FIND("[",Tasks[[#This Row],[_Res3Text]]&amp;"[")-1))))</f>
        <v/>
      </c>
      <c r="EC1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3" t="n">
        <f aca="false">IF(OR(NOT(Tasks[[#This Row],[_IsLeaf]]=1),Tasks[[#This Row],[_Res3Row]]=0),0,N(Tasks[[#This Row],[_Days]])*HoursPerDay*IF(Tasks[[#This Row],[_Res3Units]]="",DefaultUnits,Tasks[[#This Row],[_Res3Units]]))</f>
        <v>0</v>
      </c>
      <c r="EE178" s="43" t="n">
        <f aca="false">IF(AND(AND(Tasks[[#This Row],[_IsLeaf]]=1,Tasks[[#This Row],[_LeafTotalWork]]&gt;0),Tasks[[#This Row],[_Res3Work]]&gt;0),Tasks[[#This Row],[_Res3Work]]/(Tasks[[#This Row],[_FinishWorkday]]-Tasks[[#This Row],[_StartWorkday]]+1),0)</f>
        <v>0</v>
      </c>
      <c r="EF178" s="43" t="n">
        <f aca="false">Tasks[[#This Row],[_Res3WorkPerWD]]*MAX(0,Tasks[[#This Row],[_StartWorkday]]-1)</f>
        <v>0</v>
      </c>
      <c r="EG178" s="43" t="n">
        <f aca="false">Tasks[[#This Row],[_Res3Work]]*Tasks[[#This Row],[_LeafProgress]]</f>
        <v>0</v>
      </c>
      <c r="EH178" s="43" t="str">
        <f aca="false">IF(Tasks[[#This Row],[_Res4Text]]="","",IF(Tasks[[#This Row],[_Res4Row]]&gt;0,INDEX(res_Name,Tasks[[#This Row],[_Res4Row]]),TRIM(LEFT(Tasks[[#This Row],[_Res4Text]],FIND("[",Tasks[[#This Row],[_Res4Text]]&amp;"[")-1))))</f>
        <v/>
      </c>
      <c r="EI1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3" t="n">
        <f aca="false">IF(OR(NOT(Tasks[[#This Row],[_IsLeaf]]=1),Tasks[[#This Row],[_Res4Row]]=0),0,N(Tasks[[#This Row],[_Days]])*HoursPerDay*IF(Tasks[[#This Row],[_Res4Units]]="",DefaultUnits,Tasks[[#This Row],[_Res4Units]]))</f>
        <v>0</v>
      </c>
      <c r="EK178" s="43" t="n">
        <f aca="false">IF(AND(AND(Tasks[[#This Row],[_IsLeaf]]=1,Tasks[[#This Row],[_LeafTotalWork]]&gt;0),Tasks[[#This Row],[_Res4Work]]&gt;0),Tasks[[#This Row],[_Res4Work]]/(Tasks[[#This Row],[_FinishWorkday]]-Tasks[[#This Row],[_StartWorkday]]+1),0)</f>
        <v>0</v>
      </c>
      <c r="EL178" s="43" t="n">
        <f aca="false">Tasks[[#This Row],[_Res4WorkPerWD]]*MAX(0,Tasks[[#This Row],[_StartWorkday]]-1)</f>
        <v>0</v>
      </c>
      <c r="EM178" s="43" t="n">
        <f aca="false">Tasks[[#This Row],[_Res4Work]]*Tasks[[#This Row],[_LeafProgress]]</f>
        <v>0</v>
      </c>
      <c r="EN178" s="43" t="n">
        <f aca="false">IF(ISNUMBER(Tasks[[#This Row],[% Complete]]),Tasks[[#This Row],[% Complete]],IF(Tasks[[#This Row],[Stage]]="",0,IFERROR(INDEX(stg_Pct,MATCH(Tasks[[#This Row],[Stage]],stg_Name,0)),0)))</f>
        <v>0</v>
      </c>
      <c r="EO178" s="43" t="n">
        <f aca="false">IF(NOT(Tasks[[#This Row],[_IsLeaf]]=1),0,IF(N(Tasks[[#This Row],[Actual Finish]])&gt;0,1,MIN(1,Tasks[[#This Row],[_Pct]])))</f>
        <v>0</v>
      </c>
      <c r="EP178" s="43" t="n">
        <f aca="false">IF(OR(NOT(Tasks[[#This Row],[_IsLeaf]]=1),Tasks[[#This Row],[_Res1Row]]=0),0,N(Tasks[[#This Row],[_Days]])*HoursPerDay*IF(Tasks[[#This Row],[_Units1]]="",DefaultUnits,Tasks[[#This Row],[_Units1]]))</f>
        <v>0</v>
      </c>
      <c r="EQ178" s="43" t="n">
        <f aca="false">Tasks[[#This Row],[_LeafWork]]+Tasks[[#This Row],[_Res2Work]]+Tasks[[#This Row],[_Res3Work]]+Tasks[[#This Row],[_Res4Work]]</f>
        <v>0</v>
      </c>
      <c r="ER1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3" t="n">
        <f aca="false">IF(NOT(Tasks[[#This Row],[_IsLeaf]]=1),0,MAX(_xlfn.MAXIFS(Tasks[_Row],Tasks[_Pred1UID],Tasks[[#This Row],[UID]]),_xlfn.MAXIFS(Tasks[_Row],Tasks[_Pred2UID],Tasks[[#This Row],[UID]]),_xlfn.MAXIFS(Tasks[_Row],Tasks[_Pred3UID],Tasks[[#This Row],[UID]]),_xlfn.MAXIFS(Tasks[_Row],Tasks[_Pred4UID],Tasks[[#This Row],[UID]])))</f>
        <v>0</v>
      </c>
      <c r="FA1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91" t="str">
        <f aca="false">IF(NOT(Tasks[[#This Row],[_IsLeaf]]=1),"",IF(N(Tasks[[#This Row],[_Days]])&lt;=0,Tasks[[#This Row],[_LeafLateFinish]],WORKDAY.INTL(Tasks[[#This Row],[_LeafLateFinish]],-(Tasks[[#This Row],[_Days]]-1),WorkWeek,Holidays)))</f>
        <v/>
      </c>
      <c r="FD1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8" s="90" t="b">
        <f aca="false">AND(Tasks[[#This Row],[_IsLeaf]]=1,Tasks[[#This Row],[_LeafProgress]]&lt;1,N(Tasks[[#This Row],[_LeafTotalSlack]])&lt;=CriticalSlackDays)</f>
        <v>0</v>
      </c>
      <c r="FF178" s="43" t="n">
        <f aca="false">IF(AND(Tasks[[#This Row],[_IsLeaf]]=1,Tasks[[#This Row],[_ConstraintCode]]=1,Tasks[[#This Row],[Mode]]&lt;&gt;"Manual",N(Tasks[[#This Row],[Actual Start]])=0),MAX(0,N(Tasks[[#This Row],[Free Slack]])),0)</f>
        <v>0</v>
      </c>
      <c r="FG178" s="91" t="str">
        <f aca="false">IF(NOT(Tasks[[#This Row],[_IsLeaf]]=1),"",IF(Tasks[[#This Row],[_AlapShift]]=0,Tasks[[#This Row],[_LeafCalcStart]],WORKDAY.INTL(Tasks[[#This Row],[_LeafCalcStart]],Tasks[[#This Row],[_AlapShift]],WorkWeek,Holidays)))</f>
        <v/>
      </c>
      <c r="FH178" s="91" t="str">
        <f aca="false">IF(NOT(Tasks[[#This Row],[_IsLeaf]]=1),"",IF(Tasks[[#This Row],[_AlapShift]]=0,Tasks[[#This Row],[_LeafCalcFinish]],WORKDAY.INTL(Tasks[[#This Row],[_LeafCalcFinish]],Tasks[[#This Row],[_AlapShift]],WorkWeek,Holidays)))</f>
        <v/>
      </c>
      <c r="FI178" s="91" t="str">
        <f aca="false">IF(NOT(Tasks[[#This Row],[_IsLeaf]]=1),"",IF(Tasks[[#This Row],[_AlapShift]]=0,Tasks[[#This Row],[_LeafFcstStart]],WORKDAY.INTL(Tasks[[#This Row],[_LeafFcstStart]],Tasks[[#This Row],[_AlapShift]],WorkWeek,Holidays)))</f>
        <v/>
      </c>
      <c r="FJ178" s="91" t="str">
        <f aca="false">IF(NOT(Tasks[[#This Row],[_IsLeaf]]=1),"",IF(Tasks[[#This Row],[_AlapShift]]=0,Tasks[[#This Row],[_LeafFcstFinish]],WORKDAY.INTL(Tasks[[#This Row],[_LeafFcstFinish]],Tasks[[#This Row],[_AlapShift]],WorkWeek,Holidays)))</f>
        <v/>
      </c>
      <c r="FK178" s="91" t="str">
        <f aca="false">IF(Tasks[[#This Row],[Task Name]]="","",IF(Tasks[[#This Row],[_IsSummary]],MIN(INDEX(Tasks[_ShownCalcStart],Tasks[[#This Row],[_Row]]+1):INDEX(Tasks[_ShownCalcStart],Tasks[[#This Row],[_Row]]+Tasks[[#This Row],[_Descendants]])),Tasks[[#This Row],[_ShownCalcStart]]))</f>
        <v/>
      </c>
      <c r="FL178" s="91" t="str">
        <f aca="false">IF(Tasks[[#This Row],[Task Name]]="","",IF(Tasks[[#This Row],[_IsSummary]],MAX(INDEX(Tasks[_ShownCalcFinish],Tasks[[#This Row],[_Row]]+1):INDEX(Tasks[_ShownCalcFinish],Tasks[[#This Row],[_Row]]+Tasks[[#This Row],[_Descendants]])),Tasks[[#This Row],[_ShownCalcFinish]]))</f>
        <v/>
      </c>
      <c r="FM1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8" s="43" t="n">
        <f aca="false">IF(AND(Tasks[[#This Row],[_IsLeaf]]=1,Tasks[[#This Row],[_LeafTotalWork]]&gt;0),NETWORKDAYS.INTL(ProjectStart,Tasks[[#This Row],[_ShownFcstStart]],WorkWeek,Holidays),0)</f>
        <v>0</v>
      </c>
      <c r="FZ178" s="43" t="n">
        <f aca="false">IF(AND(Tasks[[#This Row],[_IsLeaf]]=1,Tasks[[#This Row],[_LeafTotalWork]]&gt;0),MAX(Tasks[[#This Row],[_StartWorkday]],NETWORKDAYS.INTL(ProjectStart,Tasks[[#This Row],[_ShownFcstFinish]],WorkWeek,Holidays)),0)</f>
        <v>0</v>
      </c>
      <c r="GA178" s="43" t="n">
        <f aca="false">IF(AND(Tasks[[#This Row],[_IsLeaf]]=1,Tasks[[#This Row],[_LeafTotalWork]]&gt;0),Tasks[[#This Row],[_LeafWork]]/(Tasks[[#This Row],[_FinishWorkday]]-Tasks[[#This Row],[_StartWorkday]]+1),0)</f>
        <v>0</v>
      </c>
      <c r="GB178" s="43" t="n">
        <f aca="false">Tasks[[#This Row],[_WorkPerWorkday]]*(Tasks[[#This Row],[_StartWorkday]]-1)</f>
        <v>-0</v>
      </c>
      <c r="GC178" s="43" t="n">
        <f aca="false">IF(Tasks[[#This Row],[_IsLeaf]]=1,MAX(N(Tasks[[#This Row],[_Days]]),0.1),0)</f>
        <v>0</v>
      </c>
      <c r="GD178" s="43" t="n">
        <f aca="false">Tasks[[#This Row],[_WeightDur]]*Tasks[[#This Row],[_LeafProgress]]</f>
        <v>0</v>
      </c>
      <c r="GE178" s="43" t="n">
        <f aca="false">Tasks[[#This Row],[_WeightDur]]*Tasks[[#This Row],[_PlannedPct]]</f>
        <v>0</v>
      </c>
      <c r="GF1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3" t="str">
        <f aca="false">IF(AND(Tasks[[#This Row],[_IsLeaf]]=1,N(Tasks[[#This Row],[_Days]])=0,Tasks[[#This Row],[_LeafProgress]]&lt;1),Tasks[[#This Row],[_ShownFcstFinish]]+Tasks[[#This Row],[_Row]]/100000,"")</f>
        <v/>
      </c>
      <c r="GH1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8" s="43" t="str">
        <f aca="false">IF(Tasks[[#This Row],[Task Name]]="","",LEFT(Tasks[[#This Row],[WBS]],FIND(".",Tasks[[#This Row],[WBS]]&amp;".")-1))</f>
        <v/>
      </c>
      <c r="GJ178" s="43" t="str">
        <f aca="false">IF(AND(Tasks[[#This Row],[Task Name]]&lt;&gt;"",Tasks[[#This Row],[_Level]]=1),Tasks[[#This Row],[_Row]],"")</f>
        <v/>
      </c>
      <c r="GK178" s="43" t="str">
        <f aca="false">IF(AND(Tasks[[#This Row],[_IsLeaf]]=1,N(Tasks[[#This Row],[_Days]])=0),Tasks[[#This Row],[Planned Finish]]+Tasks[[#This Row],[_Row]]/100000,"")</f>
        <v/>
      </c>
      <c r="GL178" s="43" t="str">
        <f aca="false">IF(AND(Tasks[[#This Row],[_IsLeaf]]=1,Tasks[[#This Row],[_LeafProgress]]&lt;1,OR(N(Tasks[[#This Row],[Finish Var]])&gt;0,Tasks[[#This Row],[Status]]="Late Start")),MAX(0,Tasks[[#This Row],[Finish Var]])+1-Tasks[[#This Row],[_Row]]/1000000,"")</f>
        <v/>
      </c>
      <c r="GM178" s="43" t="str">
        <f aca="false">IF(AND(Tasks[[#This Row],[_IsLeaf]]=1,N(Tasks[[#This Row],[Actual Start]])=0,Tasks[[#This Row],[_ShownFcstStart]]&gt;=StatusDate,Tasks[[#This Row],[_ShownFcstStart]]&lt;=LookaheadEnd),Tasks[[#This Row],[_ShownFcstStart]]+Tasks[[#This Row],[_Row]]/100000,"")</f>
        <v/>
      </c>
      <c r="GN178" s="43" t="str">
        <f aca="false">IF(AND(Tasks[[#This Row],[_IsLeaf]]=1,Tasks[[#This Row],[_LeafProgress]]&lt;1,Tasks[[#This Row],[_ShownFcstFinish]]&gt;=StatusDate,Tasks[[#This Row],[_ShownFcstFinish]]&lt;=LookaheadEnd),Tasks[[#This Row],[_ShownFcstFinish]]+Tasks[[#This Row],[_Row]]/100000,"")</f>
        <v/>
      </c>
      <c r="GO178" s="43" t="str">
        <f aca="false">IF(Tasks[[#This Row],[_LeafCritical]],Tasks[[#This Row],[_ShownFcstStart]]+Tasks[[#This Row],[_Row]]/100000,"")</f>
        <v/>
      </c>
      <c r="GP178" s="43" t="n">
        <f aca="false">Tasks[[#This Row],[_LeafWork]]*Tasks[[#This Row],[_LeafProgress]]</f>
        <v>0</v>
      </c>
      <c r="GQ178" s="91" t="str">
        <f aca="false">IF(AND(Tasks[[#This Row],[_IsLeaf]]=1,Tasks[[#This Row],[_LeafProgress]]&gt;=1),IF(N(Tasks[[#This Row],[Actual Finish]])&gt;0,Tasks[[#This Row],[Actual Finish]],Tasks[[#This Row],[_ShownFcstFinish]]),"")</f>
        <v/>
      </c>
      <c r="GR178" s="43" t="n">
        <f aca="false">IF(Tasks[[#This Row],[_IsLeaf]]=1,N(Tasks[[#This Row],[Story Points]]),0)</f>
        <v>0</v>
      </c>
      <c r="GS178" s="43" t="str">
        <f aca="false">""</f>
        <v/>
      </c>
      <c r="GT178" s="90" t="b">
        <f aca="false">IF(Tasks[[#This Row],[Task Name]]="",FALSE(),AND(Tasks[[#This Row],[_IsLeaf]]=1,N(Tasks[[#This Row],[_Days]])=0))</f>
        <v>0</v>
      </c>
      <c r="GU178" s="91" t="n">
        <f aca="false">IF(Tasks[[#This Row],[Task Name]]="",0,IF(AND(Tasks[[#This Row],[_IsLeaf]]=1,NOT(Tasks[[#This Row],[_IsMilestone]]),N(Tasks[[#This Row],[Progress]])&gt;0),Tasks[[#This Row],[Start]],0))</f>
        <v>0</v>
      </c>
      <c r="GV178" s="91" t="n">
        <f aca="false">IF(Tasks[[#This Row],[_DoneFrom]]=0,0,IF(Tasks[[#This Row],[Progress]]&gt;=1,Tasks[[#This Row],[Finish]],MAX(Tasks[[#This Row],[_DoneFrom]],Tasks[[#This Row],[Start]]+ROUND((Tasks[[#This Row],[Finish]]-Tasks[[#This Row],[Start]]+1)*Tasks[[#This Row],[Progress]],0)-1)))</f>
        <v>0</v>
      </c>
      <c r="GW178" s="91" t="n">
        <f aca="false">IF(Tasks[[#This Row],[Task Name]]="",0,IF(OR(NOT(Tasks[[#This Row],[_IsLeaf]]=1),Tasks[[#This Row],[_IsMilestone]],N(Tasks[[#This Row],[Progress]])&gt;=1),0,IF(Tasks[[#This Row],[_DoneTo]]&gt;0,Tasks[[#This Row],[_DoneTo]]+1,Tasks[[#This Row],[Start]])))</f>
        <v>0</v>
      </c>
      <c r="GX178" s="91" t="n">
        <f aca="false">IF(Tasks[[#This Row],[_RemFrom]]=0,0,Tasks[[#This Row],[Finish]])</f>
        <v>0</v>
      </c>
      <c r="GY178" s="90" t="b">
        <f aca="false">IF(Tasks[[#This Row],[Task Name]]="",FALSE(),OR(NOT(BaselineSet),N(Tasks[[#This Row],[Baseline Start]])&gt;0))</f>
        <v>0</v>
      </c>
      <c r="GZ17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92" t="str">
        <f aca="false">IF(Tasks[[#This Row],[_IsLeaf]]=1,Tasks[[#This Row],[_Row]],"")</f>
        <v/>
      </c>
      <c r="HD178" s="92" t="str">
        <f aca="false">IFERROR(INDEX(Tasks[UID],SMALL(Tasks[_PickKey],Tasks[[#This Row],[_Row]]))&amp;" "&amp;INDEX(Tasks[Task Name],SMALL(Tasks[_PickKey],Tasks[[#This Row],[_Row]])),"")</f>
        <v/>
      </c>
      <c r="HE178" s="43" t="str">
        <f aca="false">IF(Tasks[[#This Row],[Task Name]]="","",IF(Tasks[[#This Row],[_IsSummary]],NETWORKDAYS.INTL(Tasks[[#This Row],[Start]],Tasks[[#This Row],[Finish]],WorkWeek,Holidays),N(Tasks[[#This Row],[_Days]])))</f>
        <v/>
      </c>
      <c r="HF178" s="43" t="n">
        <f aca="false">IF(Tasks[[#This Row],[Expected]]="",0,((Tasks[[#This Row],[Pessimistic]]-Tasks[[#This Row],[Optimistic]])/6)^2)</f>
        <v>0</v>
      </c>
      <c r="HG178" s="43" t="n">
        <f aca="false">IF(Tasks[[#This Row],[Expected]]="",0,Tasks[[#This Row],[Expected]]-N(Tasks[[#This Row],[_Days]]))</f>
        <v>0</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4"/>
      <c r="U179" s="23"/>
      <c r="V179" s="84"/>
      <c r="W179" s="23"/>
      <c r="X179" s="84"/>
      <c r="Y179" s="23"/>
      <c r="Z179" s="84"/>
      <c r="AA179" s="23"/>
      <c r="AB179" s="23"/>
      <c r="AC179" s="7"/>
      <c r="AD179" s="7"/>
      <c r="AE179" s="63" t="str">
        <f aca="false">IF(Tasks[[#This Row],[Task Name]]="","",IF(Tasks[[#This Row],[_IsSummary]],MIN(INDEX(Tasks[_ShownFcstStart],Tasks[[#This Row],[_Row]]+1):INDEX(Tasks[_ShownFcstStart],Tasks[[#This Row],[_Row]]+Tasks[[#This Row],[_Descendants]])),Tasks[[#This Row],[_ShownFcstStart]]))</f>
        <v/>
      </c>
      <c r="AF179" s="63"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9" s="7"/>
      <c r="AK179" s="22"/>
      <c r="AL179" s="23"/>
      <c r="AM179" s="7"/>
      <c r="AN179" s="47"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3" t="str">
        <f aca="false">IF(Tasks[[#This Row],[Task Name]]="","",IF(N(Tasks[[#This Row],[Baseline Start]])&gt;0,Tasks[[#This Row],[Baseline Start]],Tasks[[#This Row],[_CalcStart]]))</f>
        <v/>
      </c>
      <c r="AR179" s="63" t="str">
        <f aca="false">IF(Tasks[[#This Row],[Task Name]]="","",IF(N(Tasks[[#This Row],[Baseline Finish]])&gt;0,Tasks[[#This Row],[Baseline Finish]],Tasks[[#This Row],[_CalcFinish]]))</f>
        <v/>
      </c>
      <c r="AS179" s="47" t="str">
        <f aca="false">IF(Tasks[[#This Row],[Task Name]]="","",IF(Tasks[[#This Row],[Start]]&gt;=Tasks[[#This Row],[Planned Start]],NETWORKDAYS.INTL(Tasks[[#This Row],[Planned Start]],Tasks[[#This Row],[Start]],WorkWeek,Holidays)-1,1-NETWORKDAYS.INTL(Tasks[[#This Row],[Start]],Tasks[[#This Row],[Planned Start]],WorkWeek,Holidays)))</f>
        <v/>
      </c>
      <c r="AT179" s="63" t="str">
        <f aca="false">IF(Tasks[[#This Row],[Task Name]]="","",IF(Tasks[[#This Row],[_IsSummary]],MIN(INDEX(Tasks[_LeafLateStart],Tasks[[#This Row],[_Row]]+1):INDEX(Tasks[_LeafLateStart],Tasks[[#This Row],[_Row]]+Tasks[[#This Row],[_Descendants]])),Tasks[[#This Row],[_LeafLateStart]]))</f>
        <v/>
      </c>
      <c r="AU179" s="63" t="str">
        <f aca="false">IF(Tasks[[#This Row],[Task Name]]="","",IF(Tasks[[#This Row],[_IsSummary]],MAX(INDEX(Tasks[_LeafLateFinish],Tasks[[#This Row],[_Row]]+1):INDEX(Tasks[_LeafLateFinish],Tasks[[#This Row],[_Row]]+Tasks[[#This Row],[_Descendants]])),Tasks[[#This Row],[_LeafLateFinish]]))</f>
        <v/>
      </c>
      <c r="AV179" s="47"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5"/>
      <c r="BA1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6"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7"/>
      <c r="BJ179" s="22"/>
      <c r="BK179" s="47" t="str">
        <f aca="false">IF(OR(Tasks[[#This Row],[Task Name]]="",Tasks[[#This Row],[Baseline Duration]]=""),"",Tasks[[#This Row],[_SpanDays]]-N(Tasks[[#This Row],[Baseline Duration]]))</f>
        <v/>
      </c>
      <c r="BL179" s="86" t="str">
        <f aca="false">IF(OR(Tasks[[#This Row],[Task Name]]="",Tasks[[#This Row],[Baseline Work]]=""),"",Tasks[[#This Row],[Work]]-N(Tasks[[#This Row],[Baseline Work]]))</f>
        <v/>
      </c>
      <c r="BM179" s="63" t="str">
        <f aca="false">IF(Tasks[[#This Row],[Task Name]]="","",IF(OR(TakeBaseline="Yes",N(Tasks[[#This Row],[Baseline Start]])=0),Tasks[[#This Row],[Start]],Tasks[[#This Row],[Baseline Start]]))</f>
        <v/>
      </c>
      <c r="BN179" s="63" t="str">
        <f aca="false">IF(Tasks[[#This Row],[Task Name]]="","",IF(OR(TakeBaseline="Yes",N(Tasks[[#This Row],[Baseline Finish]])=0),Tasks[[#This Row],[Finish]],Tasks[[#This Row],[Baseline Finish]]))</f>
        <v/>
      </c>
      <c r="BO179" s="21" t="str">
        <f aca="false">IF(Tasks[[#This Row],[Task Name]]="","",IF(OR(TakeBaseline="Yes",N(Tasks[[#This Row],[Baseline Duration]])=0),Tasks[[#This Row],[_SpanDays]],Tasks[[#This Row],[Baseline Duration]]))</f>
        <v/>
      </c>
      <c r="BP179" s="86" t="str">
        <f aca="false">IF(Tasks[[#This Row],[Task Name]]="","",IF(OR(TakeBaseline="Yes",N(Tasks[[#This Row],[Baseline Work]])=0),Tasks[[#This Row],[Work]],Tasks[[#This Row],[Baseline Work]]))</f>
        <v/>
      </c>
      <c r="BQ179" s="7"/>
      <c r="BR179" s="7"/>
      <c r="BS179" s="22"/>
      <c r="BT179" s="88"/>
      <c r="BU179" s="23"/>
      <c r="BV179" s="23"/>
      <c r="BW179" s="23"/>
      <c r="BX179" s="89" t="str">
        <f aca="false">IF(AND(Tasks[[#This Row],[_IsLeaf]]=1,ISNUMBER(Tasks[[#This Row],[Optimistic]]),ISNUMBER(Tasks[[#This Row],[Pessimistic]])),ROUND((Tasks[[#This Row],[Optimistic]]+4*N(Tasks[[#This Row],[_Days]])+Tasks[[#This Row],[Pessimistic]])/6,1),"")</f>
        <v/>
      </c>
      <c r="BY179" s="87"/>
      <c r="BZ179" s="87"/>
      <c r="CA179" s="22"/>
      <c r="CB179" s="43" t="str">
        <f aca="false">IF(Tasks[[#This Row],[Task Name]]="","",MAX(1,N(Tasks[[#This Row],[Level]])))</f>
        <v/>
      </c>
      <c r="CC179" s="43" t="n">
        <f aca="false">ROW()-ROW(Tasks[[#Headers],[ID]])</f>
        <v>174</v>
      </c>
      <c r="CD179" s="43" t="n">
        <f aca="false">IF(OR(Tasks[[#This Row],[Task Name]]="",Tasks[[#This Row],[_Level]]&lt;=1),0,IFERROR(LOOKUP(2,1/(Tasks[[#Headers],[_Level]]:Tasks[[#This Row],[_Level]]=Tasks[[#This Row],[_Level]]-1),ROW(Tasks[[#Headers],[_Level]]:Tasks[[#This Row],[_Level]])),0))</f>
        <v>0</v>
      </c>
      <c r="CE179" s="43" t="n">
        <f aca="false">IFERROR(N(INDEX(Tasks[_Level],Tasks[[#This Row],[_Row]]+1)),0)</f>
        <v>0</v>
      </c>
      <c r="CF179" s="90" t="b">
        <f aca="false">AND(Tasks[[#This Row],[Task Name]]&lt;&gt;"",Tasks[[#This Row],[_NextLevel]]&gt;Tasks[[#This Row],[_Level]])</f>
        <v>0</v>
      </c>
      <c r="CG179" s="43" t="n">
        <f aca="false">IF(Tasks[[#This Row],[_IsSummary]],COUNTIF(Tasks[WBS],Tasks[[#This Row],[WBS]]&amp;".*"),0)</f>
        <v>0</v>
      </c>
      <c r="CH179" s="43" t="n">
        <f aca="false">IF(AND(Tasks[[#This Row],[Task Name]]&lt;&gt;"",NOT(Tasks[[#This Row],[_IsSummary]])),1,0)</f>
        <v>0</v>
      </c>
      <c r="CI179" s="43" t="n">
        <f aca="false">IF(N(Tasks[[#This Row],[_Pred1UID]])=0,0,IFERROR(MATCH(Tasks[[#This Row],[_Pred1UID]],Tasks[UID],0),-1))</f>
        <v>0</v>
      </c>
      <c r="CJ179" s="43" t="n">
        <f aca="false">IF(N(Tasks[[#This Row],[_Pred2UID]])=0,0,IFERROR(MATCH(Tasks[[#This Row],[_Pred2UID]],Tasks[UID],0),-1))</f>
        <v>0</v>
      </c>
      <c r="CK179" s="43" t="n">
        <f aca="false">IF(N(Tasks[[#This Row],[_Pred3UID]])=0,0,IFERROR(MATCH(Tasks[[#This Row],[_Pred3UID]],Tasks[UID],0),-1))</f>
        <v>0</v>
      </c>
      <c r="CL179" s="43" t="n">
        <f aca="false">IF(N(Tasks[[#This Row],[_Pred4UID]])=0,0,IFERROR(MATCH(Tasks[[#This Row],[_Pred4UID]],Tasks[UID],0),-1))</f>
        <v>0</v>
      </c>
      <c r="CM1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9" s="91" t="n">
        <f aca="false">IF(OR(Tasks[[#This Row],[_ConstraintCode]]=2,Tasks[[#This Row],[_ConstraintCode]]=3,Tasks[[#This Row],[_ConstraintCode]]=4,Tasks[[#This Row],[_ConstraintCode]]=6),Tasks[[#This Row],[_ConstraintStart]],0)</f>
        <v>0</v>
      </c>
      <c r="CP179" s="91" t="n">
        <f aca="false">IF(OR(Tasks[[#This Row],[_ConstraintCode]]=2,Tasks[[#This Row],[_ConstraintCode]]=3,Tasks[[#This Row],[_ConstraintCode]]=5,Tasks[[#This Row],[_ConstraintCode]]=7),Tasks[[#This Row],[_ConstraintStart]],2958465)</f>
        <v>2958465</v>
      </c>
      <c r="CQ1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91" t="str">
        <f aca="false">IF(NOT(Tasks[[#This Row],[_IsLeaf]]=1),"",IF(N(Tasks[[#This Row],[_Days]])&lt;=0,Tasks[[#This Row],[_LeafCalcStart]],WORKDAY.INTL(Tasks[[#This Row],[_LeafCalcStart]],Tasks[[#This Row],[_Days]]-1,WorkWeek,Holidays)))</f>
        <v/>
      </c>
      <c r="CS1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3" t="str">
        <f aca="false">IF(Tasks[[#This Row],[_Predecessors]]="","",TRIM(MID(SUBSTITUTE(SUBSTITUTE(SUBSTITUTE(UPPER(Tasks[[#This Row],[_Predecessors]]),";",",")," ",""),",",REPT(" ",99)),1,99)))</f>
        <v/>
      </c>
      <c r="CV179" s="43" t="str">
        <f aca="false">IF(Tasks[[#This Row],[_Pred1Text]]="","",IFERROR(VALUE(LEFT(Tasks[[#This Row],[_Pred1Text]],MIN(FIND("F",Tasks[[#This Row],[_Pred1Text]]&amp;"F"),FIND("S",Tasks[[#This Row],[_Pred1Text]]&amp;"S"),FIND("+",Tasks[[#This Row],[_Pred1Text]]&amp;"+"),FIND("-",Tasks[[#This Row],[_Pred1Text]]&amp;"-"))-1)),""))</f>
        <v/>
      </c>
      <c r="CW1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3" t="str">
        <f aca="false">IF(Tasks[[#This Row],[_Pred1Text]]="","",TRIM(MID(SUBSTITUTE(SUBSTITUTE(SUBSTITUTE(UPPER(Tasks[[#This Row],[_Predecessors]]),";",",")," ",""),",",REPT(" ",99)),100,99)))</f>
        <v/>
      </c>
      <c r="CZ179" s="43" t="str">
        <f aca="false">IF(Tasks[[#This Row],[_Pred2Text]]="","",IFERROR(VALUE(LEFT(Tasks[[#This Row],[_Pred2Text]],MIN(FIND("F",Tasks[[#This Row],[_Pred2Text]]&amp;"F"),FIND("S",Tasks[[#This Row],[_Pred2Text]]&amp;"S"),FIND("+",Tasks[[#This Row],[_Pred2Text]]&amp;"+"),FIND("-",Tasks[[#This Row],[_Pred2Text]]&amp;"-"))-1)),""))</f>
        <v/>
      </c>
      <c r="DA1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3" t="str">
        <f aca="false">IF(Tasks[[#This Row],[_Pred2Text]]="","",TRIM(MID(SUBSTITUTE(SUBSTITUTE(SUBSTITUTE(UPPER(Tasks[[#This Row],[_Predecessors]]),";",",")," ",""),",",REPT(" ",99)),199,99)))</f>
        <v/>
      </c>
      <c r="DD179" s="43" t="str">
        <f aca="false">IF(Tasks[[#This Row],[_Pred3Text]]="","",IFERROR(VALUE(LEFT(Tasks[[#This Row],[_Pred3Text]],MIN(FIND("F",Tasks[[#This Row],[_Pred3Text]]&amp;"F"),FIND("S",Tasks[[#This Row],[_Pred3Text]]&amp;"S"),FIND("+",Tasks[[#This Row],[_Pred3Text]]&amp;"+"),FIND("-",Tasks[[#This Row],[_Pred3Text]]&amp;"-"))-1)),""))</f>
        <v/>
      </c>
      <c r="DE1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3" t="str">
        <f aca="false">IF(Tasks[[#This Row],[_Pred3Text]]="","",TRIM(MID(SUBSTITUTE(SUBSTITUTE(SUBSTITUTE(UPPER(Tasks[[#This Row],[_Predecessors]]),";",",")," ",""),",",REPT(" ",99)),298,99)))</f>
        <v/>
      </c>
      <c r="DH179" s="43" t="str">
        <f aca="false">IF(Tasks[[#This Row],[_Pred4Text]]="","",IFERROR(VALUE(LEFT(Tasks[[#This Row],[_Pred4Text]],MIN(FIND("F",Tasks[[#This Row],[_Pred4Text]]&amp;"F"),FIND("S",Tasks[[#This Row],[_Pred4Text]]&amp;"S"),FIND("+",Tasks[[#This Row],[_Pred4Text]]&amp;"+"),FIND("-",Tasks[[#This Row],[_Pred4Text]]&amp;"-"))-1)),""))</f>
        <v/>
      </c>
      <c r="DI1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3" t="str">
        <f aca="false">IF(OR(Tasks[[#This Row],[Task Name]]="",Tasks[[#This Row],[_Resources]]=""),"",TRIM(MID(SUBSTITUTE(Tasks[[#This Row],[_Resources]],",",REPT(" ",99)),1,99)))</f>
        <v/>
      </c>
      <c r="DL179" s="43" t="str">
        <f aca="false">IF(Tasks[[#This Row],[_Res1Text]]="","",TRIM(MID(SUBSTITUTE(Tasks[[#This Row],[_Resources]],",",REPT(" ",99)),100,99)))</f>
        <v/>
      </c>
      <c r="DM179" s="43" t="str">
        <f aca="false">IF(Tasks[[#This Row],[_Res2Text]]="","",TRIM(MID(SUBSTITUTE(Tasks[[#This Row],[_Resources]],",",REPT(" ",99)),199,99)))</f>
        <v/>
      </c>
      <c r="DN179" s="43" t="str">
        <f aca="false">IF(Tasks[[#This Row],[_Res3Text]]="","",TRIM(MID(SUBSTITUTE(Tasks[[#This Row],[_Resources]],",",REPT(" ",99)),298,99)))</f>
        <v/>
      </c>
      <c r="DO179" s="43" t="n">
        <f aca="false">IF(Tasks[[#This Row],[_Res1Text]]="",0,IFERROR(MATCH(TRIM(LEFT(Tasks[[#This Row],[_Res1Text]],FIND("[",Tasks[[#This Row],[_Res1Text]]&amp;"[")-1)),res_Name,0),IFERROR(MATCH(TRIM(LEFT(Tasks[[#This Row],[_Res1Text]],FIND("[",Tasks[[#This Row],[_Res1Text]]&amp;"[")-1)),res_Initials,0),0)))</f>
        <v>0</v>
      </c>
      <c r="DP179" s="43" t="n">
        <f aca="false">IF(Tasks[[#This Row],[_Res2Text]]="",0,IFERROR(MATCH(TRIM(LEFT(Tasks[[#This Row],[_Res2Text]],FIND("[",Tasks[[#This Row],[_Res2Text]]&amp;"[")-1)),res_Name,0),IFERROR(MATCH(TRIM(LEFT(Tasks[[#This Row],[_Res2Text]],FIND("[",Tasks[[#This Row],[_Res2Text]]&amp;"[")-1)),res_Initials,0),0)))</f>
        <v>0</v>
      </c>
      <c r="DQ179" s="43" t="n">
        <f aca="false">IF(Tasks[[#This Row],[_Res3Text]]="",0,IFERROR(MATCH(TRIM(LEFT(Tasks[[#This Row],[_Res3Text]],FIND("[",Tasks[[#This Row],[_Res3Text]]&amp;"[")-1)),res_Name,0),IFERROR(MATCH(TRIM(LEFT(Tasks[[#This Row],[_Res3Text]],FIND("[",Tasks[[#This Row],[_Res3Text]]&amp;"[")-1)),res_Initials,0),0)))</f>
        <v>0</v>
      </c>
      <c r="DR179" s="43" t="n">
        <f aca="false">IF(Tasks[[#This Row],[_Res4Text]]="",0,IFERROR(MATCH(TRIM(LEFT(Tasks[[#This Row],[_Res4Text]],FIND("[",Tasks[[#This Row],[_Res4Text]]&amp;"[")-1)),res_Name,0),IFERROR(MATCH(TRIM(LEFT(Tasks[[#This Row],[_Res4Text]],FIND("[",Tasks[[#This Row],[_Res4Text]]&amp;"[")-1)),res_Initials,0),0)))</f>
        <v>0</v>
      </c>
      <c r="DS179" s="43" t="str">
        <f aca="false">IF(Tasks[[#This Row],[_Res1Text]]="","",IF(Tasks[[#This Row],[_Res1Row]]&gt;0,INDEX(res_Name,Tasks[[#This Row],[_Res1Row]]),TRIM(LEFT(Tasks[[#This Row],[_Res1Text]],FIND("[",Tasks[[#This Row],[_Res1Text]]&amp;"[")-1))))</f>
        <v/>
      </c>
      <c r="DT1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3" t="n">
        <f aca="false">IF(NOT(Tasks[[#This Row],[_IsLeaf]]=1),0,(Tasks[[#This Row],[_Resource1]]&lt;&gt;"")+(Tasks[[#This Row],[_Res2]]&lt;&gt;"")+(Tasks[[#This Row],[_Res3]]&lt;&gt;"")+(Tasks[[#This Row],[_Res4]]&lt;&gt;""))</f>
        <v>0</v>
      </c>
      <c r="DV179" s="43" t="str">
        <f aca="false">IF(Tasks[[#This Row],[_Res2Text]]="","",IF(Tasks[[#This Row],[_Res2Row]]&gt;0,INDEX(res_Name,Tasks[[#This Row],[_Res2Row]]),TRIM(LEFT(Tasks[[#This Row],[_Res2Text]],FIND("[",Tasks[[#This Row],[_Res2Text]]&amp;"[")-1))))</f>
        <v/>
      </c>
      <c r="DW1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3" t="n">
        <f aca="false">IF(OR(NOT(Tasks[[#This Row],[_IsLeaf]]=1),Tasks[[#This Row],[_Res2Row]]=0),0,N(Tasks[[#This Row],[_Days]])*HoursPerDay*IF(Tasks[[#This Row],[_Res2Units]]="",DefaultUnits,Tasks[[#This Row],[_Res2Units]]))</f>
        <v>0</v>
      </c>
      <c r="DY179" s="43" t="n">
        <f aca="false">IF(AND(AND(Tasks[[#This Row],[_IsLeaf]]=1,Tasks[[#This Row],[_LeafTotalWork]]&gt;0),Tasks[[#This Row],[_Res2Work]]&gt;0),Tasks[[#This Row],[_Res2Work]]/(Tasks[[#This Row],[_FinishWorkday]]-Tasks[[#This Row],[_StartWorkday]]+1),0)</f>
        <v>0</v>
      </c>
      <c r="DZ179" s="43" t="n">
        <f aca="false">Tasks[[#This Row],[_Res2WorkPerWD]]*MAX(0,Tasks[[#This Row],[_StartWorkday]]-1)</f>
        <v>0</v>
      </c>
      <c r="EA179" s="43" t="n">
        <f aca="false">Tasks[[#This Row],[_Res2Work]]*Tasks[[#This Row],[_LeafProgress]]</f>
        <v>0</v>
      </c>
      <c r="EB179" s="43" t="str">
        <f aca="false">IF(Tasks[[#This Row],[_Res3Text]]="","",IF(Tasks[[#This Row],[_Res3Row]]&gt;0,INDEX(res_Name,Tasks[[#This Row],[_Res3Row]]),TRIM(LEFT(Tasks[[#This Row],[_Res3Text]],FIND("[",Tasks[[#This Row],[_Res3Text]]&amp;"[")-1))))</f>
        <v/>
      </c>
      <c r="EC1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3" t="n">
        <f aca="false">IF(OR(NOT(Tasks[[#This Row],[_IsLeaf]]=1),Tasks[[#This Row],[_Res3Row]]=0),0,N(Tasks[[#This Row],[_Days]])*HoursPerDay*IF(Tasks[[#This Row],[_Res3Units]]="",DefaultUnits,Tasks[[#This Row],[_Res3Units]]))</f>
        <v>0</v>
      </c>
      <c r="EE179" s="43" t="n">
        <f aca="false">IF(AND(AND(Tasks[[#This Row],[_IsLeaf]]=1,Tasks[[#This Row],[_LeafTotalWork]]&gt;0),Tasks[[#This Row],[_Res3Work]]&gt;0),Tasks[[#This Row],[_Res3Work]]/(Tasks[[#This Row],[_FinishWorkday]]-Tasks[[#This Row],[_StartWorkday]]+1),0)</f>
        <v>0</v>
      </c>
      <c r="EF179" s="43" t="n">
        <f aca="false">Tasks[[#This Row],[_Res3WorkPerWD]]*MAX(0,Tasks[[#This Row],[_StartWorkday]]-1)</f>
        <v>0</v>
      </c>
      <c r="EG179" s="43" t="n">
        <f aca="false">Tasks[[#This Row],[_Res3Work]]*Tasks[[#This Row],[_LeafProgress]]</f>
        <v>0</v>
      </c>
      <c r="EH179" s="43" t="str">
        <f aca="false">IF(Tasks[[#This Row],[_Res4Text]]="","",IF(Tasks[[#This Row],[_Res4Row]]&gt;0,INDEX(res_Name,Tasks[[#This Row],[_Res4Row]]),TRIM(LEFT(Tasks[[#This Row],[_Res4Text]],FIND("[",Tasks[[#This Row],[_Res4Text]]&amp;"[")-1))))</f>
        <v/>
      </c>
      <c r="EI1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3" t="n">
        <f aca="false">IF(OR(NOT(Tasks[[#This Row],[_IsLeaf]]=1),Tasks[[#This Row],[_Res4Row]]=0),0,N(Tasks[[#This Row],[_Days]])*HoursPerDay*IF(Tasks[[#This Row],[_Res4Units]]="",DefaultUnits,Tasks[[#This Row],[_Res4Units]]))</f>
        <v>0</v>
      </c>
      <c r="EK179" s="43" t="n">
        <f aca="false">IF(AND(AND(Tasks[[#This Row],[_IsLeaf]]=1,Tasks[[#This Row],[_LeafTotalWork]]&gt;0),Tasks[[#This Row],[_Res4Work]]&gt;0),Tasks[[#This Row],[_Res4Work]]/(Tasks[[#This Row],[_FinishWorkday]]-Tasks[[#This Row],[_StartWorkday]]+1),0)</f>
        <v>0</v>
      </c>
      <c r="EL179" s="43" t="n">
        <f aca="false">Tasks[[#This Row],[_Res4WorkPerWD]]*MAX(0,Tasks[[#This Row],[_StartWorkday]]-1)</f>
        <v>0</v>
      </c>
      <c r="EM179" s="43" t="n">
        <f aca="false">Tasks[[#This Row],[_Res4Work]]*Tasks[[#This Row],[_LeafProgress]]</f>
        <v>0</v>
      </c>
      <c r="EN179" s="43" t="n">
        <f aca="false">IF(ISNUMBER(Tasks[[#This Row],[% Complete]]),Tasks[[#This Row],[% Complete]],IF(Tasks[[#This Row],[Stage]]="",0,IFERROR(INDEX(stg_Pct,MATCH(Tasks[[#This Row],[Stage]],stg_Name,0)),0)))</f>
        <v>0</v>
      </c>
      <c r="EO179" s="43" t="n">
        <f aca="false">IF(NOT(Tasks[[#This Row],[_IsLeaf]]=1),0,IF(N(Tasks[[#This Row],[Actual Finish]])&gt;0,1,MIN(1,Tasks[[#This Row],[_Pct]])))</f>
        <v>0</v>
      </c>
      <c r="EP179" s="43" t="n">
        <f aca="false">IF(OR(NOT(Tasks[[#This Row],[_IsLeaf]]=1),Tasks[[#This Row],[_Res1Row]]=0),0,N(Tasks[[#This Row],[_Days]])*HoursPerDay*IF(Tasks[[#This Row],[_Units1]]="",DefaultUnits,Tasks[[#This Row],[_Units1]]))</f>
        <v>0</v>
      </c>
      <c r="EQ179" s="43" t="n">
        <f aca="false">Tasks[[#This Row],[_LeafWork]]+Tasks[[#This Row],[_Res2Work]]+Tasks[[#This Row],[_Res3Work]]+Tasks[[#This Row],[_Res4Work]]</f>
        <v>0</v>
      </c>
      <c r="ER1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3" t="n">
        <f aca="false">IF(NOT(Tasks[[#This Row],[_IsLeaf]]=1),0,MAX(_xlfn.MAXIFS(Tasks[_Row],Tasks[_Pred1UID],Tasks[[#This Row],[UID]]),_xlfn.MAXIFS(Tasks[_Row],Tasks[_Pred2UID],Tasks[[#This Row],[UID]]),_xlfn.MAXIFS(Tasks[_Row],Tasks[_Pred3UID],Tasks[[#This Row],[UID]]),_xlfn.MAXIFS(Tasks[_Row],Tasks[_Pred4UID],Tasks[[#This Row],[UID]])))</f>
        <v>0</v>
      </c>
      <c r="FA1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91" t="str">
        <f aca="false">IF(NOT(Tasks[[#This Row],[_IsLeaf]]=1),"",IF(N(Tasks[[#This Row],[_Days]])&lt;=0,Tasks[[#This Row],[_LeafLateFinish]],WORKDAY.INTL(Tasks[[#This Row],[_LeafLateFinish]],-(Tasks[[#This Row],[_Days]]-1),WorkWeek,Holidays)))</f>
        <v/>
      </c>
      <c r="FD1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9" s="90" t="b">
        <f aca="false">AND(Tasks[[#This Row],[_IsLeaf]]=1,Tasks[[#This Row],[_LeafProgress]]&lt;1,N(Tasks[[#This Row],[_LeafTotalSlack]])&lt;=CriticalSlackDays)</f>
        <v>0</v>
      </c>
      <c r="FF179" s="43" t="n">
        <f aca="false">IF(AND(Tasks[[#This Row],[_IsLeaf]]=1,Tasks[[#This Row],[_ConstraintCode]]=1,Tasks[[#This Row],[Mode]]&lt;&gt;"Manual",N(Tasks[[#This Row],[Actual Start]])=0),MAX(0,N(Tasks[[#This Row],[Free Slack]])),0)</f>
        <v>0</v>
      </c>
      <c r="FG179" s="91" t="str">
        <f aca="false">IF(NOT(Tasks[[#This Row],[_IsLeaf]]=1),"",IF(Tasks[[#This Row],[_AlapShift]]=0,Tasks[[#This Row],[_LeafCalcStart]],WORKDAY.INTL(Tasks[[#This Row],[_LeafCalcStart]],Tasks[[#This Row],[_AlapShift]],WorkWeek,Holidays)))</f>
        <v/>
      </c>
      <c r="FH179" s="91" t="str">
        <f aca="false">IF(NOT(Tasks[[#This Row],[_IsLeaf]]=1),"",IF(Tasks[[#This Row],[_AlapShift]]=0,Tasks[[#This Row],[_LeafCalcFinish]],WORKDAY.INTL(Tasks[[#This Row],[_LeafCalcFinish]],Tasks[[#This Row],[_AlapShift]],WorkWeek,Holidays)))</f>
        <v/>
      </c>
      <c r="FI179" s="91" t="str">
        <f aca="false">IF(NOT(Tasks[[#This Row],[_IsLeaf]]=1),"",IF(Tasks[[#This Row],[_AlapShift]]=0,Tasks[[#This Row],[_LeafFcstStart]],WORKDAY.INTL(Tasks[[#This Row],[_LeafFcstStart]],Tasks[[#This Row],[_AlapShift]],WorkWeek,Holidays)))</f>
        <v/>
      </c>
      <c r="FJ179" s="91" t="str">
        <f aca="false">IF(NOT(Tasks[[#This Row],[_IsLeaf]]=1),"",IF(Tasks[[#This Row],[_AlapShift]]=0,Tasks[[#This Row],[_LeafFcstFinish]],WORKDAY.INTL(Tasks[[#This Row],[_LeafFcstFinish]],Tasks[[#This Row],[_AlapShift]],WorkWeek,Holidays)))</f>
        <v/>
      </c>
      <c r="FK179" s="91" t="str">
        <f aca="false">IF(Tasks[[#This Row],[Task Name]]="","",IF(Tasks[[#This Row],[_IsSummary]],MIN(INDEX(Tasks[_ShownCalcStart],Tasks[[#This Row],[_Row]]+1):INDEX(Tasks[_ShownCalcStart],Tasks[[#This Row],[_Row]]+Tasks[[#This Row],[_Descendants]])),Tasks[[#This Row],[_ShownCalcStart]]))</f>
        <v/>
      </c>
      <c r="FL179" s="91" t="str">
        <f aca="false">IF(Tasks[[#This Row],[Task Name]]="","",IF(Tasks[[#This Row],[_IsSummary]],MAX(INDEX(Tasks[_ShownCalcFinish],Tasks[[#This Row],[_Row]]+1):INDEX(Tasks[_ShownCalcFinish],Tasks[[#This Row],[_Row]]+Tasks[[#This Row],[_Descendants]])),Tasks[[#This Row],[_ShownCalcFinish]]))</f>
        <v/>
      </c>
      <c r="FM1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9" s="43" t="n">
        <f aca="false">IF(AND(Tasks[[#This Row],[_IsLeaf]]=1,Tasks[[#This Row],[_LeafTotalWork]]&gt;0),NETWORKDAYS.INTL(ProjectStart,Tasks[[#This Row],[_ShownFcstStart]],WorkWeek,Holidays),0)</f>
        <v>0</v>
      </c>
      <c r="FZ179" s="43" t="n">
        <f aca="false">IF(AND(Tasks[[#This Row],[_IsLeaf]]=1,Tasks[[#This Row],[_LeafTotalWork]]&gt;0),MAX(Tasks[[#This Row],[_StartWorkday]],NETWORKDAYS.INTL(ProjectStart,Tasks[[#This Row],[_ShownFcstFinish]],WorkWeek,Holidays)),0)</f>
        <v>0</v>
      </c>
      <c r="GA179" s="43" t="n">
        <f aca="false">IF(AND(Tasks[[#This Row],[_IsLeaf]]=1,Tasks[[#This Row],[_LeafTotalWork]]&gt;0),Tasks[[#This Row],[_LeafWork]]/(Tasks[[#This Row],[_FinishWorkday]]-Tasks[[#This Row],[_StartWorkday]]+1),0)</f>
        <v>0</v>
      </c>
      <c r="GB179" s="43" t="n">
        <f aca="false">Tasks[[#This Row],[_WorkPerWorkday]]*(Tasks[[#This Row],[_StartWorkday]]-1)</f>
        <v>-0</v>
      </c>
      <c r="GC179" s="43" t="n">
        <f aca="false">IF(Tasks[[#This Row],[_IsLeaf]]=1,MAX(N(Tasks[[#This Row],[_Days]]),0.1),0)</f>
        <v>0</v>
      </c>
      <c r="GD179" s="43" t="n">
        <f aca="false">Tasks[[#This Row],[_WeightDur]]*Tasks[[#This Row],[_LeafProgress]]</f>
        <v>0</v>
      </c>
      <c r="GE179" s="43" t="n">
        <f aca="false">Tasks[[#This Row],[_WeightDur]]*Tasks[[#This Row],[_PlannedPct]]</f>
        <v>0</v>
      </c>
      <c r="GF1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3" t="str">
        <f aca="false">IF(AND(Tasks[[#This Row],[_IsLeaf]]=1,N(Tasks[[#This Row],[_Days]])=0,Tasks[[#This Row],[_LeafProgress]]&lt;1),Tasks[[#This Row],[_ShownFcstFinish]]+Tasks[[#This Row],[_Row]]/100000,"")</f>
        <v/>
      </c>
      <c r="GH1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9" s="43" t="str">
        <f aca="false">IF(Tasks[[#This Row],[Task Name]]="","",LEFT(Tasks[[#This Row],[WBS]],FIND(".",Tasks[[#This Row],[WBS]]&amp;".")-1))</f>
        <v/>
      </c>
      <c r="GJ179" s="43" t="str">
        <f aca="false">IF(AND(Tasks[[#This Row],[Task Name]]&lt;&gt;"",Tasks[[#This Row],[_Level]]=1),Tasks[[#This Row],[_Row]],"")</f>
        <v/>
      </c>
      <c r="GK179" s="43" t="str">
        <f aca="false">IF(AND(Tasks[[#This Row],[_IsLeaf]]=1,N(Tasks[[#This Row],[_Days]])=0),Tasks[[#This Row],[Planned Finish]]+Tasks[[#This Row],[_Row]]/100000,"")</f>
        <v/>
      </c>
      <c r="GL179" s="43" t="str">
        <f aca="false">IF(AND(Tasks[[#This Row],[_IsLeaf]]=1,Tasks[[#This Row],[_LeafProgress]]&lt;1,OR(N(Tasks[[#This Row],[Finish Var]])&gt;0,Tasks[[#This Row],[Status]]="Late Start")),MAX(0,Tasks[[#This Row],[Finish Var]])+1-Tasks[[#This Row],[_Row]]/1000000,"")</f>
        <v/>
      </c>
      <c r="GM179" s="43" t="str">
        <f aca="false">IF(AND(Tasks[[#This Row],[_IsLeaf]]=1,N(Tasks[[#This Row],[Actual Start]])=0,Tasks[[#This Row],[_ShownFcstStart]]&gt;=StatusDate,Tasks[[#This Row],[_ShownFcstStart]]&lt;=LookaheadEnd),Tasks[[#This Row],[_ShownFcstStart]]+Tasks[[#This Row],[_Row]]/100000,"")</f>
        <v/>
      </c>
      <c r="GN179" s="43" t="str">
        <f aca="false">IF(AND(Tasks[[#This Row],[_IsLeaf]]=1,Tasks[[#This Row],[_LeafProgress]]&lt;1,Tasks[[#This Row],[_ShownFcstFinish]]&gt;=StatusDate,Tasks[[#This Row],[_ShownFcstFinish]]&lt;=LookaheadEnd),Tasks[[#This Row],[_ShownFcstFinish]]+Tasks[[#This Row],[_Row]]/100000,"")</f>
        <v/>
      </c>
      <c r="GO179" s="43" t="str">
        <f aca="false">IF(Tasks[[#This Row],[_LeafCritical]],Tasks[[#This Row],[_ShownFcstStart]]+Tasks[[#This Row],[_Row]]/100000,"")</f>
        <v/>
      </c>
      <c r="GP179" s="43" t="n">
        <f aca="false">Tasks[[#This Row],[_LeafWork]]*Tasks[[#This Row],[_LeafProgress]]</f>
        <v>0</v>
      </c>
      <c r="GQ179" s="91" t="str">
        <f aca="false">IF(AND(Tasks[[#This Row],[_IsLeaf]]=1,Tasks[[#This Row],[_LeafProgress]]&gt;=1),IF(N(Tasks[[#This Row],[Actual Finish]])&gt;0,Tasks[[#This Row],[Actual Finish]],Tasks[[#This Row],[_ShownFcstFinish]]),"")</f>
        <v/>
      </c>
      <c r="GR179" s="43" t="n">
        <f aca="false">IF(Tasks[[#This Row],[_IsLeaf]]=1,N(Tasks[[#This Row],[Story Points]]),0)</f>
        <v>0</v>
      </c>
      <c r="GS179" s="43" t="str">
        <f aca="false">""</f>
        <v/>
      </c>
      <c r="GT179" s="90" t="b">
        <f aca="false">IF(Tasks[[#This Row],[Task Name]]="",FALSE(),AND(Tasks[[#This Row],[_IsLeaf]]=1,N(Tasks[[#This Row],[_Days]])=0))</f>
        <v>0</v>
      </c>
      <c r="GU179" s="91" t="n">
        <f aca="false">IF(Tasks[[#This Row],[Task Name]]="",0,IF(AND(Tasks[[#This Row],[_IsLeaf]]=1,NOT(Tasks[[#This Row],[_IsMilestone]]),N(Tasks[[#This Row],[Progress]])&gt;0),Tasks[[#This Row],[Start]],0))</f>
        <v>0</v>
      </c>
      <c r="GV179" s="91" t="n">
        <f aca="false">IF(Tasks[[#This Row],[_DoneFrom]]=0,0,IF(Tasks[[#This Row],[Progress]]&gt;=1,Tasks[[#This Row],[Finish]],MAX(Tasks[[#This Row],[_DoneFrom]],Tasks[[#This Row],[Start]]+ROUND((Tasks[[#This Row],[Finish]]-Tasks[[#This Row],[Start]]+1)*Tasks[[#This Row],[Progress]],0)-1)))</f>
        <v>0</v>
      </c>
      <c r="GW179" s="91" t="n">
        <f aca="false">IF(Tasks[[#This Row],[Task Name]]="",0,IF(OR(NOT(Tasks[[#This Row],[_IsLeaf]]=1),Tasks[[#This Row],[_IsMilestone]],N(Tasks[[#This Row],[Progress]])&gt;=1),0,IF(Tasks[[#This Row],[_DoneTo]]&gt;0,Tasks[[#This Row],[_DoneTo]]+1,Tasks[[#This Row],[Start]])))</f>
        <v>0</v>
      </c>
      <c r="GX179" s="91" t="n">
        <f aca="false">IF(Tasks[[#This Row],[_RemFrom]]=0,0,Tasks[[#This Row],[Finish]])</f>
        <v>0</v>
      </c>
      <c r="GY179" s="90" t="b">
        <f aca="false">IF(Tasks[[#This Row],[Task Name]]="",FALSE(),OR(NOT(BaselineSet),N(Tasks[[#This Row],[Baseline Start]])&gt;0))</f>
        <v>0</v>
      </c>
      <c r="GZ17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92" t="str">
        <f aca="false">IF(Tasks[[#This Row],[_IsLeaf]]=1,Tasks[[#This Row],[_Row]],"")</f>
        <v/>
      </c>
      <c r="HD179" s="92" t="str">
        <f aca="false">IFERROR(INDEX(Tasks[UID],SMALL(Tasks[_PickKey],Tasks[[#This Row],[_Row]]))&amp;" "&amp;INDEX(Tasks[Task Name],SMALL(Tasks[_PickKey],Tasks[[#This Row],[_Row]])),"")</f>
        <v/>
      </c>
      <c r="HE179" s="43" t="str">
        <f aca="false">IF(Tasks[[#This Row],[Task Name]]="","",IF(Tasks[[#This Row],[_IsSummary]],NETWORKDAYS.INTL(Tasks[[#This Row],[Start]],Tasks[[#This Row],[Finish]],WorkWeek,Holidays),N(Tasks[[#This Row],[_Days]])))</f>
        <v/>
      </c>
      <c r="HF179" s="43" t="n">
        <f aca="false">IF(Tasks[[#This Row],[Expected]]="",0,((Tasks[[#This Row],[Pessimistic]]-Tasks[[#This Row],[Optimistic]])/6)^2)</f>
        <v>0</v>
      </c>
      <c r="HG179" s="43" t="n">
        <f aca="false">IF(Tasks[[#This Row],[Expected]]="",0,Tasks[[#This Row],[Expected]]-N(Tasks[[#This Row],[_Days]]))</f>
        <v>0</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4"/>
      <c r="U180" s="23"/>
      <c r="V180" s="84"/>
      <c r="W180" s="23"/>
      <c r="X180" s="84"/>
      <c r="Y180" s="23"/>
      <c r="Z180" s="84"/>
      <c r="AA180" s="23"/>
      <c r="AB180" s="23"/>
      <c r="AC180" s="7"/>
      <c r="AD180" s="7"/>
      <c r="AE180" s="63" t="str">
        <f aca="false">IF(Tasks[[#This Row],[Task Name]]="","",IF(Tasks[[#This Row],[_IsSummary]],MIN(INDEX(Tasks[_ShownFcstStart],Tasks[[#This Row],[_Row]]+1):INDEX(Tasks[_ShownFcstStart],Tasks[[#This Row],[_Row]]+Tasks[[#This Row],[_Descendants]])),Tasks[[#This Row],[_ShownFcstStart]]))</f>
        <v/>
      </c>
      <c r="AF180" s="63"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0" s="7"/>
      <c r="AK180" s="22"/>
      <c r="AL180" s="23"/>
      <c r="AM180" s="7"/>
      <c r="AN180" s="47"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3" t="str">
        <f aca="false">IF(Tasks[[#This Row],[Task Name]]="","",IF(N(Tasks[[#This Row],[Baseline Start]])&gt;0,Tasks[[#This Row],[Baseline Start]],Tasks[[#This Row],[_CalcStart]]))</f>
        <v/>
      </c>
      <c r="AR180" s="63" t="str">
        <f aca="false">IF(Tasks[[#This Row],[Task Name]]="","",IF(N(Tasks[[#This Row],[Baseline Finish]])&gt;0,Tasks[[#This Row],[Baseline Finish]],Tasks[[#This Row],[_CalcFinish]]))</f>
        <v/>
      </c>
      <c r="AS180" s="47" t="str">
        <f aca="false">IF(Tasks[[#This Row],[Task Name]]="","",IF(Tasks[[#This Row],[Start]]&gt;=Tasks[[#This Row],[Planned Start]],NETWORKDAYS.INTL(Tasks[[#This Row],[Planned Start]],Tasks[[#This Row],[Start]],WorkWeek,Holidays)-1,1-NETWORKDAYS.INTL(Tasks[[#This Row],[Start]],Tasks[[#This Row],[Planned Start]],WorkWeek,Holidays)))</f>
        <v/>
      </c>
      <c r="AT180" s="63" t="str">
        <f aca="false">IF(Tasks[[#This Row],[Task Name]]="","",IF(Tasks[[#This Row],[_IsSummary]],MIN(INDEX(Tasks[_LeafLateStart],Tasks[[#This Row],[_Row]]+1):INDEX(Tasks[_LeafLateStart],Tasks[[#This Row],[_Row]]+Tasks[[#This Row],[_Descendants]])),Tasks[[#This Row],[_LeafLateStart]]))</f>
        <v/>
      </c>
      <c r="AU180" s="63" t="str">
        <f aca="false">IF(Tasks[[#This Row],[Task Name]]="","",IF(Tasks[[#This Row],[_IsSummary]],MAX(INDEX(Tasks[_LeafLateFinish],Tasks[[#This Row],[_Row]]+1):INDEX(Tasks[_LeafLateFinish],Tasks[[#This Row],[_Row]]+Tasks[[#This Row],[_Descendants]])),Tasks[[#This Row],[_LeafLateFinish]]))</f>
        <v/>
      </c>
      <c r="AV180" s="47"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5"/>
      <c r="BA1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6"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7"/>
      <c r="BJ180" s="22"/>
      <c r="BK180" s="47" t="str">
        <f aca="false">IF(OR(Tasks[[#This Row],[Task Name]]="",Tasks[[#This Row],[Baseline Duration]]=""),"",Tasks[[#This Row],[_SpanDays]]-N(Tasks[[#This Row],[Baseline Duration]]))</f>
        <v/>
      </c>
      <c r="BL180" s="86" t="str">
        <f aca="false">IF(OR(Tasks[[#This Row],[Task Name]]="",Tasks[[#This Row],[Baseline Work]]=""),"",Tasks[[#This Row],[Work]]-N(Tasks[[#This Row],[Baseline Work]]))</f>
        <v/>
      </c>
      <c r="BM180" s="63" t="str">
        <f aca="false">IF(Tasks[[#This Row],[Task Name]]="","",IF(OR(TakeBaseline="Yes",N(Tasks[[#This Row],[Baseline Start]])=0),Tasks[[#This Row],[Start]],Tasks[[#This Row],[Baseline Start]]))</f>
        <v/>
      </c>
      <c r="BN180" s="63" t="str">
        <f aca="false">IF(Tasks[[#This Row],[Task Name]]="","",IF(OR(TakeBaseline="Yes",N(Tasks[[#This Row],[Baseline Finish]])=0),Tasks[[#This Row],[Finish]],Tasks[[#This Row],[Baseline Finish]]))</f>
        <v/>
      </c>
      <c r="BO180" s="21" t="str">
        <f aca="false">IF(Tasks[[#This Row],[Task Name]]="","",IF(OR(TakeBaseline="Yes",N(Tasks[[#This Row],[Baseline Duration]])=0),Tasks[[#This Row],[_SpanDays]],Tasks[[#This Row],[Baseline Duration]]))</f>
        <v/>
      </c>
      <c r="BP180" s="86" t="str">
        <f aca="false">IF(Tasks[[#This Row],[Task Name]]="","",IF(OR(TakeBaseline="Yes",N(Tasks[[#This Row],[Baseline Work]])=0),Tasks[[#This Row],[Work]],Tasks[[#This Row],[Baseline Work]]))</f>
        <v/>
      </c>
      <c r="BQ180" s="7"/>
      <c r="BR180" s="7"/>
      <c r="BS180" s="22"/>
      <c r="BT180" s="88"/>
      <c r="BU180" s="23"/>
      <c r="BV180" s="23"/>
      <c r="BW180" s="23"/>
      <c r="BX180" s="89" t="str">
        <f aca="false">IF(AND(Tasks[[#This Row],[_IsLeaf]]=1,ISNUMBER(Tasks[[#This Row],[Optimistic]]),ISNUMBER(Tasks[[#This Row],[Pessimistic]])),ROUND((Tasks[[#This Row],[Optimistic]]+4*N(Tasks[[#This Row],[_Days]])+Tasks[[#This Row],[Pessimistic]])/6,1),"")</f>
        <v/>
      </c>
      <c r="BY180" s="87"/>
      <c r="BZ180" s="87"/>
      <c r="CA180" s="22"/>
      <c r="CB180" s="43" t="str">
        <f aca="false">IF(Tasks[[#This Row],[Task Name]]="","",MAX(1,N(Tasks[[#This Row],[Level]])))</f>
        <v/>
      </c>
      <c r="CC180" s="43" t="n">
        <f aca="false">ROW()-ROW(Tasks[[#Headers],[ID]])</f>
        <v>175</v>
      </c>
      <c r="CD180" s="43" t="n">
        <f aca="false">IF(OR(Tasks[[#This Row],[Task Name]]="",Tasks[[#This Row],[_Level]]&lt;=1),0,IFERROR(LOOKUP(2,1/(Tasks[[#Headers],[_Level]]:Tasks[[#This Row],[_Level]]=Tasks[[#This Row],[_Level]]-1),ROW(Tasks[[#Headers],[_Level]]:Tasks[[#This Row],[_Level]])),0))</f>
        <v>0</v>
      </c>
      <c r="CE180" s="43" t="n">
        <f aca="false">IFERROR(N(INDEX(Tasks[_Level],Tasks[[#This Row],[_Row]]+1)),0)</f>
        <v>0</v>
      </c>
      <c r="CF180" s="90" t="b">
        <f aca="false">AND(Tasks[[#This Row],[Task Name]]&lt;&gt;"",Tasks[[#This Row],[_NextLevel]]&gt;Tasks[[#This Row],[_Level]])</f>
        <v>0</v>
      </c>
      <c r="CG180" s="43" t="n">
        <f aca="false">IF(Tasks[[#This Row],[_IsSummary]],COUNTIF(Tasks[WBS],Tasks[[#This Row],[WBS]]&amp;".*"),0)</f>
        <v>0</v>
      </c>
      <c r="CH180" s="43" t="n">
        <f aca="false">IF(AND(Tasks[[#This Row],[Task Name]]&lt;&gt;"",NOT(Tasks[[#This Row],[_IsSummary]])),1,0)</f>
        <v>0</v>
      </c>
      <c r="CI180" s="43" t="n">
        <f aca="false">IF(N(Tasks[[#This Row],[_Pred1UID]])=0,0,IFERROR(MATCH(Tasks[[#This Row],[_Pred1UID]],Tasks[UID],0),-1))</f>
        <v>0</v>
      </c>
      <c r="CJ180" s="43" t="n">
        <f aca="false">IF(N(Tasks[[#This Row],[_Pred2UID]])=0,0,IFERROR(MATCH(Tasks[[#This Row],[_Pred2UID]],Tasks[UID],0),-1))</f>
        <v>0</v>
      </c>
      <c r="CK180" s="43" t="n">
        <f aca="false">IF(N(Tasks[[#This Row],[_Pred3UID]])=0,0,IFERROR(MATCH(Tasks[[#This Row],[_Pred3UID]],Tasks[UID],0),-1))</f>
        <v>0</v>
      </c>
      <c r="CL180" s="43" t="n">
        <f aca="false">IF(N(Tasks[[#This Row],[_Pred4UID]])=0,0,IFERROR(MATCH(Tasks[[#This Row],[_Pred4UID]],Tasks[UID],0),-1))</f>
        <v>0</v>
      </c>
      <c r="CM1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0" s="91" t="n">
        <f aca="false">IF(OR(Tasks[[#This Row],[_ConstraintCode]]=2,Tasks[[#This Row],[_ConstraintCode]]=3,Tasks[[#This Row],[_ConstraintCode]]=4,Tasks[[#This Row],[_ConstraintCode]]=6),Tasks[[#This Row],[_ConstraintStart]],0)</f>
        <v>0</v>
      </c>
      <c r="CP180" s="91" t="n">
        <f aca="false">IF(OR(Tasks[[#This Row],[_ConstraintCode]]=2,Tasks[[#This Row],[_ConstraintCode]]=3,Tasks[[#This Row],[_ConstraintCode]]=5,Tasks[[#This Row],[_ConstraintCode]]=7),Tasks[[#This Row],[_ConstraintStart]],2958465)</f>
        <v>2958465</v>
      </c>
      <c r="CQ1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91" t="str">
        <f aca="false">IF(NOT(Tasks[[#This Row],[_IsLeaf]]=1),"",IF(N(Tasks[[#This Row],[_Days]])&lt;=0,Tasks[[#This Row],[_LeafCalcStart]],WORKDAY.INTL(Tasks[[#This Row],[_LeafCalcStart]],Tasks[[#This Row],[_Days]]-1,WorkWeek,Holidays)))</f>
        <v/>
      </c>
      <c r="CS1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3" t="str">
        <f aca="false">IF(Tasks[[#This Row],[_Predecessors]]="","",TRIM(MID(SUBSTITUTE(SUBSTITUTE(SUBSTITUTE(UPPER(Tasks[[#This Row],[_Predecessors]]),";",",")," ",""),",",REPT(" ",99)),1,99)))</f>
        <v/>
      </c>
      <c r="CV180" s="43" t="str">
        <f aca="false">IF(Tasks[[#This Row],[_Pred1Text]]="","",IFERROR(VALUE(LEFT(Tasks[[#This Row],[_Pred1Text]],MIN(FIND("F",Tasks[[#This Row],[_Pred1Text]]&amp;"F"),FIND("S",Tasks[[#This Row],[_Pred1Text]]&amp;"S"),FIND("+",Tasks[[#This Row],[_Pred1Text]]&amp;"+"),FIND("-",Tasks[[#This Row],[_Pred1Text]]&amp;"-"))-1)),""))</f>
        <v/>
      </c>
      <c r="CW1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3" t="str">
        <f aca="false">IF(Tasks[[#This Row],[_Pred1Text]]="","",TRIM(MID(SUBSTITUTE(SUBSTITUTE(SUBSTITUTE(UPPER(Tasks[[#This Row],[_Predecessors]]),";",",")," ",""),",",REPT(" ",99)),100,99)))</f>
        <v/>
      </c>
      <c r="CZ180" s="43" t="str">
        <f aca="false">IF(Tasks[[#This Row],[_Pred2Text]]="","",IFERROR(VALUE(LEFT(Tasks[[#This Row],[_Pred2Text]],MIN(FIND("F",Tasks[[#This Row],[_Pred2Text]]&amp;"F"),FIND("S",Tasks[[#This Row],[_Pred2Text]]&amp;"S"),FIND("+",Tasks[[#This Row],[_Pred2Text]]&amp;"+"),FIND("-",Tasks[[#This Row],[_Pred2Text]]&amp;"-"))-1)),""))</f>
        <v/>
      </c>
      <c r="DA1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3" t="str">
        <f aca="false">IF(Tasks[[#This Row],[_Pred2Text]]="","",TRIM(MID(SUBSTITUTE(SUBSTITUTE(SUBSTITUTE(UPPER(Tasks[[#This Row],[_Predecessors]]),";",",")," ",""),",",REPT(" ",99)),199,99)))</f>
        <v/>
      </c>
      <c r="DD180" s="43" t="str">
        <f aca="false">IF(Tasks[[#This Row],[_Pred3Text]]="","",IFERROR(VALUE(LEFT(Tasks[[#This Row],[_Pred3Text]],MIN(FIND("F",Tasks[[#This Row],[_Pred3Text]]&amp;"F"),FIND("S",Tasks[[#This Row],[_Pred3Text]]&amp;"S"),FIND("+",Tasks[[#This Row],[_Pred3Text]]&amp;"+"),FIND("-",Tasks[[#This Row],[_Pred3Text]]&amp;"-"))-1)),""))</f>
        <v/>
      </c>
      <c r="DE1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3" t="str">
        <f aca="false">IF(Tasks[[#This Row],[_Pred3Text]]="","",TRIM(MID(SUBSTITUTE(SUBSTITUTE(SUBSTITUTE(UPPER(Tasks[[#This Row],[_Predecessors]]),";",",")," ",""),",",REPT(" ",99)),298,99)))</f>
        <v/>
      </c>
      <c r="DH180" s="43" t="str">
        <f aca="false">IF(Tasks[[#This Row],[_Pred4Text]]="","",IFERROR(VALUE(LEFT(Tasks[[#This Row],[_Pred4Text]],MIN(FIND("F",Tasks[[#This Row],[_Pred4Text]]&amp;"F"),FIND("S",Tasks[[#This Row],[_Pred4Text]]&amp;"S"),FIND("+",Tasks[[#This Row],[_Pred4Text]]&amp;"+"),FIND("-",Tasks[[#This Row],[_Pred4Text]]&amp;"-"))-1)),""))</f>
        <v/>
      </c>
      <c r="DI1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3" t="str">
        <f aca="false">IF(OR(Tasks[[#This Row],[Task Name]]="",Tasks[[#This Row],[_Resources]]=""),"",TRIM(MID(SUBSTITUTE(Tasks[[#This Row],[_Resources]],",",REPT(" ",99)),1,99)))</f>
        <v/>
      </c>
      <c r="DL180" s="43" t="str">
        <f aca="false">IF(Tasks[[#This Row],[_Res1Text]]="","",TRIM(MID(SUBSTITUTE(Tasks[[#This Row],[_Resources]],",",REPT(" ",99)),100,99)))</f>
        <v/>
      </c>
      <c r="DM180" s="43" t="str">
        <f aca="false">IF(Tasks[[#This Row],[_Res2Text]]="","",TRIM(MID(SUBSTITUTE(Tasks[[#This Row],[_Resources]],",",REPT(" ",99)),199,99)))</f>
        <v/>
      </c>
      <c r="DN180" s="43" t="str">
        <f aca="false">IF(Tasks[[#This Row],[_Res3Text]]="","",TRIM(MID(SUBSTITUTE(Tasks[[#This Row],[_Resources]],",",REPT(" ",99)),298,99)))</f>
        <v/>
      </c>
      <c r="DO180" s="43" t="n">
        <f aca="false">IF(Tasks[[#This Row],[_Res1Text]]="",0,IFERROR(MATCH(TRIM(LEFT(Tasks[[#This Row],[_Res1Text]],FIND("[",Tasks[[#This Row],[_Res1Text]]&amp;"[")-1)),res_Name,0),IFERROR(MATCH(TRIM(LEFT(Tasks[[#This Row],[_Res1Text]],FIND("[",Tasks[[#This Row],[_Res1Text]]&amp;"[")-1)),res_Initials,0),0)))</f>
        <v>0</v>
      </c>
      <c r="DP180" s="43" t="n">
        <f aca="false">IF(Tasks[[#This Row],[_Res2Text]]="",0,IFERROR(MATCH(TRIM(LEFT(Tasks[[#This Row],[_Res2Text]],FIND("[",Tasks[[#This Row],[_Res2Text]]&amp;"[")-1)),res_Name,0),IFERROR(MATCH(TRIM(LEFT(Tasks[[#This Row],[_Res2Text]],FIND("[",Tasks[[#This Row],[_Res2Text]]&amp;"[")-1)),res_Initials,0),0)))</f>
        <v>0</v>
      </c>
      <c r="DQ180" s="43" t="n">
        <f aca="false">IF(Tasks[[#This Row],[_Res3Text]]="",0,IFERROR(MATCH(TRIM(LEFT(Tasks[[#This Row],[_Res3Text]],FIND("[",Tasks[[#This Row],[_Res3Text]]&amp;"[")-1)),res_Name,0),IFERROR(MATCH(TRIM(LEFT(Tasks[[#This Row],[_Res3Text]],FIND("[",Tasks[[#This Row],[_Res3Text]]&amp;"[")-1)),res_Initials,0),0)))</f>
        <v>0</v>
      </c>
      <c r="DR180" s="43" t="n">
        <f aca="false">IF(Tasks[[#This Row],[_Res4Text]]="",0,IFERROR(MATCH(TRIM(LEFT(Tasks[[#This Row],[_Res4Text]],FIND("[",Tasks[[#This Row],[_Res4Text]]&amp;"[")-1)),res_Name,0),IFERROR(MATCH(TRIM(LEFT(Tasks[[#This Row],[_Res4Text]],FIND("[",Tasks[[#This Row],[_Res4Text]]&amp;"[")-1)),res_Initials,0),0)))</f>
        <v>0</v>
      </c>
      <c r="DS180" s="43" t="str">
        <f aca="false">IF(Tasks[[#This Row],[_Res1Text]]="","",IF(Tasks[[#This Row],[_Res1Row]]&gt;0,INDEX(res_Name,Tasks[[#This Row],[_Res1Row]]),TRIM(LEFT(Tasks[[#This Row],[_Res1Text]],FIND("[",Tasks[[#This Row],[_Res1Text]]&amp;"[")-1))))</f>
        <v/>
      </c>
      <c r="DT1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3" t="n">
        <f aca="false">IF(NOT(Tasks[[#This Row],[_IsLeaf]]=1),0,(Tasks[[#This Row],[_Resource1]]&lt;&gt;"")+(Tasks[[#This Row],[_Res2]]&lt;&gt;"")+(Tasks[[#This Row],[_Res3]]&lt;&gt;"")+(Tasks[[#This Row],[_Res4]]&lt;&gt;""))</f>
        <v>0</v>
      </c>
      <c r="DV180" s="43" t="str">
        <f aca="false">IF(Tasks[[#This Row],[_Res2Text]]="","",IF(Tasks[[#This Row],[_Res2Row]]&gt;0,INDEX(res_Name,Tasks[[#This Row],[_Res2Row]]),TRIM(LEFT(Tasks[[#This Row],[_Res2Text]],FIND("[",Tasks[[#This Row],[_Res2Text]]&amp;"[")-1))))</f>
        <v/>
      </c>
      <c r="DW1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3" t="n">
        <f aca="false">IF(OR(NOT(Tasks[[#This Row],[_IsLeaf]]=1),Tasks[[#This Row],[_Res2Row]]=0),0,N(Tasks[[#This Row],[_Days]])*HoursPerDay*IF(Tasks[[#This Row],[_Res2Units]]="",DefaultUnits,Tasks[[#This Row],[_Res2Units]]))</f>
        <v>0</v>
      </c>
      <c r="DY180" s="43" t="n">
        <f aca="false">IF(AND(AND(Tasks[[#This Row],[_IsLeaf]]=1,Tasks[[#This Row],[_LeafTotalWork]]&gt;0),Tasks[[#This Row],[_Res2Work]]&gt;0),Tasks[[#This Row],[_Res2Work]]/(Tasks[[#This Row],[_FinishWorkday]]-Tasks[[#This Row],[_StartWorkday]]+1),0)</f>
        <v>0</v>
      </c>
      <c r="DZ180" s="43" t="n">
        <f aca="false">Tasks[[#This Row],[_Res2WorkPerWD]]*MAX(0,Tasks[[#This Row],[_StartWorkday]]-1)</f>
        <v>0</v>
      </c>
      <c r="EA180" s="43" t="n">
        <f aca="false">Tasks[[#This Row],[_Res2Work]]*Tasks[[#This Row],[_LeafProgress]]</f>
        <v>0</v>
      </c>
      <c r="EB180" s="43" t="str">
        <f aca="false">IF(Tasks[[#This Row],[_Res3Text]]="","",IF(Tasks[[#This Row],[_Res3Row]]&gt;0,INDEX(res_Name,Tasks[[#This Row],[_Res3Row]]),TRIM(LEFT(Tasks[[#This Row],[_Res3Text]],FIND("[",Tasks[[#This Row],[_Res3Text]]&amp;"[")-1))))</f>
        <v/>
      </c>
      <c r="EC1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3" t="n">
        <f aca="false">IF(OR(NOT(Tasks[[#This Row],[_IsLeaf]]=1),Tasks[[#This Row],[_Res3Row]]=0),0,N(Tasks[[#This Row],[_Days]])*HoursPerDay*IF(Tasks[[#This Row],[_Res3Units]]="",DefaultUnits,Tasks[[#This Row],[_Res3Units]]))</f>
        <v>0</v>
      </c>
      <c r="EE180" s="43" t="n">
        <f aca="false">IF(AND(AND(Tasks[[#This Row],[_IsLeaf]]=1,Tasks[[#This Row],[_LeafTotalWork]]&gt;0),Tasks[[#This Row],[_Res3Work]]&gt;0),Tasks[[#This Row],[_Res3Work]]/(Tasks[[#This Row],[_FinishWorkday]]-Tasks[[#This Row],[_StartWorkday]]+1),0)</f>
        <v>0</v>
      </c>
      <c r="EF180" s="43" t="n">
        <f aca="false">Tasks[[#This Row],[_Res3WorkPerWD]]*MAX(0,Tasks[[#This Row],[_StartWorkday]]-1)</f>
        <v>0</v>
      </c>
      <c r="EG180" s="43" t="n">
        <f aca="false">Tasks[[#This Row],[_Res3Work]]*Tasks[[#This Row],[_LeafProgress]]</f>
        <v>0</v>
      </c>
      <c r="EH180" s="43" t="str">
        <f aca="false">IF(Tasks[[#This Row],[_Res4Text]]="","",IF(Tasks[[#This Row],[_Res4Row]]&gt;0,INDEX(res_Name,Tasks[[#This Row],[_Res4Row]]),TRIM(LEFT(Tasks[[#This Row],[_Res4Text]],FIND("[",Tasks[[#This Row],[_Res4Text]]&amp;"[")-1))))</f>
        <v/>
      </c>
      <c r="EI1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3" t="n">
        <f aca="false">IF(OR(NOT(Tasks[[#This Row],[_IsLeaf]]=1),Tasks[[#This Row],[_Res4Row]]=0),0,N(Tasks[[#This Row],[_Days]])*HoursPerDay*IF(Tasks[[#This Row],[_Res4Units]]="",DefaultUnits,Tasks[[#This Row],[_Res4Units]]))</f>
        <v>0</v>
      </c>
      <c r="EK180" s="43" t="n">
        <f aca="false">IF(AND(AND(Tasks[[#This Row],[_IsLeaf]]=1,Tasks[[#This Row],[_LeafTotalWork]]&gt;0),Tasks[[#This Row],[_Res4Work]]&gt;0),Tasks[[#This Row],[_Res4Work]]/(Tasks[[#This Row],[_FinishWorkday]]-Tasks[[#This Row],[_StartWorkday]]+1),0)</f>
        <v>0</v>
      </c>
      <c r="EL180" s="43" t="n">
        <f aca="false">Tasks[[#This Row],[_Res4WorkPerWD]]*MAX(0,Tasks[[#This Row],[_StartWorkday]]-1)</f>
        <v>0</v>
      </c>
      <c r="EM180" s="43" t="n">
        <f aca="false">Tasks[[#This Row],[_Res4Work]]*Tasks[[#This Row],[_LeafProgress]]</f>
        <v>0</v>
      </c>
      <c r="EN180" s="43" t="n">
        <f aca="false">IF(ISNUMBER(Tasks[[#This Row],[% Complete]]),Tasks[[#This Row],[% Complete]],IF(Tasks[[#This Row],[Stage]]="",0,IFERROR(INDEX(stg_Pct,MATCH(Tasks[[#This Row],[Stage]],stg_Name,0)),0)))</f>
        <v>0</v>
      </c>
      <c r="EO180" s="43" t="n">
        <f aca="false">IF(NOT(Tasks[[#This Row],[_IsLeaf]]=1),0,IF(N(Tasks[[#This Row],[Actual Finish]])&gt;0,1,MIN(1,Tasks[[#This Row],[_Pct]])))</f>
        <v>0</v>
      </c>
      <c r="EP180" s="43" t="n">
        <f aca="false">IF(OR(NOT(Tasks[[#This Row],[_IsLeaf]]=1),Tasks[[#This Row],[_Res1Row]]=0),0,N(Tasks[[#This Row],[_Days]])*HoursPerDay*IF(Tasks[[#This Row],[_Units1]]="",DefaultUnits,Tasks[[#This Row],[_Units1]]))</f>
        <v>0</v>
      </c>
      <c r="EQ180" s="43" t="n">
        <f aca="false">Tasks[[#This Row],[_LeafWork]]+Tasks[[#This Row],[_Res2Work]]+Tasks[[#This Row],[_Res3Work]]+Tasks[[#This Row],[_Res4Work]]</f>
        <v>0</v>
      </c>
      <c r="ER1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3" t="n">
        <f aca="false">IF(NOT(Tasks[[#This Row],[_IsLeaf]]=1),0,MAX(_xlfn.MAXIFS(Tasks[_Row],Tasks[_Pred1UID],Tasks[[#This Row],[UID]]),_xlfn.MAXIFS(Tasks[_Row],Tasks[_Pred2UID],Tasks[[#This Row],[UID]]),_xlfn.MAXIFS(Tasks[_Row],Tasks[_Pred3UID],Tasks[[#This Row],[UID]]),_xlfn.MAXIFS(Tasks[_Row],Tasks[_Pred4UID],Tasks[[#This Row],[UID]])))</f>
        <v>0</v>
      </c>
      <c r="FA1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91" t="str">
        <f aca="false">IF(NOT(Tasks[[#This Row],[_IsLeaf]]=1),"",IF(N(Tasks[[#This Row],[_Days]])&lt;=0,Tasks[[#This Row],[_LeafLateFinish]],WORKDAY.INTL(Tasks[[#This Row],[_LeafLateFinish]],-(Tasks[[#This Row],[_Days]]-1),WorkWeek,Holidays)))</f>
        <v/>
      </c>
      <c r="FD1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0" s="90" t="b">
        <f aca="false">AND(Tasks[[#This Row],[_IsLeaf]]=1,Tasks[[#This Row],[_LeafProgress]]&lt;1,N(Tasks[[#This Row],[_LeafTotalSlack]])&lt;=CriticalSlackDays)</f>
        <v>0</v>
      </c>
      <c r="FF180" s="43" t="n">
        <f aca="false">IF(AND(Tasks[[#This Row],[_IsLeaf]]=1,Tasks[[#This Row],[_ConstraintCode]]=1,Tasks[[#This Row],[Mode]]&lt;&gt;"Manual",N(Tasks[[#This Row],[Actual Start]])=0),MAX(0,N(Tasks[[#This Row],[Free Slack]])),0)</f>
        <v>0</v>
      </c>
      <c r="FG180" s="91" t="str">
        <f aca="false">IF(NOT(Tasks[[#This Row],[_IsLeaf]]=1),"",IF(Tasks[[#This Row],[_AlapShift]]=0,Tasks[[#This Row],[_LeafCalcStart]],WORKDAY.INTL(Tasks[[#This Row],[_LeafCalcStart]],Tasks[[#This Row],[_AlapShift]],WorkWeek,Holidays)))</f>
        <v/>
      </c>
      <c r="FH180" s="91" t="str">
        <f aca="false">IF(NOT(Tasks[[#This Row],[_IsLeaf]]=1),"",IF(Tasks[[#This Row],[_AlapShift]]=0,Tasks[[#This Row],[_LeafCalcFinish]],WORKDAY.INTL(Tasks[[#This Row],[_LeafCalcFinish]],Tasks[[#This Row],[_AlapShift]],WorkWeek,Holidays)))</f>
        <v/>
      </c>
      <c r="FI180" s="91" t="str">
        <f aca="false">IF(NOT(Tasks[[#This Row],[_IsLeaf]]=1),"",IF(Tasks[[#This Row],[_AlapShift]]=0,Tasks[[#This Row],[_LeafFcstStart]],WORKDAY.INTL(Tasks[[#This Row],[_LeafFcstStart]],Tasks[[#This Row],[_AlapShift]],WorkWeek,Holidays)))</f>
        <v/>
      </c>
      <c r="FJ180" s="91" t="str">
        <f aca="false">IF(NOT(Tasks[[#This Row],[_IsLeaf]]=1),"",IF(Tasks[[#This Row],[_AlapShift]]=0,Tasks[[#This Row],[_LeafFcstFinish]],WORKDAY.INTL(Tasks[[#This Row],[_LeafFcstFinish]],Tasks[[#This Row],[_AlapShift]],WorkWeek,Holidays)))</f>
        <v/>
      </c>
      <c r="FK180" s="91" t="str">
        <f aca="false">IF(Tasks[[#This Row],[Task Name]]="","",IF(Tasks[[#This Row],[_IsSummary]],MIN(INDEX(Tasks[_ShownCalcStart],Tasks[[#This Row],[_Row]]+1):INDEX(Tasks[_ShownCalcStart],Tasks[[#This Row],[_Row]]+Tasks[[#This Row],[_Descendants]])),Tasks[[#This Row],[_ShownCalcStart]]))</f>
        <v/>
      </c>
      <c r="FL180" s="91" t="str">
        <f aca="false">IF(Tasks[[#This Row],[Task Name]]="","",IF(Tasks[[#This Row],[_IsSummary]],MAX(INDEX(Tasks[_ShownCalcFinish],Tasks[[#This Row],[_Row]]+1):INDEX(Tasks[_ShownCalcFinish],Tasks[[#This Row],[_Row]]+Tasks[[#This Row],[_Descendants]])),Tasks[[#This Row],[_ShownCalcFinish]]))</f>
        <v/>
      </c>
      <c r="FM1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0" s="43" t="n">
        <f aca="false">IF(AND(Tasks[[#This Row],[_IsLeaf]]=1,Tasks[[#This Row],[_LeafTotalWork]]&gt;0),NETWORKDAYS.INTL(ProjectStart,Tasks[[#This Row],[_ShownFcstStart]],WorkWeek,Holidays),0)</f>
        <v>0</v>
      </c>
      <c r="FZ180" s="43" t="n">
        <f aca="false">IF(AND(Tasks[[#This Row],[_IsLeaf]]=1,Tasks[[#This Row],[_LeafTotalWork]]&gt;0),MAX(Tasks[[#This Row],[_StartWorkday]],NETWORKDAYS.INTL(ProjectStart,Tasks[[#This Row],[_ShownFcstFinish]],WorkWeek,Holidays)),0)</f>
        <v>0</v>
      </c>
      <c r="GA180" s="43" t="n">
        <f aca="false">IF(AND(Tasks[[#This Row],[_IsLeaf]]=1,Tasks[[#This Row],[_LeafTotalWork]]&gt;0),Tasks[[#This Row],[_LeafWork]]/(Tasks[[#This Row],[_FinishWorkday]]-Tasks[[#This Row],[_StartWorkday]]+1),0)</f>
        <v>0</v>
      </c>
      <c r="GB180" s="43" t="n">
        <f aca="false">Tasks[[#This Row],[_WorkPerWorkday]]*(Tasks[[#This Row],[_StartWorkday]]-1)</f>
        <v>-0</v>
      </c>
      <c r="GC180" s="43" t="n">
        <f aca="false">IF(Tasks[[#This Row],[_IsLeaf]]=1,MAX(N(Tasks[[#This Row],[_Days]]),0.1),0)</f>
        <v>0</v>
      </c>
      <c r="GD180" s="43" t="n">
        <f aca="false">Tasks[[#This Row],[_WeightDur]]*Tasks[[#This Row],[_LeafProgress]]</f>
        <v>0</v>
      </c>
      <c r="GE180" s="43" t="n">
        <f aca="false">Tasks[[#This Row],[_WeightDur]]*Tasks[[#This Row],[_PlannedPct]]</f>
        <v>0</v>
      </c>
      <c r="GF1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3" t="str">
        <f aca="false">IF(AND(Tasks[[#This Row],[_IsLeaf]]=1,N(Tasks[[#This Row],[_Days]])=0,Tasks[[#This Row],[_LeafProgress]]&lt;1),Tasks[[#This Row],[_ShownFcstFinish]]+Tasks[[#This Row],[_Row]]/100000,"")</f>
        <v/>
      </c>
      <c r="GH1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0" s="43" t="str">
        <f aca="false">IF(Tasks[[#This Row],[Task Name]]="","",LEFT(Tasks[[#This Row],[WBS]],FIND(".",Tasks[[#This Row],[WBS]]&amp;".")-1))</f>
        <v/>
      </c>
      <c r="GJ180" s="43" t="str">
        <f aca="false">IF(AND(Tasks[[#This Row],[Task Name]]&lt;&gt;"",Tasks[[#This Row],[_Level]]=1),Tasks[[#This Row],[_Row]],"")</f>
        <v/>
      </c>
      <c r="GK180" s="43" t="str">
        <f aca="false">IF(AND(Tasks[[#This Row],[_IsLeaf]]=1,N(Tasks[[#This Row],[_Days]])=0),Tasks[[#This Row],[Planned Finish]]+Tasks[[#This Row],[_Row]]/100000,"")</f>
        <v/>
      </c>
      <c r="GL180" s="43" t="str">
        <f aca="false">IF(AND(Tasks[[#This Row],[_IsLeaf]]=1,Tasks[[#This Row],[_LeafProgress]]&lt;1,OR(N(Tasks[[#This Row],[Finish Var]])&gt;0,Tasks[[#This Row],[Status]]="Late Start")),MAX(0,Tasks[[#This Row],[Finish Var]])+1-Tasks[[#This Row],[_Row]]/1000000,"")</f>
        <v/>
      </c>
      <c r="GM180" s="43" t="str">
        <f aca="false">IF(AND(Tasks[[#This Row],[_IsLeaf]]=1,N(Tasks[[#This Row],[Actual Start]])=0,Tasks[[#This Row],[_ShownFcstStart]]&gt;=StatusDate,Tasks[[#This Row],[_ShownFcstStart]]&lt;=LookaheadEnd),Tasks[[#This Row],[_ShownFcstStart]]+Tasks[[#This Row],[_Row]]/100000,"")</f>
        <v/>
      </c>
      <c r="GN180" s="43" t="str">
        <f aca="false">IF(AND(Tasks[[#This Row],[_IsLeaf]]=1,Tasks[[#This Row],[_LeafProgress]]&lt;1,Tasks[[#This Row],[_ShownFcstFinish]]&gt;=StatusDate,Tasks[[#This Row],[_ShownFcstFinish]]&lt;=LookaheadEnd),Tasks[[#This Row],[_ShownFcstFinish]]+Tasks[[#This Row],[_Row]]/100000,"")</f>
        <v/>
      </c>
      <c r="GO180" s="43" t="str">
        <f aca="false">IF(Tasks[[#This Row],[_LeafCritical]],Tasks[[#This Row],[_ShownFcstStart]]+Tasks[[#This Row],[_Row]]/100000,"")</f>
        <v/>
      </c>
      <c r="GP180" s="43" t="n">
        <f aca="false">Tasks[[#This Row],[_LeafWork]]*Tasks[[#This Row],[_LeafProgress]]</f>
        <v>0</v>
      </c>
      <c r="GQ180" s="91" t="str">
        <f aca="false">IF(AND(Tasks[[#This Row],[_IsLeaf]]=1,Tasks[[#This Row],[_LeafProgress]]&gt;=1),IF(N(Tasks[[#This Row],[Actual Finish]])&gt;0,Tasks[[#This Row],[Actual Finish]],Tasks[[#This Row],[_ShownFcstFinish]]),"")</f>
        <v/>
      </c>
      <c r="GR180" s="43" t="n">
        <f aca="false">IF(Tasks[[#This Row],[_IsLeaf]]=1,N(Tasks[[#This Row],[Story Points]]),0)</f>
        <v>0</v>
      </c>
      <c r="GS180" s="43" t="str">
        <f aca="false">""</f>
        <v/>
      </c>
      <c r="GT180" s="90" t="b">
        <f aca="false">IF(Tasks[[#This Row],[Task Name]]="",FALSE(),AND(Tasks[[#This Row],[_IsLeaf]]=1,N(Tasks[[#This Row],[_Days]])=0))</f>
        <v>0</v>
      </c>
      <c r="GU180" s="91" t="n">
        <f aca="false">IF(Tasks[[#This Row],[Task Name]]="",0,IF(AND(Tasks[[#This Row],[_IsLeaf]]=1,NOT(Tasks[[#This Row],[_IsMilestone]]),N(Tasks[[#This Row],[Progress]])&gt;0),Tasks[[#This Row],[Start]],0))</f>
        <v>0</v>
      </c>
      <c r="GV180" s="91" t="n">
        <f aca="false">IF(Tasks[[#This Row],[_DoneFrom]]=0,0,IF(Tasks[[#This Row],[Progress]]&gt;=1,Tasks[[#This Row],[Finish]],MAX(Tasks[[#This Row],[_DoneFrom]],Tasks[[#This Row],[Start]]+ROUND((Tasks[[#This Row],[Finish]]-Tasks[[#This Row],[Start]]+1)*Tasks[[#This Row],[Progress]],0)-1)))</f>
        <v>0</v>
      </c>
      <c r="GW180" s="91" t="n">
        <f aca="false">IF(Tasks[[#This Row],[Task Name]]="",0,IF(OR(NOT(Tasks[[#This Row],[_IsLeaf]]=1),Tasks[[#This Row],[_IsMilestone]],N(Tasks[[#This Row],[Progress]])&gt;=1),0,IF(Tasks[[#This Row],[_DoneTo]]&gt;0,Tasks[[#This Row],[_DoneTo]]+1,Tasks[[#This Row],[Start]])))</f>
        <v>0</v>
      </c>
      <c r="GX180" s="91" t="n">
        <f aca="false">IF(Tasks[[#This Row],[_RemFrom]]=0,0,Tasks[[#This Row],[Finish]])</f>
        <v>0</v>
      </c>
      <c r="GY180" s="90" t="b">
        <f aca="false">IF(Tasks[[#This Row],[Task Name]]="",FALSE(),OR(NOT(BaselineSet),N(Tasks[[#This Row],[Baseline Start]])&gt;0))</f>
        <v>0</v>
      </c>
      <c r="GZ18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92" t="str">
        <f aca="false">IF(Tasks[[#This Row],[_IsLeaf]]=1,Tasks[[#This Row],[_Row]],"")</f>
        <v/>
      </c>
      <c r="HD180" s="92" t="str">
        <f aca="false">IFERROR(INDEX(Tasks[UID],SMALL(Tasks[_PickKey],Tasks[[#This Row],[_Row]]))&amp;" "&amp;INDEX(Tasks[Task Name],SMALL(Tasks[_PickKey],Tasks[[#This Row],[_Row]])),"")</f>
        <v/>
      </c>
      <c r="HE180" s="43" t="str">
        <f aca="false">IF(Tasks[[#This Row],[Task Name]]="","",IF(Tasks[[#This Row],[_IsSummary]],NETWORKDAYS.INTL(Tasks[[#This Row],[Start]],Tasks[[#This Row],[Finish]],WorkWeek,Holidays),N(Tasks[[#This Row],[_Days]])))</f>
        <v/>
      </c>
      <c r="HF180" s="43" t="n">
        <f aca="false">IF(Tasks[[#This Row],[Expected]]="",0,((Tasks[[#This Row],[Pessimistic]]-Tasks[[#This Row],[Optimistic]])/6)^2)</f>
        <v>0</v>
      </c>
      <c r="HG180" s="43" t="n">
        <f aca="false">IF(Tasks[[#This Row],[Expected]]="",0,Tasks[[#This Row],[Expected]]-N(Tasks[[#This Row],[_Days]]))</f>
        <v>0</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4"/>
      <c r="U181" s="23"/>
      <c r="V181" s="84"/>
      <c r="W181" s="23"/>
      <c r="X181" s="84"/>
      <c r="Y181" s="23"/>
      <c r="Z181" s="84"/>
      <c r="AA181" s="23"/>
      <c r="AB181" s="23"/>
      <c r="AC181" s="7"/>
      <c r="AD181" s="7"/>
      <c r="AE181" s="63" t="str">
        <f aca="false">IF(Tasks[[#This Row],[Task Name]]="","",IF(Tasks[[#This Row],[_IsSummary]],MIN(INDEX(Tasks[_ShownFcstStart],Tasks[[#This Row],[_Row]]+1):INDEX(Tasks[_ShownFcstStart],Tasks[[#This Row],[_Row]]+Tasks[[#This Row],[_Descendants]])),Tasks[[#This Row],[_ShownFcstStart]]))</f>
        <v/>
      </c>
      <c r="AF181" s="63"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1" s="7"/>
      <c r="AK181" s="22"/>
      <c r="AL181" s="23"/>
      <c r="AM181" s="7"/>
      <c r="AN181" s="47"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3" t="str">
        <f aca="false">IF(Tasks[[#This Row],[Task Name]]="","",IF(N(Tasks[[#This Row],[Baseline Start]])&gt;0,Tasks[[#This Row],[Baseline Start]],Tasks[[#This Row],[_CalcStart]]))</f>
        <v/>
      </c>
      <c r="AR181" s="63" t="str">
        <f aca="false">IF(Tasks[[#This Row],[Task Name]]="","",IF(N(Tasks[[#This Row],[Baseline Finish]])&gt;0,Tasks[[#This Row],[Baseline Finish]],Tasks[[#This Row],[_CalcFinish]]))</f>
        <v/>
      </c>
      <c r="AS181" s="47" t="str">
        <f aca="false">IF(Tasks[[#This Row],[Task Name]]="","",IF(Tasks[[#This Row],[Start]]&gt;=Tasks[[#This Row],[Planned Start]],NETWORKDAYS.INTL(Tasks[[#This Row],[Planned Start]],Tasks[[#This Row],[Start]],WorkWeek,Holidays)-1,1-NETWORKDAYS.INTL(Tasks[[#This Row],[Start]],Tasks[[#This Row],[Planned Start]],WorkWeek,Holidays)))</f>
        <v/>
      </c>
      <c r="AT181" s="63" t="str">
        <f aca="false">IF(Tasks[[#This Row],[Task Name]]="","",IF(Tasks[[#This Row],[_IsSummary]],MIN(INDEX(Tasks[_LeafLateStart],Tasks[[#This Row],[_Row]]+1):INDEX(Tasks[_LeafLateStart],Tasks[[#This Row],[_Row]]+Tasks[[#This Row],[_Descendants]])),Tasks[[#This Row],[_LeafLateStart]]))</f>
        <v/>
      </c>
      <c r="AU181" s="63" t="str">
        <f aca="false">IF(Tasks[[#This Row],[Task Name]]="","",IF(Tasks[[#This Row],[_IsSummary]],MAX(INDEX(Tasks[_LeafLateFinish],Tasks[[#This Row],[_Row]]+1):INDEX(Tasks[_LeafLateFinish],Tasks[[#This Row],[_Row]]+Tasks[[#This Row],[_Descendants]])),Tasks[[#This Row],[_LeafLateFinish]]))</f>
        <v/>
      </c>
      <c r="AV181" s="47"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5"/>
      <c r="BA1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6"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7"/>
      <c r="BJ181" s="22"/>
      <c r="BK181" s="47" t="str">
        <f aca="false">IF(OR(Tasks[[#This Row],[Task Name]]="",Tasks[[#This Row],[Baseline Duration]]=""),"",Tasks[[#This Row],[_SpanDays]]-N(Tasks[[#This Row],[Baseline Duration]]))</f>
        <v/>
      </c>
      <c r="BL181" s="86" t="str">
        <f aca="false">IF(OR(Tasks[[#This Row],[Task Name]]="",Tasks[[#This Row],[Baseline Work]]=""),"",Tasks[[#This Row],[Work]]-N(Tasks[[#This Row],[Baseline Work]]))</f>
        <v/>
      </c>
      <c r="BM181" s="63" t="str">
        <f aca="false">IF(Tasks[[#This Row],[Task Name]]="","",IF(OR(TakeBaseline="Yes",N(Tasks[[#This Row],[Baseline Start]])=0),Tasks[[#This Row],[Start]],Tasks[[#This Row],[Baseline Start]]))</f>
        <v/>
      </c>
      <c r="BN181" s="63" t="str">
        <f aca="false">IF(Tasks[[#This Row],[Task Name]]="","",IF(OR(TakeBaseline="Yes",N(Tasks[[#This Row],[Baseline Finish]])=0),Tasks[[#This Row],[Finish]],Tasks[[#This Row],[Baseline Finish]]))</f>
        <v/>
      </c>
      <c r="BO181" s="21" t="str">
        <f aca="false">IF(Tasks[[#This Row],[Task Name]]="","",IF(OR(TakeBaseline="Yes",N(Tasks[[#This Row],[Baseline Duration]])=0),Tasks[[#This Row],[_SpanDays]],Tasks[[#This Row],[Baseline Duration]]))</f>
        <v/>
      </c>
      <c r="BP181" s="86" t="str">
        <f aca="false">IF(Tasks[[#This Row],[Task Name]]="","",IF(OR(TakeBaseline="Yes",N(Tasks[[#This Row],[Baseline Work]])=0),Tasks[[#This Row],[Work]],Tasks[[#This Row],[Baseline Work]]))</f>
        <v/>
      </c>
      <c r="BQ181" s="7"/>
      <c r="BR181" s="7"/>
      <c r="BS181" s="22"/>
      <c r="BT181" s="88"/>
      <c r="BU181" s="23"/>
      <c r="BV181" s="23"/>
      <c r="BW181" s="23"/>
      <c r="BX181" s="89" t="str">
        <f aca="false">IF(AND(Tasks[[#This Row],[_IsLeaf]]=1,ISNUMBER(Tasks[[#This Row],[Optimistic]]),ISNUMBER(Tasks[[#This Row],[Pessimistic]])),ROUND((Tasks[[#This Row],[Optimistic]]+4*N(Tasks[[#This Row],[_Days]])+Tasks[[#This Row],[Pessimistic]])/6,1),"")</f>
        <v/>
      </c>
      <c r="BY181" s="87"/>
      <c r="BZ181" s="87"/>
      <c r="CA181" s="22"/>
      <c r="CB181" s="43" t="str">
        <f aca="false">IF(Tasks[[#This Row],[Task Name]]="","",MAX(1,N(Tasks[[#This Row],[Level]])))</f>
        <v/>
      </c>
      <c r="CC181" s="43" t="n">
        <f aca="false">ROW()-ROW(Tasks[[#Headers],[ID]])</f>
        <v>176</v>
      </c>
      <c r="CD181" s="43" t="n">
        <f aca="false">IF(OR(Tasks[[#This Row],[Task Name]]="",Tasks[[#This Row],[_Level]]&lt;=1),0,IFERROR(LOOKUP(2,1/(Tasks[[#Headers],[_Level]]:Tasks[[#This Row],[_Level]]=Tasks[[#This Row],[_Level]]-1),ROW(Tasks[[#Headers],[_Level]]:Tasks[[#This Row],[_Level]])),0))</f>
        <v>0</v>
      </c>
      <c r="CE181" s="43" t="n">
        <f aca="false">IFERROR(N(INDEX(Tasks[_Level],Tasks[[#This Row],[_Row]]+1)),0)</f>
        <v>0</v>
      </c>
      <c r="CF181" s="90" t="b">
        <f aca="false">AND(Tasks[[#This Row],[Task Name]]&lt;&gt;"",Tasks[[#This Row],[_NextLevel]]&gt;Tasks[[#This Row],[_Level]])</f>
        <v>0</v>
      </c>
      <c r="CG181" s="43" t="n">
        <f aca="false">IF(Tasks[[#This Row],[_IsSummary]],COUNTIF(Tasks[WBS],Tasks[[#This Row],[WBS]]&amp;".*"),0)</f>
        <v>0</v>
      </c>
      <c r="CH181" s="43" t="n">
        <f aca="false">IF(AND(Tasks[[#This Row],[Task Name]]&lt;&gt;"",NOT(Tasks[[#This Row],[_IsSummary]])),1,0)</f>
        <v>0</v>
      </c>
      <c r="CI181" s="43" t="n">
        <f aca="false">IF(N(Tasks[[#This Row],[_Pred1UID]])=0,0,IFERROR(MATCH(Tasks[[#This Row],[_Pred1UID]],Tasks[UID],0),-1))</f>
        <v>0</v>
      </c>
      <c r="CJ181" s="43" t="n">
        <f aca="false">IF(N(Tasks[[#This Row],[_Pred2UID]])=0,0,IFERROR(MATCH(Tasks[[#This Row],[_Pred2UID]],Tasks[UID],0),-1))</f>
        <v>0</v>
      </c>
      <c r="CK181" s="43" t="n">
        <f aca="false">IF(N(Tasks[[#This Row],[_Pred3UID]])=0,0,IFERROR(MATCH(Tasks[[#This Row],[_Pred3UID]],Tasks[UID],0),-1))</f>
        <v>0</v>
      </c>
      <c r="CL181" s="43" t="n">
        <f aca="false">IF(N(Tasks[[#This Row],[_Pred4UID]])=0,0,IFERROR(MATCH(Tasks[[#This Row],[_Pred4UID]],Tasks[UID],0),-1))</f>
        <v>0</v>
      </c>
      <c r="CM1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1" s="91" t="n">
        <f aca="false">IF(OR(Tasks[[#This Row],[_ConstraintCode]]=2,Tasks[[#This Row],[_ConstraintCode]]=3,Tasks[[#This Row],[_ConstraintCode]]=4,Tasks[[#This Row],[_ConstraintCode]]=6),Tasks[[#This Row],[_ConstraintStart]],0)</f>
        <v>0</v>
      </c>
      <c r="CP181" s="91" t="n">
        <f aca="false">IF(OR(Tasks[[#This Row],[_ConstraintCode]]=2,Tasks[[#This Row],[_ConstraintCode]]=3,Tasks[[#This Row],[_ConstraintCode]]=5,Tasks[[#This Row],[_ConstraintCode]]=7),Tasks[[#This Row],[_ConstraintStart]],2958465)</f>
        <v>2958465</v>
      </c>
      <c r="CQ1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91" t="str">
        <f aca="false">IF(NOT(Tasks[[#This Row],[_IsLeaf]]=1),"",IF(N(Tasks[[#This Row],[_Days]])&lt;=0,Tasks[[#This Row],[_LeafCalcStart]],WORKDAY.INTL(Tasks[[#This Row],[_LeafCalcStart]],Tasks[[#This Row],[_Days]]-1,WorkWeek,Holidays)))</f>
        <v/>
      </c>
      <c r="CS1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3" t="str">
        <f aca="false">IF(Tasks[[#This Row],[_Predecessors]]="","",TRIM(MID(SUBSTITUTE(SUBSTITUTE(SUBSTITUTE(UPPER(Tasks[[#This Row],[_Predecessors]]),";",",")," ",""),",",REPT(" ",99)),1,99)))</f>
        <v/>
      </c>
      <c r="CV181" s="43" t="str">
        <f aca="false">IF(Tasks[[#This Row],[_Pred1Text]]="","",IFERROR(VALUE(LEFT(Tasks[[#This Row],[_Pred1Text]],MIN(FIND("F",Tasks[[#This Row],[_Pred1Text]]&amp;"F"),FIND("S",Tasks[[#This Row],[_Pred1Text]]&amp;"S"),FIND("+",Tasks[[#This Row],[_Pred1Text]]&amp;"+"),FIND("-",Tasks[[#This Row],[_Pred1Text]]&amp;"-"))-1)),""))</f>
        <v/>
      </c>
      <c r="CW1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3" t="str">
        <f aca="false">IF(Tasks[[#This Row],[_Pred1Text]]="","",TRIM(MID(SUBSTITUTE(SUBSTITUTE(SUBSTITUTE(UPPER(Tasks[[#This Row],[_Predecessors]]),";",",")," ",""),",",REPT(" ",99)),100,99)))</f>
        <v/>
      </c>
      <c r="CZ181" s="43" t="str">
        <f aca="false">IF(Tasks[[#This Row],[_Pred2Text]]="","",IFERROR(VALUE(LEFT(Tasks[[#This Row],[_Pred2Text]],MIN(FIND("F",Tasks[[#This Row],[_Pred2Text]]&amp;"F"),FIND("S",Tasks[[#This Row],[_Pred2Text]]&amp;"S"),FIND("+",Tasks[[#This Row],[_Pred2Text]]&amp;"+"),FIND("-",Tasks[[#This Row],[_Pred2Text]]&amp;"-"))-1)),""))</f>
        <v/>
      </c>
      <c r="DA1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3" t="str">
        <f aca="false">IF(Tasks[[#This Row],[_Pred2Text]]="","",TRIM(MID(SUBSTITUTE(SUBSTITUTE(SUBSTITUTE(UPPER(Tasks[[#This Row],[_Predecessors]]),";",",")," ",""),",",REPT(" ",99)),199,99)))</f>
        <v/>
      </c>
      <c r="DD181" s="43" t="str">
        <f aca="false">IF(Tasks[[#This Row],[_Pred3Text]]="","",IFERROR(VALUE(LEFT(Tasks[[#This Row],[_Pred3Text]],MIN(FIND("F",Tasks[[#This Row],[_Pred3Text]]&amp;"F"),FIND("S",Tasks[[#This Row],[_Pred3Text]]&amp;"S"),FIND("+",Tasks[[#This Row],[_Pred3Text]]&amp;"+"),FIND("-",Tasks[[#This Row],[_Pred3Text]]&amp;"-"))-1)),""))</f>
        <v/>
      </c>
      <c r="DE1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3" t="str">
        <f aca="false">IF(Tasks[[#This Row],[_Pred3Text]]="","",TRIM(MID(SUBSTITUTE(SUBSTITUTE(SUBSTITUTE(UPPER(Tasks[[#This Row],[_Predecessors]]),";",",")," ",""),",",REPT(" ",99)),298,99)))</f>
        <v/>
      </c>
      <c r="DH181" s="43" t="str">
        <f aca="false">IF(Tasks[[#This Row],[_Pred4Text]]="","",IFERROR(VALUE(LEFT(Tasks[[#This Row],[_Pred4Text]],MIN(FIND("F",Tasks[[#This Row],[_Pred4Text]]&amp;"F"),FIND("S",Tasks[[#This Row],[_Pred4Text]]&amp;"S"),FIND("+",Tasks[[#This Row],[_Pred4Text]]&amp;"+"),FIND("-",Tasks[[#This Row],[_Pred4Text]]&amp;"-"))-1)),""))</f>
        <v/>
      </c>
      <c r="DI1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3" t="str">
        <f aca="false">IF(OR(Tasks[[#This Row],[Task Name]]="",Tasks[[#This Row],[_Resources]]=""),"",TRIM(MID(SUBSTITUTE(Tasks[[#This Row],[_Resources]],",",REPT(" ",99)),1,99)))</f>
        <v/>
      </c>
      <c r="DL181" s="43" t="str">
        <f aca="false">IF(Tasks[[#This Row],[_Res1Text]]="","",TRIM(MID(SUBSTITUTE(Tasks[[#This Row],[_Resources]],",",REPT(" ",99)),100,99)))</f>
        <v/>
      </c>
      <c r="DM181" s="43" t="str">
        <f aca="false">IF(Tasks[[#This Row],[_Res2Text]]="","",TRIM(MID(SUBSTITUTE(Tasks[[#This Row],[_Resources]],",",REPT(" ",99)),199,99)))</f>
        <v/>
      </c>
      <c r="DN181" s="43" t="str">
        <f aca="false">IF(Tasks[[#This Row],[_Res3Text]]="","",TRIM(MID(SUBSTITUTE(Tasks[[#This Row],[_Resources]],",",REPT(" ",99)),298,99)))</f>
        <v/>
      </c>
      <c r="DO181" s="43" t="n">
        <f aca="false">IF(Tasks[[#This Row],[_Res1Text]]="",0,IFERROR(MATCH(TRIM(LEFT(Tasks[[#This Row],[_Res1Text]],FIND("[",Tasks[[#This Row],[_Res1Text]]&amp;"[")-1)),res_Name,0),IFERROR(MATCH(TRIM(LEFT(Tasks[[#This Row],[_Res1Text]],FIND("[",Tasks[[#This Row],[_Res1Text]]&amp;"[")-1)),res_Initials,0),0)))</f>
        <v>0</v>
      </c>
      <c r="DP181" s="43" t="n">
        <f aca="false">IF(Tasks[[#This Row],[_Res2Text]]="",0,IFERROR(MATCH(TRIM(LEFT(Tasks[[#This Row],[_Res2Text]],FIND("[",Tasks[[#This Row],[_Res2Text]]&amp;"[")-1)),res_Name,0),IFERROR(MATCH(TRIM(LEFT(Tasks[[#This Row],[_Res2Text]],FIND("[",Tasks[[#This Row],[_Res2Text]]&amp;"[")-1)),res_Initials,0),0)))</f>
        <v>0</v>
      </c>
      <c r="DQ181" s="43" t="n">
        <f aca="false">IF(Tasks[[#This Row],[_Res3Text]]="",0,IFERROR(MATCH(TRIM(LEFT(Tasks[[#This Row],[_Res3Text]],FIND("[",Tasks[[#This Row],[_Res3Text]]&amp;"[")-1)),res_Name,0),IFERROR(MATCH(TRIM(LEFT(Tasks[[#This Row],[_Res3Text]],FIND("[",Tasks[[#This Row],[_Res3Text]]&amp;"[")-1)),res_Initials,0),0)))</f>
        <v>0</v>
      </c>
      <c r="DR181" s="43" t="n">
        <f aca="false">IF(Tasks[[#This Row],[_Res4Text]]="",0,IFERROR(MATCH(TRIM(LEFT(Tasks[[#This Row],[_Res4Text]],FIND("[",Tasks[[#This Row],[_Res4Text]]&amp;"[")-1)),res_Name,0),IFERROR(MATCH(TRIM(LEFT(Tasks[[#This Row],[_Res4Text]],FIND("[",Tasks[[#This Row],[_Res4Text]]&amp;"[")-1)),res_Initials,0),0)))</f>
        <v>0</v>
      </c>
      <c r="DS181" s="43" t="str">
        <f aca="false">IF(Tasks[[#This Row],[_Res1Text]]="","",IF(Tasks[[#This Row],[_Res1Row]]&gt;0,INDEX(res_Name,Tasks[[#This Row],[_Res1Row]]),TRIM(LEFT(Tasks[[#This Row],[_Res1Text]],FIND("[",Tasks[[#This Row],[_Res1Text]]&amp;"[")-1))))</f>
        <v/>
      </c>
      <c r="DT1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3" t="n">
        <f aca="false">IF(NOT(Tasks[[#This Row],[_IsLeaf]]=1),0,(Tasks[[#This Row],[_Resource1]]&lt;&gt;"")+(Tasks[[#This Row],[_Res2]]&lt;&gt;"")+(Tasks[[#This Row],[_Res3]]&lt;&gt;"")+(Tasks[[#This Row],[_Res4]]&lt;&gt;""))</f>
        <v>0</v>
      </c>
      <c r="DV181" s="43" t="str">
        <f aca="false">IF(Tasks[[#This Row],[_Res2Text]]="","",IF(Tasks[[#This Row],[_Res2Row]]&gt;0,INDEX(res_Name,Tasks[[#This Row],[_Res2Row]]),TRIM(LEFT(Tasks[[#This Row],[_Res2Text]],FIND("[",Tasks[[#This Row],[_Res2Text]]&amp;"[")-1))))</f>
        <v/>
      </c>
      <c r="DW1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3" t="n">
        <f aca="false">IF(OR(NOT(Tasks[[#This Row],[_IsLeaf]]=1),Tasks[[#This Row],[_Res2Row]]=0),0,N(Tasks[[#This Row],[_Days]])*HoursPerDay*IF(Tasks[[#This Row],[_Res2Units]]="",DefaultUnits,Tasks[[#This Row],[_Res2Units]]))</f>
        <v>0</v>
      </c>
      <c r="DY181" s="43" t="n">
        <f aca="false">IF(AND(AND(Tasks[[#This Row],[_IsLeaf]]=1,Tasks[[#This Row],[_LeafTotalWork]]&gt;0),Tasks[[#This Row],[_Res2Work]]&gt;0),Tasks[[#This Row],[_Res2Work]]/(Tasks[[#This Row],[_FinishWorkday]]-Tasks[[#This Row],[_StartWorkday]]+1),0)</f>
        <v>0</v>
      </c>
      <c r="DZ181" s="43" t="n">
        <f aca="false">Tasks[[#This Row],[_Res2WorkPerWD]]*MAX(0,Tasks[[#This Row],[_StartWorkday]]-1)</f>
        <v>0</v>
      </c>
      <c r="EA181" s="43" t="n">
        <f aca="false">Tasks[[#This Row],[_Res2Work]]*Tasks[[#This Row],[_LeafProgress]]</f>
        <v>0</v>
      </c>
      <c r="EB181" s="43" t="str">
        <f aca="false">IF(Tasks[[#This Row],[_Res3Text]]="","",IF(Tasks[[#This Row],[_Res3Row]]&gt;0,INDEX(res_Name,Tasks[[#This Row],[_Res3Row]]),TRIM(LEFT(Tasks[[#This Row],[_Res3Text]],FIND("[",Tasks[[#This Row],[_Res3Text]]&amp;"[")-1))))</f>
        <v/>
      </c>
      <c r="EC1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3" t="n">
        <f aca="false">IF(OR(NOT(Tasks[[#This Row],[_IsLeaf]]=1),Tasks[[#This Row],[_Res3Row]]=0),0,N(Tasks[[#This Row],[_Days]])*HoursPerDay*IF(Tasks[[#This Row],[_Res3Units]]="",DefaultUnits,Tasks[[#This Row],[_Res3Units]]))</f>
        <v>0</v>
      </c>
      <c r="EE181" s="43" t="n">
        <f aca="false">IF(AND(AND(Tasks[[#This Row],[_IsLeaf]]=1,Tasks[[#This Row],[_LeafTotalWork]]&gt;0),Tasks[[#This Row],[_Res3Work]]&gt;0),Tasks[[#This Row],[_Res3Work]]/(Tasks[[#This Row],[_FinishWorkday]]-Tasks[[#This Row],[_StartWorkday]]+1),0)</f>
        <v>0</v>
      </c>
      <c r="EF181" s="43" t="n">
        <f aca="false">Tasks[[#This Row],[_Res3WorkPerWD]]*MAX(0,Tasks[[#This Row],[_StartWorkday]]-1)</f>
        <v>0</v>
      </c>
      <c r="EG181" s="43" t="n">
        <f aca="false">Tasks[[#This Row],[_Res3Work]]*Tasks[[#This Row],[_LeafProgress]]</f>
        <v>0</v>
      </c>
      <c r="EH181" s="43" t="str">
        <f aca="false">IF(Tasks[[#This Row],[_Res4Text]]="","",IF(Tasks[[#This Row],[_Res4Row]]&gt;0,INDEX(res_Name,Tasks[[#This Row],[_Res4Row]]),TRIM(LEFT(Tasks[[#This Row],[_Res4Text]],FIND("[",Tasks[[#This Row],[_Res4Text]]&amp;"[")-1))))</f>
        <v/>
      </c>
      <c r="EI1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3" t="n">
        <f aca="false">IF(OR(NOT(Tasks[[#This Row],[_IsLeaf]]=1),Tasks[[#This Row],[_Res4Row]]=0),0,N(Tasks[[#This Row],[_Days]])*HoursPerDay*IF(Tasks[[#This Row],[_Res4Units]]="",DefaultUnits,Tasks[[#This Row],[_Res4Units]]))</f>
        <v>0</v>
      </c>
      <c r="EK181" s="43" t="n">
        <f aca="false">IF(AND(AND(Tasks[[#This Row],[_IsLeaf]]=1,Tasks[[#This Row],[_LeafTotalWork]]&gt;0),Tasks[[#This Row],[_Res4Work]]&gt;0),Tasks[[#This Row],[_Res4Work]]/(Tasks[[#This Row],[_FinishWorkday]]-Tasks[[#This Row],[_StartWorkday]]+1),0)</f>
        <v>0</v>
      </c>
      <c r="EL181" s="43" t="n">
        <f aca="false">Tasks[[#This Row],[_Res4WorkPerWD]]*MAX(0,Tasks[[#This Row],[_StartWorkday]]-1)</f>
        <v>0</v>
      </c>
      <c r="EM181" s="43" t="n">
        <f aca="false">Tasks[[#This Row],[_Res4Work]]*Tasks[[#This Row],[_LeafProgress]]</f>
        <v>0</v>
      </c>
      <c r="EN181" s="43" t="n">
        <f aca="false">IF(ISNUMBER(Tasks[[#This Row],[% Complete]]),Tasks[[#This Row],[% Complete]],IF(Tasks[[#This Row],[Stage]]="",0,IFERROR(INDEX(stg_Pct,MATCH(Tasks[[#This Row],[Stage]],stg_Name,0)),0)))</f>
        <v>0</v>
      </c>
      <c r="EO181" s="43" t="n">
        <f aca="false">IF(NOT(Tasks[[#This Row],[_IsLeaf]]=1),0,IF(N(Tasks[[#This Row],[Actual Finish]])&gt;0,1,MIN(1,Tasks[[#This Row],[_Pct]])))</f>
        <v>0</v>
      </c>
      <c r="EP181" s="43" t="n">
        <f aca="false">IF(OR(NOT(Tasks[[#This Row],[_IsLeaf]]=1),Tasks[[#This Row],[_Res1Row]]=0),0,N(Tasks[[#This Row],[_Days]])*HoursPerDay*IF(Tasks[[#This Row],[_Units1]]="",DefaultUnits,Tasks[[#This Row],[_Units1]]))</f>
        <v>0</v>
      </c>
      <c r="EQ181" s="43" t="n">
        <f aca="false">Tasks[[#This Row],[_LeafWork]]+Tasks[[#This Row],[_Res2Work]]+Tasks[[#This Row],[_Res3Work]]+Tasks[[#This Row],[_Res4Work]]</f>
        <v>0</v>
      </c>
      <c r="ER1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3" t="n">
        <f aca="false">IF(NOT(Tasks[[#This Row],[_IsLeaf]]=1),0,MAX(_xlfn.MAXIFS(Tasks[_Row],Tasks[_Pred1UID],Tasks[[#This Row],[UID]]),_xlfn.MAXIFS(Tasks[_Row],Tasks[_Pred2UID],Tasks[[#This Row],[UID]]),_xlfn.MAXIFS(Tasks[_Row],Tasks[_Pred3UID],Tasks[[#This Row],[UID]]),_xlfn.MAXIFS(Tasks[_Row],Tasks[_Pred4UID],Tasks[[#This Row],[UID]])))</f>
        <v>0</v>
      </c>
      <c r="FA1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91" t="str">
        <f aca="false">IF(NOT(Tasks[[#This Row],[_IsLeaf]]=1),"",IF(N(Tasks[[#This Row],[_Days]])&lt;=0,Tasks[[#This Row],[_LeafLateFinish]],WORKDAY.INTL(Tasks[[#This Row],[_LeafLateFinish]],-(Tasks[[#This Row],[_Days]]-1),WorkWeek,Holidays)))</f>
        <v/>
      </c>
      <c r="FD1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1" s="90" t="b">
        <f aca="false">AND(Tasks[[#This Row],[_IsLeaf]]=1,Tasks[[#This Row],[_LeafProgress]]&lt;1,N(Tasks[[#This Row],[_LeafTotalSlack]])&lt;=CriticalSlackDays)</f>
        <v>0</v>
      </c>
      <c r="FF181" s="43" t="n">
        <f aca="false">IF(AND(Tasks[[#This Row],[_IsLeaf]]=1,Tasks[[#This Row],[_ConstraintCode]]=1,Tasks[[#This Row],[Mode]]&lt;&gt;"Manual",N(Tasks[[#This Row],[Actual Start]])=0),MAX(0,N(Tasks[[#This Row],[Free Slack]])),0)</f>
        <v>0</v>
      </c>
      <c r="FG181" s="91" t="str">
        <f aca="false">IF(NOT(Tasks[[#This Row],[_IsLeaf]]=1),"",IF(Tasks[[#This Row],[_AlapShift]]=0,Tasks[[#This Row],[_LeafCalcStart]],WORKDAY.INTL(Tasks[[#This Row],[_LeafCalcStart]],Tasks[[#This Row],[_AlapShift]],WorkWeek,Holidays)))</f>
        <v/>
      </c>
      <c r="FH181" s="91" t="str">
        <f aca="false">IF(NOT(Tasks[[#This Row],[_IsLeaf]]=1),"",IF(Tasks[[#This Row],[_AlapShift]]=0,Tasks[[#This Row],[_LeafCalcFinish]],WORKDAY.INTL(Tasks[[#This Row],[_LeafCalcFinish]],Tasks[[#This Row],[_AlapShift]],WorkWeek,Holidays)))</f>
        <v/>
      </c>
      <c r="FI181" s="91" t="str">
        <f aca="false">IF(NOT(Tasks[[#This Row],[_IsLeaf]]=1),"",IF(Tasks[[#This Row],[_AlapShift]]=0,Tasks[[#This Row],[_LeafFcstStart]],WORKDAY.INTL(Tasks[[#This Row],[_LeafFcstStart]],Tasks[[#This Row],[_AlapShift]],WorkWeek,Holidays)))</f>
        <v/>
      </c>
      <c r="FJ181" s="91" t="str">
        <f aca="false">IF(NOT(Tasks[[#This Row],[_IsLeaf]]=1),"",IF(Tasks[[#This Row],[_AlapShift]]=0,Tasks[[#This Row],[_LeafFcstFinish]],WORKDAY.INTL(Tasks[[#This Row],[_LeafFcstFinish]],Tasks[[#This Row],[_AlapShift]],WorkWeek,Holidays)))</f>
        <v/>
      </c>
      <c r="FK181" s="91" t="str">
        <f aca="false">IF(Tasks[[#This Row],[Task Name]]="","",IF(Tasks[[#This Row],[_IsSummary]],MIN(INDEX(Tasks[_ShownCalcStart],Tasks[[#This Row],[_Row]]+1):INDEX(Tasks[_ShownCalcStart],Tasks[[#This Row],[_Row]]+Tasks[[#This Row],[_Descendants]])),Tasks[[#This Row],[_ShownCalcStart]]))</f>
        <v/>
      </c>
      <c r="FL181" s="91" t="str">
        <f aca="false">IF(Tasks[[#This Row],[Task Name]]="","",IF(Tasks[[#This Row],[_IsSummary]],MAX(INDEX(Tasks[_ShownCalcFinish],Tasks[[#This Row],[_Row]]+1):INDEX(Tasks[_ShownCalcFinish],Tasks[[#This Row],[_Row]]+Tasks[[#This Row],[_Descendants]])),Tasks[[#This Row],[_ShownCalcFinish]]))</f>
        <v/>
      </c>
      <c r="FM1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1" s="43" t="n">
        <f aca="false">IF(AND(Tasks[[#This Row],[_IsLeaf]]=1,Tasks[[#This Row],[_LeafTotalWork]]&gt;0),NETWORKDAYS.INTL(ProjectStart,Tasks[[#This Row],[_ShownFcstStart]],WorkWeek,Holidays),0)</f>
        <v>0</v>
      </c>
      <c r="FZ181" s="43" t="n">
        <f aca="false">IF(AND(Tasks[[#This Row],[_IsLeaf]]=1,Tasks[[#This Row],[_LeafTotalWork]]&gt;0),MAX(Tasks[[#This Row],[_StartWorkday]],NETWORKDAYS.INTL(ProjectStart,Tasks[[#This Row],[_ShownFcstFinish]],WorkWeek,Holidays)),0)</f>
        <v>0</v>
      </c>
      <c r="GA181" s="43" t="n">
        <f aca="false">IF(AND(Tasks[[#This Row],[_IsLeaf]]=1,Tasks[[#This Row],[_LeafTotalWork]]&gt;0),Tasks[[#This Row],[_LeafWork]]/(Tasks[[#This Row],[_FinishWorkday]]-Tasks[[#This Row],[_StartWorkday]]+1),0)</f>
        <v>0</v>
      </c>
      <c r="GB181" s="43" t="n">
        <f aca="false">Tasks[[#This Row],[_WorkPerWorkday]]*(Tasks[[#This Row],[_StartWorkday]]-1)</f>
        <v>-0</v>
      </c>
      <c r="GC181" s="43" t="n">
        <f aca="false">IF(Tasks[[#This Row],[_IsLeaf]]=1,MAX(N(Tasks[[#This Row],[_Days]]),0.1),0)</f>
        <v>0</v>
      </c>
      <c r="GD181" s="43" t="n">
        <f aca="false">Tasks[[#This Row],[_WeightDur]]*Tasks[[#This Row],[_LeafProgress]]</f>
        <v>0</v>
      </c>
      <c r="GE181" s="43" t="n">
        <f aca="false">Tasks[[#This Row],[_WeightDur]]*Tasks[[#This Row],[_PlannedPct]]</f>
        <v>0</v>
      </c>
      <c r="GF1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3" t="str">
        <f aca="false">IF(AND(Tasks[[#This Row],[_IsLeaf]]=1,N(Tasks[[#This Row],[_Days]])=0,Tasks[[#This Row],[_LeafProgress]]&lt;1),Tasks[[#This Row],[_ShownFcstFinish]]+Tasks[[#This Row],[_Row]]/100000,"")</f>
        <v/>
      </c>
      <c r="GH1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1" s="43" t="str">
        <f aca="false">IF(Tasks[[#This Row],[Task Name]]="","",LEFT(Tasks[[#This Row],[WBS]],FIND(".",Tasks[[#This Row],[WBS]]&amp;".")-1))</f>
        <v/>
      </c>
      <c r="GJ181" s="43" t="str">
        <f aca="false">IF(AND(Tasks[[#This Row],[Task Name]]&lt;&gt;"",Tasks[[#This Row],[_Level]]=1),Tasks[[#This Row],[_Row]],"")</f>
        <v/>
      </c>
      <c r="GK181" s="43" t="str">
        <f aca="false">IF(AND(Tasks[[#This Row],[_IsLeaf]]=1,N(Tasks[[#This Row],[_Days]])=0),Tasks[[#This Row],[Planned Finish]]+Tasks[[#This Row],[_Row]]/100000,"")</f>
        <v/>
      </c>
      <c r="GL181" s="43" t="str">
        <f aca="false">IF(AND(Tasks[[#This Row],[_IsLeaf]]=1,Tasks[[#This Row],[_LeafProgress]]&lt;1,OR(N(Tasks[[#This Row],[Finish Var]])&gt;0,Tasks[[#This Row],[Status]]="Late Start")),MAX(0,Tasks[[#This Row],[Finish Var]])+1-Tasks[[#This Row],[_Row]]/1000000,"")</f>
        <v/>
      </c>
      <c r="GM181" s="43" t="str">
        <f aca="false">IF(AND(Tasks[[#This Row],[_IsLeaf]]=1,N(Tasks[[#This Row],[Actual Start]])=0,Tasks[[#This Row],[_ShownFcstStart]]&gt;=StatusDate,Tasks[[#This Row],[_ShownFcstStart]]&lt;=LookaheadEnd),Tasks[[#This Row],[_ShownFcstStart]]+Tasks[[#This Row],[_Row]]/100000,"")</f>
        <v/>
      </c>
      <c r="GN181" s="43" t="str">
        <f aca="false">IF(AND(Tasks[[#This Row],[_IsLeaf]]=1,Tasks[[#This Row],[_LeafProgress]]&lt;1,Tasks[[#This Row],[_ShownFcstFinish]]&gt;=StatusDate,Tasks[[#This Row],[_ShownFcstFinish]]&lt;=LookaheadEnd),Tasks[[#This Row],[_ShownFcstFinish]]+Tasks[[#This Row],[_Row]]/100000,"")</f>
        <v/>
      </c>
      <c r="GO181" s="43" t="str">
        <f aca="false">IF(Tasks[[#This Row],[_LeafCritical]],Tasks[[#This Row],[_ShownFcstStart]]+Tasks[[#This Row],[_Row]]/100000,"")</f>
        <v/>
      </c>
      <c r="GP181" s="43" t="n">
        <f aca="false">Tasks[[#This Row],[_LeafWork]]*Tasks[[#This Row],[_LeafProgress]]</f>
        <v>0</v>
      </c>
      <c r="GQ181" s="91" t="str">
        <f aca="false">IF(AND(Tasks[[#This Row],[_IsLeaf]]=1,Tasks[[#This Row],[_LeafProgress]]&gt;=1),IF(N(Tasks[[#This Row],[Actual Finish]])&gt;0,Tasks[[#This Row],[Actual Finish]],Tasks[[#This Row],[_ShownFcstFinish]]),"")</f>
        <v/>
      </c>
      <c r="GR181" s="43" t="n">
        <f aca="false">IF(Tasks[[#This Row],[_IsLeaf]]=1,N(Tasks[[#This Row],[Story Points]]),0)</f>
        <v>0</v>
      </c>
      <c r="GS181" s="43" t="str">
        <f aca="false">""</f>
        <v/>
      </c>
      <c r="GT181" s="90" t="b">
        <f aca="false">IF(Tasks[[#This Row],[Task Name]]="",FALSE(),AND(Tasks[[#This Row],[_IsLeaf]]=1,N(Tasks[[#This Row],[_Days]])=0))</f>
        <v>0</v>
      </c>
      <c r="GU181" s="91" t="n">
        <f aca="false">IF(Tasks[[#This Row],[Task Name]]="",0,IF(AND(Tasks[[#This Row],[_IsLeaf]]=1,NOT(Tasks[[#This Row],[_IsMilestone]]),N(Tasks[[#This Row],[Progress]])&gt;0),Tasks[[#This Row],[Start]],0))</f>
        <v>0</v>
      </c>
      <c r="GV181" s="91" t="n">
        <f aca="false">IF(Tasks[[#This Row],[_DoneFrom]]=0,0,IF(Tasks[[#This Row],[Progress]]&gt;=1,Tasks[[#This Row],[Finish]],MAX(Tasks[[#This Row],[_DoneFrom]],Tasks[[#This Row],[Start]]+ROUND((Tasks[[#This Row],[Finish]]-Tasks[[#This Row],[Start]]+1)*Tasks[[#This Row],[Progress]],0)-1)))</f>
        <v>0</v>
      </c>
      <c r="GW181" s="91" t="n">
        <f aca="false">IF(Tasks[[#This Row],[Task Name]]="",0,IF(OR(NOT(Tasks[[#This Row],[_IsLeaf]]=1),Tasks[[#This Row],[_IsMilestone]],N(Tasks[[#This Row],[Progress]])&gt;=1),0,IF(Tasks[[#This Row],[_DoneTo]]&gt;0,Tasks[[#This Row],[_DoneTo]]+1,Tasks[[#This Row],[Start]])))</f>
        <v>0</v>
      </c>
      <c r="GX181" s="91" t="n">
        <f aca="false">IF(Tasks[[#This Row],[_RemFrom]]=0,0,Tasks[[#This Row],[Finish]])</f>
        <v>0</v>
      </c>
      <c r="GY181" s="90" t="b">
        <f aca="false">IF(Tasks[[#This Row],[Task Name]]="",FALSE(),OR(NOT(BaselineSet),N(Tasks[[#This Row],[Baseline Start]])&gt;0))</f>
        <v>0</v>
      </c>
      <c r="GZ18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92" t="str">
        <f aca="false">IF(Tasks[[#This Row],[_IsLeaf]]=1,Tasks[[#This Row],[_Row]],"")</f>
        <v/>
      </c>
      <c r="HD181" s="92" t="str">
        <f aca="false">IFERROR(INDEX(Tasks[UID],SMALL(Tasks[_PickKey],Tasks[[#This Row],[_Row]]))&amp;" "&amp;INDEX(Tasks[Task Name],SMALL(Tasks[_PickKey],Tasks[[#This Row],[_Row]])),"")</f>
        <v/>
      </c>
      <c r="HE181" s="43" t="str">
        <f aca="false">IF(Tasks[[#This Row],[Task Name]]="","",IF(Tasks[[#This Row],[_IsSummary]],NETWORKDAYS.INTL(Tasks[[#This Row],[Start]],Tasks[[#This Row],[Finish]],WorkWeek,Holidays),N(Tasks[[#This Row],[_Days]])))</f>
        <v/>
      </c>
      <c r="HF181" s="43" t="n">
        <f aca="false">IF(Tasks[[#This Row],[Expected]]="",0,((Tasks[[#This Row],[Pessimistic]]-Tasks[[#This Row],[Optimistic]])/6)^2)</f>
        <v>0</v>
      </c>
      <c r="HG181" s="43" t="n">
        <f aca="false">IF(Tasks[[#This Row],[Expected]]="",0,Tasks[[#This Row],[Expected]]-N(Tasks[[#This Row],[_Days]]))</f>
        <v>0</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4"/>
      <c r="U182" s="23"/>
      <c r="V182" s="84"/>
      <c r="W182" s="23"/>
      <c r="X182" s="84"/>
      <c r="Y182" s="23"/>
      <c r="Z182" s="84"/>
      <c r="AA182" s="23"/>
      <c r="AB182" s="23"/>
      <c r="AC182" s="7"/>
      <c r="AD182" s="7"/>
      <c r="AE182" s="63" t="str">
        <f aca="false">IF(Tasks[[#This Row],[Task Name]]="","",IF(Tasks[[#This Row],[_IsSummary]],MIN(INDEX(Tasks[_ShownFcstStart],Tasks[[#This Row],[_Row]]+1):INDEX(Tasks[_ShownFcstStart],Tasks[[#This Row],[_Row]]+Tasks[[#This Row],[_Descendants]])),Tasks[[#This Row],[_ShownFcstStart]]))</f>
        <v/>
      </c>
      <c r="AF182" s="63"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2" s="7"/>
      <c r="AK182" s="22"/>
      <c r="AL182" s="23"/>
      <c r="AM182" s="7"/>
      <c r="AN182" s="47"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3" t="str">
        <f aca="false">IF(Tasks[[#This Row],[Task Name]]="","",IF(N(Tasks[[#This Row],[Baseline Start]])&gt;0,Tasks[[#This Row],[Baseline Start]],Tasks[[#This Row],[_CalcStart]]))</f>
        <v/>
      </c>
      <c r="AR182" s="63" t="str">
        <f aca="false">IF(Tasks[[#This Row],[Task Name]]="","",IF(N(Tasks[[#This Row],[Baseline Finish]])&gt;0,Tasks[[#This Row],[Baseline Finish]],Tasks[[#This Row],[_CalcFinish]]))</f>
        <v/>
      </c>
      <c r="AS182" s="47" t="str">
        <f aca="false">IF(Tasks[[#This Row],[Task Name]]="","",IF(Tasks[[#This Row],[Start]]&gt;=Tasks[[#This Row],[Planned Start]],NETWORKDAYS.INTL(Tasks[[#This Row],[Planned Start]],Tasks[[#This Row],[Start]],WorkWeek,Holidays)-1,1-NETWORKDAYS.INTL(Tasks[[#This Row],[Start]],Tasks[[#This Row],[Planned Start]],WorkWeek,Holidays)))</f>
        <v/>
      </c>
      <c r="AT182" s="63" t="str">
        <f aca="false">IF(Tasks[[#This Row],[Task Name]]="","",IF(Tasks[[#This Row],[_IsSummary]],MIN(INDEX(Tasks[_LeafLateStart],Tasks[[#This Row],[_Row]]+1):INDEX(Tasks[_LeafLateStart],Tasks[[#This Row],[_Row]]+Tasks[[#This Row],[_Descendants]])),Tasks[[#This Row],[_LeafLateStart]]))</f>
        <v/>
      </c>
      <c r="AU182" s="63" t="str">
        <f aca="false">IF(Tasks[[#This Row],[Task Name]]="","",IF(Tasks[[#This Row],[_IsSummary]],MAX(INDEX(Tasks[_LeafLateFinish],Tasks[[#This Row],[_Row]]+1):INDEX(Tasks[_LeafLateFinish],Tasks[[#This Row],[_Row]]+Tasks[[#This Row],[_Descendants]])),Tasks[[#This Row],[_LeafLateFinish]]))</f>
        <v/>
      </c>
      <c r="AV182" s="47"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5"/>
      <c r="BA1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6"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7"/>
      <c r="BJ182" s="22"/>
      <c r="BK182" s="47" t="str">
        <f aca="false">IF(OR(Tasks[[#This Row],[Task Name]]="",Tasks[[#This Row],[Baseline Duration]]=""),"",Tasks[[#This Row],[_SpanDays]]-N(Tasks[[#This Row],[Baseline Duration]]))</f>
        <v/>
      </c>
      <c r="BL182" s="86" t="str">
        <f aca="false">IF(OR(Tasks[[#This Row],[Task Name]]="",Tasks[[#This Row],[Baseline Work]]=""),"",Tasks[[#This Row],[Work]]-N(Tasks[[#This Row],[Baseline Work]]))</f>
        <v/>
      </c>
      <c r="BM182" s="63" t="str">
        <f aca="false">IF(Tasks[[#This Row],[Task Name]]="","",IF(OR(TakeBaseline="Yes",N(Tasks[[#This Row],[Baseline Start]])=0),Tasks[[#This Row],[Start]],Tasks[[#This Row],[Baseline Start]]))</f>
        <v/>
      </c>
      <c r="BN182" s="63" t="str">
        <f aca="false">IF(Tasks[[#This Row],[Task Name]]="","",IF(OR(TakeBaseline="Yes",N(Tasks[[#This Row],[Baseline Finish]])=0),Tasks[[#This Row],[Finish]],Tasks[[#This Row],[Baseline Finish]]))</f>
        <v/>
      </c>
      <c r="BO182" s="21" t="str">
        <f aca="false">IF(Tasks[[#This Row],[Task Name]]="","",IF(OR(TakeBaseline="Yes",N(Tasks[[#This Row],[Baseline Duration]])=0),Tasks[[#This Row],[_SpanDays]],Tasks[[#This Row],[Baseline Duration]]))</f>
        <v/>
      </c>
      <c r="BP182" s="86" t="str">
        <f aca="false">IF(Tasks[[#This Row],[Task Name]]="","",IF(OR(TakeBaseline="Yes",N(Tasks[[#This Row],[Baseline Work]])=0),Tasks[[#This Row],[Work]],Tasks[[#This Row],[Baseline Work]]))</f>
        <v/>
      </c>
      <c r="BQ182" s="7"/>
      <c r="BR182" s="7"/>
      <c r="BS182" s="22"/>
      <c r="BT182" s="88"/>
      <c r="BU182" s="23"/>
      <c r="BV182" s="23"/>
      <c r="BW182" s="23"/>
      <c r="BX182" s="89" t="str">
        <f aca="false">IF(AND(Tasks[[#This Row],[_IsLeaf]]=1,ISNUMBER(Tasks[[#This Row],[Optimistic]]),ISNUMBER(Tasks[[#This Row],[Pessimistic]])),ROUND((Tasks[[#This Row],[Optimistic]]+4*N(Tasks[[#This Row],[_Days]])+Tasks[[#This Row],[Pessimistic]])/6,1),"")</f>
        <v/>
      </c>
      <c r="BY182" s="87"/>
      <c r="BZ182" s="87"/>
      <c r="CA182" s="22"/>
      <c r="CB182" s="43" t="str">
        <f aca="false">IF(Tasks[[#This Row],[Task Name]]="","",MAX(1,N(Tasks[[#This Row],[Level]])))</f>
        <v/>
      </c>
      <c r="CC182" s="43" t="n">
        <f aca="false">ROW()-ROW(Tasks[[#Headers],[ID]])</f>
        <v>177</v>
      </c>
      <c r="CD182" s="43" t="n">
        <f aca="false">IF(OR(Tasks[[#This Row],[Task Name]]="",Tasks[[#This Row],[_Level]]&lt;=1),0,IFERROR(LOOKUP(2,1/(Tasks[[#Headers],[_Level]]:Tasks[[#This Row],[_Level]]=Tasks[[#This Row],[_Level]]-1),ROW(Tasks[[#Headers],[_Level]]:Tasks[[#This Row],[_Level]])),0))</f>
        <v>0</v>
      </c>
      <c r="CE182" s="43" t="n">
        <f aca="false">IFERROR(N(INDEX(Tasks[_Level],Tasks[[#This Row],[_Row]]+1)),0)</f>
        <v>0</v>
      </c>
      <c r="CF182" s="90" t="b">
        <f aca="false">AND(Tasks[[#This Row],[Task Name]]&lt;&gt;"",Tasks[[#This Row],[_NextLevel]]&gt;Tasks[[#This Row],[_Level]])</f>
        <v>0</v>
      </c>
      <c r="CG182" s="43" t="n">
        <f aca="false">IF(Tasks[[#This Row],[_IsSummary]],COUNTIF(Tasks[WBS],Tasks[[#This Row],[WBS]]&amp;".*"),0)</f>
        <v>0</v>
      </c>
      <c r="CH182" s="43" t="n">
        <f aca="false">IF(AND(Tasks[[#This Row],[Task Name]]&lt;&gt;"",NOT(Tasks[[#This Row],[_IsSummary]])),1,0)</f>
        <v>0</v>
      </c>
      <c r="CI182" s="43" t="n">
        <f aca="false">IF(N(Tasks[[#This Row],[_Pred1UID]])=0,0,IFERROR(MATCH(Tasks[[#This Row],[_Pred1UID]],Tasks[UID],0),-1))</f>
        <v>0</v>
      </c>
      <c r="CJ182" s="43" t="n">
        <f aca="false">IF(N(Tasks[[#This Row],[_Pred2UID]])=0,0,IFERROR(MATCH(Tasks[[#This Row],[_Pred2UID]],Tasks[UID],0),-1))</f>
        <v>0</v>
      </c>
      <c r="CK182" s="43" t="n">
        <f aca="false">IF(N(Tasks[[#This Row],[_Pred3UID]])=0,0,IFERROR(MATCH(Tasks[[#This Row],[_Pred3UID]],Tasks[UID],0),-1))</f>
        <v>0</v>
      </c>
      <c r="CL182" s="43" t="n">
        <f aca="false">IF(N(Tasks[[#This Row],[_Pred4UID]])=0,0,IFERROR(MATCH(Tasks[[#This Row],[_Pred4UID]],Tasks[UID],0),-1))</f>
        <v>0</v>
      </c>
      <c r="CM1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2" s="91" t="n">
        <f aca="false">IF(OR(Tasks[[#This Row],[_ConstraintCode]]=2,Tasks[[#This Row],[_ConstraintCode]]=3,Tasks[[#This Row],[_ConstraintCode]]=4,Tasks[[#This Row],[_ConstraintCode]]=6),Tasks[[#This Row],[_ConstraintStart]],0)</f>
        <v>0</v>
      </c>
      <c r="CP182" s="91" t="n">
        <f aca="false">IF(OR(Tasks[[#This Row],[_ConstraintCode]]=2,Tasks[[#This Row],[_ConstraintCode]]=3,Tasks[[#This Row],[_ConstraintCode]]=5,Tasks[[#This Row],[_ConstraintCode]]=7),Tasks[[#This Row],[_ConstraintStart]],2958465)</f>
        <v>2958465</v>
      </c>
      <c r="CQ1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91" t="str">
        <f aca="false">IF(NOT(Tasks[[#This Row],[_IsLeaf]]=1),"",IF(N(Tasks[[#This Row],[_Days]])&lt;=0,Tasks[[#This Row],[_LeafCalcStart]],WORKDAY.INTL(Tasks[[#This Row],[_LeafCalcStart]],Tasks[[#This Row],[_Days]]-1,WorkWeek,Holidays)))</f>
        <v/>
      </c>
      <c r="CS1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3" t="str">
        <f aca="false">IF(Tasks[[#This Row],[_Predecessors]]="","",TRIM(MID(SUBSTITUTE(SUBSTITUTE(SUBSTITUTE(UPPER(Tasks[[#This Row],[_Predecessors]]),";",",")," ",""),",",REPT(" ",99)),1,99)))</f>
        <v/>
      </c>
      <c r="CV182" s="43" t="str">
        <f aca="false">IF(Tasks[[#This Row],[_Pred1Text]]="","",IFERROR(VALUE(LEFT(Tasks[[#This Row],[_Pred1Text]],MIN(FIND("F",Tasks[[#This Row],[_Pred1Text]]&amp;"F"),FIND("S",Tasks[[#This Row],[_Pred1Text]]&amp;"S"),FIND("+",Tasks[[#This Row],[_Pred1Text]]&amp;"+"),FIND("-",Tasks[[#This Row],[_Pred1Text]]&amp;"-"))-1)),""))</f>
        <v/>
      </c>
      <c r="CW1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3" t="str">
        <f aca="false">IF(Tasks[[#This Row],[_Pred1Text]]="","",TRIM(MID(SUBSTITUTE(SUBSTITUTE(SUBSTITUTE(UPPER(Tasks[[#This Row],[_Predecessors]]),";",",")," ",""),",",REPT(" ",99)),100,99)))</f>
        <v/>
      </c>
      <c r="CZ182" s="43" t="str">
        <f aca="false">IF(Tasks[[#This Row],[_Pred2Text]]="","",IFERROR(VALUE(LEFT(Tasks[[#This Row],[_Pred2Text]],MIN(FIND("F",Tasks[[#This Row],[_Pred2Text]]&amp;"F"),FIND("S",Tasks[[#This Row],[_Pred2Text]]&amp;"S"),FIND("+",Tasks[[#This Row],[_Pred2Text]]&amp;"+"),FIND("-",Tasks[[#This Row],[_Pred2Text]]&amp;"-"))-1)),""))</f>
        <v/>
      </c>
      <c r="DA1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3" t="str">
        <f aca="false">IF(Tasks[[#This Row],[_Pred2Text]]="","",TRIM(MID(SUBSTITUTE(SUBSTITUTE(SUBSTITUTE(UPPER(Tasks[[#This Row],[_Predecessors]]),";",",")," ",""),",",REPT(" ",99)),199,99)))</f>
        <v/>
      </c>
      <c r="DD182" s="43" t="str">
        <f aca="false">IF(Tasks[[#This Row],[_Pred3Text]]="","",IFERROR(VALUE(LEFT(Tasks[[#This Row],[_Pred3Text]],MIN(FIND("F",Tasks[[#This Row],[_Pred3Text]]&amp;"F"),FIND("S",Tasks[[#This Row],[_Pred3Text]]&amp;"S"),FIND("+",Tasks[[#This Row],[_Pred3Text]]&amp;"+"),FIND("-",Tasks[[#This Row],[_Pred3Text]]&amp;"-"))-1)),""))</f>
        <v/>
      </c>
      <c r="DE1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3" t="str">
        <f aca="false">IF(Tasks[[#This Row],[_Pred3Text]]="","",TRIM(MID(SUBSTITUTE(SUBSTITUTE(SUBSTITUTE(UPPER(Tasks[[#This Row],[_Predecessors]]),";",",")," ",""),",",REPT(" ",99)),298,99)))</f>
        <v/>
      </c>
      <c r="DH182" s="43" t="str">
        <f aca="false">IF(Tasks[[#This Row],[_Pred4Text]]="","",IFERROR(VALUE(LEFT(Tasks[[#This Row],[_Pred4Text]],MIN(FIND("F",Tasks[[#This Row],[_Pred4Text]]&amp;"F"),FIND("S",Tasks[[#This Row],[_Pred4Text]]&amp;"S"),FIND("+",Tasks[[#This Row],[_Pred4Text]]&amp;"+"),FIND("-",Tasks[[#This Row],[_Pred4Text]]&amp;"-"))-1)),""))</f>
        <v/>
      </c>
      <c r="DI1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3" t="str">
        <f aca="false">IF(OR(Tasks[[#This Row],[Task Name]]="",Tasks[[#This Row],[_Resources]]=""),"",TRIM(MID(SUBSTITUTE(Tasks[[#This Row],[_Resources]],",",REPT(" ",99)),1,99)))</f>
        <v/>
      </c>
      <c r="DL182" s="43" t="str">
        <f aca="false">IF(Tasks[[#This Row],[_Res1Text]]="","",TRIM(MID(SUBSTITUTE(Tasks[[#This Row],[_Resources]],",",REPT(" ",99)),100,99)))</f>
        <v/>
      </c>
      <c r="DM182" s="43" t="str">
        <f aca="false">IF(Tasks[[#This Row],[_Res2Text]]="","",TRIM(MID(SUBSTITUTE(Tasks[[#This Row],[_Resources]],",",REPT(" ",99)),199,99)))</f>
        <v/>
      </c>
      <c r="DN182" s="43" t="str">
        <f aca="false">IF(Tasks[[#This Row],[_Res3Text]]="","",TRIM(MID(SUBSTITUTE(Tasks[[#This Row],[_Resources]],",",REPT(" ",99)),298,99)))</f>
        <v/>
      </c>
      <c r="DO182" s="43" t="n">
        <f aca="false">IF(Tasks[[#This Row],[_Res1Text]]="",0,IFERROR(MATCH(TRIM(LEFT(Tasks[[#This Row],[_Res1Text]],FIND("[",Tasks[[#This Row],[_Res1Text]]&amp;"[")-1)),res_Name,0),IFERROR(MATCH(TRIM(LEFT(Tasks[[#This Row],[_Res1Text]],FIND("[",Tasks[[#This Row],[_Res1Text]]&amp;"[")-1)),res_Initials,0),0)))</f>
        <v>0</v>
      </c>
      <c r="DP182" s="43" t="n">
        <f aca="false">IF(Tasks[[#This Row],[_Res2Text]]="",0,IFERROR(MATCH(TRIM(LEFT(Tasks[[#This Row],[_Res2Text]],FIND("[",Tasks[[#This Row],[_Res2Text]]&amp;"[")-1)),res_Name,0),IFERROR(MATCH(TRIM(LEFT(Tasks[[#This Row],[_Res2Text]],FIND("[",Tasks[[#This Row],[_Res2Text]]&amp;"[")-1)),res_Initials,0),0)))</f>
        <v>0</v>
      </c>
      <c r="DQ182" s="43" t="n">
        <f aca="false">IF(Tasks[[#This Row],[_Res3Text]]="",0,IFERROR(MATCH(TRIM(LEFT(Tasks[[#This Row],[_Res3Text]],FIND("[",Tasks[[#This Row],[_Res3Text]]&amp;"[")-1)),res_Name,0),IFERROR(MATCH(TRIM(LEFT(Tasks[[#This Row],[_Res3Text]],FIND("[",Tasks[[#This Row],[_Res3Text]]&amp;"[")-1)),res_Initials,0),0)))</f>
        <v>0</v>
      </c>
      <c r="DR182" s="43" t="n">
        <f aca="false">IF(Tasks[[#This Row],[_Res4Text]]="",0,IFERROR(MATCH(TRIM(LEFT(Tasks[[#This Row],[_Res4Text]],FIND("[",Tasks[[#This Row],[_Res4Text]]&amp;"[")-1)),res_Name,0),IFERROR(MATCH(TRIM(LEFT(Tasks[[#This Row],[_Res4Text]],FIND("[",Tasks[[#This Row],[_Res4Text]]&amp;"[")-1)),res_Initials,0),0)))</f>
        <v>0</v>
      </c>
      <c r="DS182" s="43" t="str">
        <f aca="false">IF(Tasks[[#This Row],[_Res1Text]]="","",IF(Tasks[[#This Row],[_Res1Row]]&gt;0,INDEX(res_Name,Tasks[[#This Row],[_Res1Row]]),TRIM(LEFT(Tasks[[#This Row],[_Res1Text]],FIND("[",Tasks[[#This Row],[_Res1Text]]&amp;"[")-1))))</f>
        <v/>
      </c>
      <c r="DT1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3" t="n">
        <f aca="false">IF(NOT(Tasks[[#This Row],[_IsLeaf]]=1),0,(Tasks[[#This Row],[_Resource1]]&lt;&gt;"")+(Tasks[[#This Row],[_Res2]]&lt;&gt;"")+(Tasks[[#This Row],[_Res3]]&lt;&gt;"")+(Tasks[[#This Row],[_Res4]]&lt;&gt;""))</f>
        <v>0</v>
      </c>
      <c r="DV182" s="43" t="str">
        <f aca="false">IF(Tasks[[#This Row],[_Res2Text]]="","",IF(Tasks[[#This Row],[_Res2Row]]&gt;0,INDEX(res_Name,Tasks[[#This Row],[_Res2Row]]),TRIM(LEFT(Tasks[[#This Row],[_Res2Text]],FIND("[",Tasks[[#This Row],[_Res2Text]]&amp;"[")-1))))</f>
        <v/>
      </c>
      <c r="DW1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3" t="n">
        <f aca="false">IF(OR(NOT(Tasks[[#This Row],[_IsLeaf]]=1),Tasks[[#This Row],[_Res2Row]]=0),0,N(Tasks[[#This Row],[_Days]])*HoursPerDay*IF(Tasks[[#This Row],[_Res2Units]]="",DefaultUnits,Tasks[[#This Row],[_Res2Units]]))</f>
        <v>0</v>
      </c>
      <c r="DY182" s="43" t="n">
        <f aca="false">IF(AND(AND(Tasks[[#This Row],[_IsLeaf]]=1,Tasks[[#This Row],[_LeafTotalWork]]&gt;0),Tasks[[#This Row],[_Res2Work]]&gt;0),Tasks[[#This Row],[_Res2Work]]/(Tasks[[#This Row],[_FinishWorkday]]-Tasks[[#This Row],[_StartWorkday]]+1),0)</f>
        <v>0</v>
      </c>
      <c r="DZ182" s="43" t="n">
        <f aca="false">Tasks[[#This Row],[_Res2WorkPerWD]]*MAX(0,Tasks[[#This Row],[_StartWorkday]]-1)</f>
        <v>0</v>
      </c>
      <c r="EA182" s="43" t="n">
        <f aca="false">Tasks[[#This Row],[_Res2Work]]*Tasks[[#This Row],[_LeafProgress]]</f>
        <v>0</v>
      </c>
      <c r="EB182" s="43" t="str">
        <f aca="false">IF(Tasks[[#This Row],[_Res3Text]]="","",IF(Tasks[[#This Row],[_Res3Row]]&gt;0,INDEX(res_Name,Tasks[[#This Row],[_Res3Row]]),TRIM(LEFT(Tasks[[#This Row],[_Res3Text]],FIND("[",Tasks[[#This Row],[_Res3Text]]&amp;"[")-1))))</f>
        <v/>
      </c>
      <c r="EC1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3" t="n">
        <f aca="false">IF(OR(NOT(Tasks[[#This Row],[_IsLeaf]]=1),Tasks[[#This Row],[_Res3Row]]=0),0,N(Tasks[[#This Row],[_Days]])*HoursPerDay*IF(Tasks[[#This Row],[_Res3Units]]="",DefaultUnits,Tasks[[#This Row],[_Res3Units]]))</f>
        <v>0</v>
      </c>
      <c r="EE182" s="43" t="n">
        <f aca="false">IF(AND(AND(Tasks[[#This Row],[_IsLeaf]]=1,Tasks[[#This Row],[_LeafTotalWork]]&gt;0),Tasks[[#This Row],[_Res3Work]]&gt;0),Tasks[[#This Row],[_Res3Work]]/(Tasks[[#This Row],[_FinishWorkday]]-Tasks[[#This Row],[_StartWorkday]]+1),0)</f>
        <v>0</v>
      </c>
      <c r="EF182" s="43" t="n">
        <f aca="false">Tasks[[#This Row],[_Res3WorkPerWD]]*MAX(0,Tasks[[#This Row],[_StartWorkday]]-1)</f>
        <v>0</v>
      </c>
      <c r="EG182" s="43" t="n">
        <f aca="false">Tasks[[#This Row],[_Res3Work]]*Tasks[[#This Row],[_LeafProgress]]</f>
        <v>0</v>
      </c>
      <c r="EH182" s="43" t="str">
        <f aca="false">IF(Tasks[[#This Row],[_Res4Text]]="","",IF(Tasks[[#This Row],[_Res4Row]]&gt;0,INDEX(res_Name,Tasks[[#This Row],[_Res4Row]]),TRIM(LEFT(Tasks[[#This Row],[_Res4Text]],FIND("[",Tasks[[#This Row],[_Res4Text]]&amp;"[")-1))))</f>
        <v/>
      </c>
      <c r="EI1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3" t="n">
        <f aca="false">IF(OR(NOT(Tasks[[#This Row],[_IsLeaf]]=1),Tasks[[#This Row],[_Res4Row]]=0),0,N(Tasks[[#This Row],[_Days]])*HoursPerDay*IF(Tasks[[#This Row],[_Res4Units]]="",DefaultUnits,Tasks[[#This Row],[_Res4Units]]))</f>
        <v>0</v>
      </c>
      <c r="EK182" s="43" t="n">
        <f aca="false">IF(AND(AND(Tasks[[#This Row],[_IsLeaf]]=1,Tasks[[#This Row],[_LeafTotalWork]]&gt;0),Tasks[[#This Row],[_Res4Work]]&gt;0),Tasks[[#This Row],[_Res4Work]]/(Tasks[[#This Row],[_FinishWorkday]]-Tasks[[#This Row],[_StartWorkday]]+1),0)</f>
        <v>0</v>
      </c>
      <c r="EL182" s="43" t="n">
        <f aca="false">Tasks[[#This Row],[_Res4WorkPerWD]]*MAX(0,Tasks[[#This Row],[_StartWorkday]]-1)</f>
        <v>0</v>
      </c>
      <c r="EM182" s="43" t="n">
        <f aca="false">Tasks[[#This Row],[_Res4Work]]*Tasks[[#This Row],[_LeafProgress]]</f>
        <v>0</v>
      </c>
      <c r="EN182" s="43" t="n">
        <f aca="false">IF(ISNUMBER(Tasks[[#This Row],[% Complete]]),Tasks[[#This Row],[% Complete]],IF(Tasks[[#This Row],[Stage]]="",0,IFERROR(INDEX(stg_Pct,MATCH(Tasks[[#This Row],[Stage]],stg_Name,0)),0)))</f>
        <v>0</v>
      </c>
      <c r="EO182" s="43" t="n">
        <f aca="false">IF(NOT(Tasks[[#This Row],[_IsLeaf]]=1),0,IF(N(Tasks[[#This Row],[Actual Finish]])&gt;0,1,MIN(1,Tasks[[#This Row],[_Pct]])))</f>
        <v>0</v>
      </c>
      <c r="EP182" s="43" t="n">
        <f aca="false">IF(OR(NOT(Tasks[[#This Row],[_IsLeaf]]=1),Tasks[[#This Row],[_Res1Row]]=0),0,N(Tasks[[#This Row],[_Days]])*HoursPerDay*IF(Tasks[[#This Row],[_Units1]]="",DefaultUnits,Tasks[[#This Row],[_Units1]]))</f>
        <v>0</v>
      </c>
      <c r="EQ182" s="43" t="n">
        <f aca="false">Tasks[[#This Row],[_LeafWork]]+Tasks[[#This Row],[_Res2Work]]+Tasks[[#This Row],[_Res3Work]]+Tasks[[#This Row],[_Res4Work]]</f>
        <v>0</v>
      </c>
      <c r="ER1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3" t="n">
        <f aca="false">IF(NOT(Tasks[[#This Row],[_IsLeaf]]=1),0,MAX(_xlfn.MAXIFS(Tasks[_Row],Tasks[_Pred1UID],Tasks[[#This Row],[UID]]),_xlfn.MAXIFS(Tasks[_Row],Tasks[_Pred2UID],Tasks[[#This Row],[UID]]),_xlfn.MAXIFS(Tasks[_Row],Tasks[_Pred3UID],Tasks[[#This Row],[UID]]),_xlfn.MAXIFS(Tasks[_Row],Tasks[_Pred4UID],Tasks[[#This Row],[UID]])))</f>
        <v>0</v>
      </c>
      <c r="FA1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91" t="str">
        <f aca="false">IF(NOT(Tasks[[#This Row],[_IsLeaf]]=1),"",IF(N(Tasks[[#This Row],[_Days]])&lt;=0,Tasks[[#This Row],[_LeafLateFinish]],WORKDAY.INTL(Tasks[[#This Row],[_LeafLateFinish]],-(Tasks[[#This Row],[_Days]]-1),WorkWeek,Holidays)))</f>
        <v/>
      </c>
      <c r="FD1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2" s="90" t="b">
        <f aca="false">AND(Tasks[[#This Row],[_IsLeaf]]=1,Tasks[[#This Row],[_LeafProgress]]&lt;1,N(Tasks[[#This Row],[_LeafTotalSlack]])&lt;=CriticalSlackDays)</f>
        <v>0</v>
      </c>
      <c r="FF182" s="43" t="n">
        <f aca="false">IF(AND(Tasks[[#This Row],[_IsLeaf]]=1,Tasks[[#This Row],[_ConstraintCode]]=1,Tasks[[#This Row],[Mode]]&lt;&gt;"Manual",N(Tasks[[#This Row],[Actual Start]])=0),MAX(0,N(Tasks[[#This Row],[Free Slack]])),0)</f>
        <v>0</v>
      </c>
      <c r="FG182" s="91" t="str">
        <f aca="false">IF(NOT(Tasks[[#This Row],[_IsLeaf]]=1),"",IF(Tasks[[#This Row],[_AlapShift]]=0,Tasks[[#This Row],[_LeafCalcStart]],WORKDAY.INTL(Tasks[[#This Row],[_LeafCalcStart]],Tasks[[#This Row],[_AlapShift]],WorkWeek,Holidays)))</f>
        <v/>
      </c>
      <c r="FH182" s="91" t="str">
        <f aca="false">IF(NOT(Tasks[[#This Row],[_IsLeaf]]=1),"",IF(Tasks[[#This Row],[_AlapShift]]=0,Tasks[[#This Row],[_LeafCalcFinish]],WORKDAY.INTL(Tasks[[#This Row],[_LeafCalcFinish]],Tasks[[#This Row],[_AlapShift]],WorkWeek,Holidays)))</f>
        <v/>
      </c>
      <c r="FI182" s="91" t="str">
        <f aca="false">IF(NOT(Tasks[[#This Row],[_IsLeaf]]=1),"",IF(Tasks[[#This Row],[_AlapShift]]=0,Tasks[[#This Row],[_LeafFcstStart]],WORKDAY.INTL(Tasks[[#This Row],[_LeafFcstStart]],Tasks[[#This Row],[_AlapShift]],WorkWeek,Holidays)))</f>
        <v/>
      </c>
      <c r="FJ182" s="91" t="str">
        <f aca="false">IF(NOT(Tasks[[#This Row],[_IsLeaf]]=1),"",IF(Tasks[[#This Row],[_AlapShift]]=0,Tasks[[#This Row],[_LeafFcstFinish]],WORKDAY.INTL(Tasks[[#This Row],[_LeafFcstFinish]],Tasks[[#This Row],[_AlapShift]],WorkWeek,Holidays)))</f>
        <v/>
      </c>
      <c r="FK182" s="91" t="str">
        <f aca="false">IF(Tasks[[#This Row],[Task Name]]="","",IF(Tasks[[#This Row],[_IsSummary]],MIN(INDEX(Tasks[_ShownCalcStart],Tasks[[#This Row],[_Row]]+1):INDEX(Tasks[_ShownCalcStart],Tasks[[#This Row],[_Row]]+Tasks[[#This Row],[_Descendants]])),Tasks[[#This Row],[_ShownCalcStart]]))</f>
        <v/>
      </c>
      <c r="FL182" s="91" t="str">
        <f aca="false">IF(Tasks[[#This Row],[Task Name]]="","",IF(Tasks[[#This Row],[_IsSummary]],MAX(INDEX(Tasks[_ShownCalcFinish],Tasks[[#This Row],[_Row]]+1):INDEX(Tasks[_ShownCalcFinish],Tasks[[#This Row],[_Row]]+Tasks[[#This Row],[_Descendants]])),Tasks[[#This Row],[_ShownCalcFinish]]))</f>
        <v/>
      </c>
      <c r="FM1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2" s="43" t="n">
        <f aca="false">IF(AND(Tasks[[#This Row],[_IsLeaf]]=1,Tasks[[#This Row],[_LeafTotalWork]]&gt;0),NETWORKDAYS.INTL(ProjectStart,Tasks[[#This Row],[_ShownFcstStart]],WorkWeek,Holidays),0)</f>
        <v>0</v>
      </c>
      <c r="FZ182" s="43" t="n">
        <f aca="false">IF(AND(Tasks[[#This Row],[_IsLeaf]]=1,Tasks[[#This Row],[_LeafTotalWork]]&gt;0),MAX(Tasks[[#This Row],[_StartWorkday]],NETWORKDAYS.INTL(ProjectStart,Tasks[[#This Row],[_ShownFcstFinish]],WorkWeek,Holidays)),0)</f>
        <v>0</v>
      </c>
      <c r="GA182" s="43" t="n">
        <f aca="false">IF(AND(Tasks[[#This Row],[_IsLeaf]]=1,Tasks[[#This Row],[_LeafTotalWork]]&gt;0),Tasks[[#This Row],[_LeafWork]]/(Tasks[[#This Row],[_FinishWorkday]]-Tasks[[#This Row],[_StartWorkday]]+1),0)</f>
        <v>0</v>
      </c>
      <c r="GB182" s="43" t="n">
        <f aca="false">Tasks[[#This Row],[_WorkPerWorkday]]*(Tasks[[#This Row],[_StartWorkday]]-1)</f>
        <v>-0</v>
      </c>
      <c r="GC182" s="43" t="n">
        <f aca="false">IF(Tasks[[#This Row],[_IsLeaf]]=1,MAX(N(Tasks[[#This Row],[_Days]]),0.1),0)</f>
        <v>0</v>
      </c>
      <c r="GD182" s="43" t="n">
        <f aca="false">Tasks[[#This Row],[_WeightDur]]*Tasks[[#This Row],[_LeafProgress]]</f>
        <v>0</v>
      </c>
      <c r="GE182" s="43" t="n">
        <f aca="false">Tasks[[#This Row],[_WeightDur]]*Tasks[[#This Row],[_PlannedPct]]</f>
        <v>0</v>
      </c>
      <c r="GF1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3" t="str">
        <f aca="false">IF(AND(Tasks[[#This Row],[_IsLeaf]]=1,N(Tasks[[#This Row],[_Days]])=0,Tasks[[#This Row],[_LeafProgress]]&lt;1),Tasks[[#This Row],[_ShownFcstFinish]]+Tasks[[#This Row],[_Row]]/100000,"")</f>
        <v/>
      </c>
      <c r="GH1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2" s="43" t="str">
        <f aca="false">IF(Tasks[[#This Row],[Task Name]]="","",LEFT(Tasks[[#This Row],[WBS]],FIND(".",Tasks[[#This Row],[WBS]]&amp;".")-1))</f>
        <v/>
      </c>
      <c r="GJ182" s="43" t="str">
        <f aca="false">IF(AND(Tasks[[#This Row],[Task Name]]&lt;&gt;"",Tasks[[#This Row],[_Level]]=1),Tasks[[#This Row],[_Row]],"")</f>
        <v/>
      </c>
      <c r="GK182" s="43" t="str">
        <f aca="false">IF(AND(Tasks[[#This Row],[_IsLeaf]]=1,N(Tasks[[#This Row],[_Days]])=0),Tasks[[#This Row],[Planned Finish]]+Tasks[[#This Row],[_Row]]/100000,"")</f>
        <v/>
      </c>
      <c r="GL182" s="43" t="str">
        <f aca="false">IF(AND(Tasks[[#This Row],[_IsLeaf]]=1,Tasks[[#This Row],[_LeafProgress]]&lt;1,OR(N(Tasks[[#This Row],[Finish Var]])&gt;0,Tasks[[#This Row],[Status]]="Late Start")),MAX(0,Tasks[[#This Row],[Finish Var]])+1-Tasks[[#This Row],[_Row]]/1000000,"")</f>
        <v/>
      </c>
      <c r="GM182" s="43" t="str">
        <f aca="false">IF(AND(Tasks[[#This Row],[_IsLeaf]]=1,N(Tasks[[#This Row],[Actual Start]])=0,Tasks[[#This Row],[_ShownFcstStart]]&gt;=StatusDate,Tasks[[#This Row],[_ShownFcstStart]]&lt;=LookaheadEnd),Tasks[[#This Row],[_ShownFcstStart]]+Tasks[[#This Row],[_Row]]/100000,"")</f>
        <v/>
      </c>
      <c r="GN182" s="43" t="str">
        <f aca="false">IF(AND(Tasks[[#This Row],[_IsLeaf]]=1,Tasks[[#This Row],[_LeafProgress]]&lt;1,Tasks[[#This Row],[_ShownFcstFinish]]&gt;=StatusDate,Tasks[[#This Row],[_ShownFcstFinish]]&lt;=LookaheadEnd),Tasks[[#This Row],[_ShownFcstFinish]]+Tasks[[#This Row],[_Row]]/100000,"")</f>
        <v/>
      </c>
      <c r="GO182" s="43" t="str">
        <f aca="false">IF(Tasks[[#This Row],[_LeafCritical]],Tasks[[#This Row],[_ShownFcstStart]]+Tasks[[#This Row],[_Row]]/100000,"")</f>
        <v/>
      </c>
      <c r="GP182" s="43" t="n">
        <f aca="false">Tasks[[#This Row],[_LeafWork]]*Tasks[[#This Row],[_LeafProgress]]</f>
        <v>0</v>
      </c>
      <c r="GQ182" s="91" t="str">
        <f aca="false">IF(AND(Tasks[[#This Row],[_IsLeaf]]=1,Tasks[[#This Row],[_LeafProgress]]&gt;=1),IF(N(Tasks[[#This Row],[Actual Finish]])&gt;0,Tasks[[#This Row],[Actual Finish]],Tasks[[#This Row],[_ShownFcstFinish]]),"")</f>
        <v/>
      </c>
      <c r="GR182" s="43" t="n">
        <f aca="false">IF(Tasks[[#This Row],[_IsLeaf]]=1,N(Tasks[[#This Row],[Story Points]]),0)</f>
        <v>0</v>
      </c>
      <c r="GS182" s="43" t="str">
        <f aca="false">""</f>
        <v/>
      </c>
      <c r="GT182" s="90" t="b">
        <f aca="false">IF(Tasks[[#This Row],[Task Name]]="",FALSE(),AND(Tasks[[#This Row],[_IsLeaf]]=1,N(Tasks[[#This Row],[_Days]])=0))</f>
        <v>0</v>
      </c>
      <c r="GU182" s="91" t="n">
        <f aca="false">IF(Tasks[[#This Row],[Task Name]]="",0,IF(AND(Tasks[[#This Row],[_IsLeaf]]=1,NOT(Tasks[[#This Row],[_IsMilestone]]),N(Tasks[[#This Row],[Progress]])&gt;0),Tasks[[#This Row],[Start]],0))</f>
        <v>0</v>
      </c>
      <c r="GV182" s="91" t="n">
        <f aca="false">IF(Tasks[[#This Row],[_DoneFrom]]=0,0,IF(Tasks[[#This Row],[Progress]]&gt;=1,Tasks[[#This Row],[Finish]],MAX(Tasks[[#This Row],[_DoneFrom]],Tasks[[#This Row],[Start]]+ROUND((Tasks[[#This Row],[Finish]]-Tasks[[#This Row],[Start]]+1)*Tasks[[#This Row],[Progress]],0)-1)))</f>
        <v>0</v>
      </c>
      <c r="GW182" s="91" t="n">
        <f aca="false">IF(Tasks[[#This Row],[Task Name]]="",0,IF(OR(NOT(Tasks[[#This Row],[_IsLeaf]]=1),Tasks[[#This Row],[_IsMilestone]],N(Tasks[[#This Row],[Progress]])&gt;=1),0,IF(Tasks[[#This Row],[_DoneTo]]&gt;0,Tasks[[#This Row],[_DoneTo]]+1,Tasks[[#This Row],[Start]])))</f>
        <v>0</v>
      </c>
      <c r="GX182" s="91" t="n">
        <f aca="false">IF(Tasks[[#This Row],[_RemFrom]]=0,0,Tasks[[#This Row],[Finish]])</f>
        <v>0</v>
      </c>
      <c r="GY182" s="90" t="b">
        <f aca="false">IF(Tasks[[#This Row],[Task Name]]="",FALSE(),OR(NOT(BaselineSet),N(Tasks[[#This Row],[Baseline Start]])&gt;0))</f>
        <v>0</v>
      </c>
      <c r="GZ18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92" t="str">
        <f aca="false">IF(Tasks[[#This Row],[_IsLeaf]]=1,Tasks[[#This Row],[_Row]],"")</f>
        <v/>
      </c>
      <c r="HD182" s="92" t="str">
        <f aca="false">IFERROR(INDEX(Tasks[UID],SMALL(Tasks[_PickKey],Tasks[[#This Row],[_Row]]))&amp;" "&amp;INDEX(Tasks[Task Name],SMALL(Tasks[_PickKey],Tasks[[#This Row],[_Row]])),"")</f>
        <v/>
      </c>
      <c r="HE182" s="43" t="str">
        <f aca="false">IF(Tasks[[#This Row],[Task Name]]="","",IF(Tasks[[#This Row],[_IsSummary]],NETWORKDAYS.INTL(Tasks[[#This Row],[Start]],Tasks[[#This Row],[Finish]],WorkWeek,Holidays),N(Tasks[[#This Row],[_Days]])))</f>
        <v/>
      </c>
      <c r="HF182" s="43" t="n">
        <f aca="false">IF(Tasks[[#This Row],[Expected]]="",0,((Tasks[[#This Row],[Pessimistic]]-Tasks[[#This Row],[Optimistic]])/6)^2)</f>
        <v>0</v>
      </c>
      <c r="HG182" s="43" t="n">
        <f aca="false">IF(Tasks[[#This Row],[Expected]]="",0,Tasks[[#This Row],[Expected]]-N(Tasks[[#This Row],[_Days]]))</f>
        <v>0</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4"/>
      <c r="U183" s="23"/>
      <c r="V183" s="84"/>
      <c r="W183" s="23"/>
      <c r="X183" s="84"/>
      <c r="Y183" s="23"/>
      <c r="Z183" s="84"/>
      <c r="AA183" s="23"/>
      <c r="AB183" s="23"/>
      <c r="AC183" s="7"/>
      <c r="AD183" s="7"/>
      <c r="AE183" s="63" t="str">
        <f aca="false">IF(Tasks[[#This Row],[Task Name]]="","",IF(Tasks[[#This Row],[_IsSummary]],MIN(INDEX(Tasks[_ShownFcstStart],Tasks[[#This Row],[_Row]]+1):INDEX(Tasks[_ShownFcstStart],Tasks[[#This Row],[_Row]]+Tasks[[#This Row],[_Descendants]])),Tasks[[#This Row],[_ShownFcstStart]]))</f>
        <v/>
      </c>
      <c r="AF183" s="63"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3" s="7"/>
      <c r="AK183" s="22"/>
      <c r="AL183" s="23"/>
      <c r="AM183" s="7"/>
      <c r="AN183" s="47"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3" t="str">
        <f aca="false">IF(Tasks[[#This Row],[Task Name]]="","",IF(N(Tasks[[#This Row],[Baseline Start]])&gt;0,Tasks[[#This Row],[Baseline Start]],Tasks[[#This Row],[_CalcStart]]))</f>
        <v/>
      </c>
      <c r="AR183" s="63" t="str">
        <f aca="false">IF(Tasks[[#This Row],[Task Name]]="","",IF(N(Tasks[[#This Row],[Baseline Finish]])&gt;0,Tasks[[#This Row],[Baseline Finish]],Tasks[[#This Row],[_CalcFinish]]))</f>
        <v/>
      </c>
      <c r="AS183" s="47" t="str">
        <f aca="false">IF(Tasks[[#This Row],[Task Name]]="","",IF(Tasks[[#This Row],[Start]]&gt;=Tasks[[#This Row],[Planned Start]],NETWORKDAYS.INTL(Tasks[[#This Row],[Planned Start]],Tasks[[#This Row],[Start]],WorkWeek,Holidays)-1,1-NETWORKDAYS.INTL(Tasks[[#This Row],[Start]],Tasks[[#This Row],[Planned Start]],WorkWeek,Holidays)))</f>
        <v/>
      </c>
      <c r="AT183" s="63" t="str">
        <f aca="false">IF(Tasks[[#This Row],[Task Name]]="","",IF(Tasks[[#This Row],[_IsSummary]],MIN(INDEX(Tasks[_LeafLateStart],Tasks[[#This Row],[_Row]]+1):INDEX(Tasks[_LeafLateStart],Tasks[[#This Row],[_Row]]+Tasks[[#This Row],[_Descendants]])),Tasks[[#This Row],[_LeafLateStart]]))</f>
        <v/>
      </c>
      <c r="AU183" s="63" t="str">
        <f aca="false">IF(Tasks[[#This Row],[Task Name]]="","",IF(Tasks[[#This Row],[_IsSummary]],MAX(INDEX(Tasks[_LeafLateFinish],Tasks[[#This Row],[_Row]]+1):INDEX(Tasks[_LeafLateFinish],Tasks[[#This Row],[_Row]]+Tasks[[#This Row],[_Descendants]])),Tasks[[#This Row],[_LeafLateFinish]]))</f>
        <v/>
      </c>
      <c r="AV183" s="47"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5"/>
      <c r="BA1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6"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7"/>
      <c r="BJ183" s="22"/>
      <c r="BK183" s="47" t="str">
        <f aca="false">IF(OR(Tasks[[#This Row],[Task Name]]="",Tasks[[#This Row],[Baseline Duration]]=""),"",Tasks[[#This Row],[_SpanDays]]-N(Tasks[[#This Row],[Baseline Duration]]))</f>
        <v/>
      </c>
      <c r="BL183" s="86" t="str">
        <f aca="false">IF(OR(Tasks[[#This Row],[Task Name]]="",Tasks[[#This Row],[Baseline Work]]=""),"",Tasks[[#This Row],[Work]]-N(Tasks[[#This Row],[Baseline Work]]))</f>
        <v/>
      </c>
      <c r="BM183" s="63" t="str">
        <f aca="false">IF(Tasks[[#This Row],[Task Name]]="","",IF(OR(TakeBaseline="Yes",N(Tasks[[#This Row],[Baseline Start]])=0),Tasks[[#This Row],[Start]],Tasks[[#This Row],[Baseline Start]]))</f>
        <v/>
      </c>
      <c r="BN183" s="63" t="str">
        <f aca="false">IF(Tasks[[#This Row],[Task Name]]="","",IF(OR(TakeBaseline="Yes",N(Tasks[[#This Row],[Baseline Finish]])=0),Tasks[[#This Row],[Finish]],Tasks[[#This Row],[Baseline Finish]]))</f>
        <v/>
      </c>
      <c r="BO183" s="21" t="str">
        <f aca="false">IF(Tasks[[#This Row],[Task Name]]="","",IF(OR(TakeBaseline="Yes",N(Tasks[[#This Row],[Baseline Duration]])=0),Tasks[[#This Row],[_SpanDays]],Tasks[[#This Row],[Baseline Duration]]))</f>
        <v/>
      </c>
      <c r="BP183" s="86" t="str">
        <f aca="false">IF(Tasks[[#This Row],[Task Name]]="","",IF(OR(TakeBaseline="Yes",N(Tasks[[#This Row],[Baseline Work]])=0),Tasks[[#This Row],[Work]],Tasks[[#This Row],[Baseline Work]]))</f>
        <v/>
      </c>
      <c r="BQ183" s="7"/>
      <c r="BR183" s="7"/>
      <c r="BS183" s="22"/>
      <c r="BT183" s="88"/>
      <c r="BU183" s="23"/>
      <c r="BV183" s="23"/>
      <c r="BW183" s="23"/>
      <c r="BX183" s="89" t="str">
        <f aca="false">IF(AND(Tasks[[#This Row],[_IsLeaf]]=1,ISNUMBER(Tasks[[#This Row],[Optimistic]]),ISNUMBER(Tasks[[#This Row],[Pessimistic]])),ROUND((Tasks[[#This Row],[Optimistic]]+4*N(Tasks[[#This Row],[_Days]])+Tasks[[#This Row],[Pessimistic]])/6,1),"")</f>
        <v/>
      </c>
      <c r="BY183" s="87"/>
      <c r="BZ183" s="87"/>
      <c r="CA183" s="22"/>
      <c r="CB183" s="43" t="str">
        <f aca="false">IF(Tasks[[#This Row],[Task Name]]="","",MAX(1,N(Tasks[[#This Row],[Level]])))</f>
        <v/>
      </c>
      <c r="CC183" s="43" t="n">
        <f aca="false">ROW()-ROW(Tasks[[#Headers],[ID]])</f>
        <v>178</v>
      </c>
      <c r="CD183" s="43" t="n">
        <f aca="false">IF(OR(Tasks[[#This Row],[Task Name]]="",Tasks[[#This Row],[_Level]]&lt;=1),0,IFERROR(LOOKUP(2,1/(Tasks[[#Headers],[_Level]]:Tasks[[#This Row],[_Level]]=Tasks[[#This Row],[_Level]]-1),ROW(Tasks[[#Headers],[_Level]]:Tasks[[#This Row],[_Level]])),0))</f>
        <v>0</v>
      </c>
      <c r="CE183" s="43" t="n">
        <f aca="false">IFERROR(N(INDEX(Tasks[_Level],Tasks[[#This Row],[_Row]]+1)),0)</f>
        <v>0</v>
      </c>
      <c r="CF183" s="90" t="b">
        <f aca="false">AND(Tasks[[#This Row],[Task Name]]&lt;&gt;"",Tasks[[#This Row],[_NextLevel]]&gt;Tasks[[#This Row],[_Level]])</f>
        <v>0</v>
      </c>
      <c r="CG183" s="43" t="n">
        <f aca="false">IF(Tasks[[#This Row],[_IsSummary]],COUNTIF(Tasks[WBS],Tasks[[#This Row],[WBS]]&amp;".*"),0)</f>
        <v>0</v>
      </c>
      <c r="CH183" s="43" t="n">
        <f aca="false">IF(AND(Tasks[[#This Row],[Task Name]]&lt;&gt;"",NOT(Tasks[[#This Row],[_IsSummary]])),1,0)</f>
        <v>0</v>
      </c>
      <c r="CI183" s="43" t="n">
        <f aca="false">IF(N(Tasks[[#This Row],[_Pred1UID]])=0,0,IFERROR(MATCH(Tasks[[#This Row],[_Pred1UID]],Tasks[UID],0),-1))</f>
        <v>0</v>
      </c>
      <c r="CJ183" s="43" t="n">
        <f aca="false">IF(N(Tasks[[#This Row],[_Pred2UID]])=0,0,IFERROR(MATCH(Tasks[[#This Row],[_Pred2UID]],Tasks[UID],0),-1))</f>
        <v>0</v>
      </c>
      <c r="CK183" s="43" t="n">
        <f aca="false">IF(N(Tasks[[#This Row],[_Pred3UID]])=0,0,IFERROR(MATCH(Tasks[[#This Row],[_Pred3UID]],Tasks[UID],0),-1))</f>
        <v>0</v>
      </c>
      <c r="CL183" s="43" t="n">
        <f aca="false">IF(N(Tasks[[#This Row],[_Pred4UID]])=0,0,IFERROR(MATCH(Tasks[[#This Row],[_Pred4UID]],Tasks[UID],0),-1))</f>
        <v>0</v>
      </c>
      <c r="CM1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3" s="91" t="n">
        <f aca="false">IF(OR(Tasks[[#This Row],[_ConstraintCode]]=2,Tasks[[#This Row],[_ConstraintCode]]=3,Tasks[[#This Row],[_ConstraintCode]]=4,Tasks[[#This Row],[_ConstraintCode]]=6),Tasks[[#This Row],[_ConstraintStart]],0)</f>
        <v>0</v>
      </c>
      <c r="CP183" s="91" t="n">
        <f aca="false">IF(OR(Tasks[[#This Row],[_ConstraintCode]]=2,Tasks[[#This Row],[_ConstraintCode]]=3,Tasks[[#This Row],[_ConstraintCode]]=5,Tasks[[#This Row],[_ConstraintCode]]=7),Tasks[[#This Row],[_ConstraintStart]],2958465)</f>
        <v>2958465</v>
      </c>
      <c r="CQ1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91" t="str">
        <f aca="false">IF(NOT(Tasks[[#This Row],[_IsLeaf]]=1),"",IF(N(Tasks[[#This Row],[_Days]])&lt;=0,Tasks[[#This Row],[_LeafCalcStart]],WORKDAY.INTL(Tasks[[#This Row],[_LeafCalcStart]],Tasks[[#This Row],[_Days]]-1,WorkWeek,Holidays)))</f>
        <v/>
      </c>
      <c r="CS1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3" t="str">
        <f aca="false">IF(Tasks[[#This Row],[_Predecessors]]="","",TRIM(MID(SUBSTITUTE(SUBSTITUTE(SUBSTITUTE(UPPER(Tasks[[#This Row],[_Predecessors]]),";",",")," ",""),",",REPT(" ",99)),1,99)))</f>
        <v/>
      </c>
      <c r="CV183" s="43" t="str">
        <f aca="false">IF(Tasks[[#This Row],[_Pred1Text]]="","",IFERROR(VALUE(LEFT(Tasks[[#This Row],[_Pred1Text]],MIN(FIND("F",Tasks[[#This Row],[_Pred1Text]]&amp;"F"),FIND("S",Tasks[[#This Row],[_Pred1Text]]&amp;"S"),FIND("+",Tasks[[#This Row],[_Pred1Text]]&amp;"+"),FIND("-",Tasks[[#This Row],[_Pred1Text]]&amp;"-"))-1)),""))</f>
        <v/>
      </c>
      <c r="CW1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3" t="str">
        <f aca="false">IF(Tasks[[#This Row],[_Pred1Text]]="","",TRIM(MID(SUBSTITUTE(SUBSTITUTE(SUBSTITUTE(UPPER(Tasks[[#This Row],[_Predecessors]]),";",",")," ",""),",",REPT(" ",99)),100,99)))</f>
        <v/>
      </c>
      <c r="CZ183" s="43" t="str">
        <f aca="false">IF(Tasks[[#This Row],[_Pred2Text]]="","",IFERROR(VALUE(LEFT(Tasks[[#This Row],[_Pred2Text]],MIN(FIND("F",Tasks[[#This Row],[_Pred2Text]]&amp;"F"),FIND("S",Tasks[[#This Row],[_Pred2Text]]&amp;"S"),FIND("+",Tasks[[#This Row],[_Pred2Text]]&amp;"+"),FIND("-",Tasks[[#This Row],[_Pred2Text]]&amp;"-"))-1)),""))</f>
        <v/>
      </c>
      <c r="DA1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3" t="str">
        <f aca="false">IF(Tasks[[#This Row],[_Pred2Text]]="","",TRIM(MID(SUBSTITUTE(SUBSTITUTE(SUBSTITUTE(UPPER(Tasks[[#This Row],[_Predecessors]]),";",",")," ",""),",",REPT(" ",99)),199,99)))</f>
        <v/>
      </c>
      <c r="DD183" s="43" t="str">
        <f aca="false">IF(Tasks[[#This Row],[_Pred3Text]]="","",IFERROR(VALUE(LEFT(Tasks[[#This Row],[_Pred3Text]],MIN(FIND("F",Tasks[[#This Row],[_Pred3Text]]&amp;"F"),FIND("S",Tasks[[#This Row],[_Pred3Text]]&amp;"S"),FIND("+",Tasks[[#This Row],[_Pred3Text]]&amp;"+"),FIND("-",Tasks[[#This Row],[_Pred3Text]]&amp;"-"))-1)),""))</f>
        <v/>
      </c>
      <c r="DE1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3" t="str">
        <f aca="false">IF(Tasks[[#This Row],[_Pred3Text]]="","",TRIM(MID(SUBSTITUTE(SUBSTITUTE(SUBSTITUTE(UPPER(Tasks[[#This Row],[_Predecessors]]),";",",")," ",""),",",REPT(" ",99)),298,99)))</f>
        <v/>
      </c>
      <c r="DH183" s="43" t="str">
        <f aca="false">IF(Tasks[[#This Row],[_Pred4Text]]="","",IFERROR(VALUE(LEFT(Tasks[[#This Row],[_Pred4Text]],MIN(FIND("F",Tasks[[#This Row],[_Pred4Text]]&amp;"F"),FIND("S",Tasks[[#This Row],[_Pred4Text]]&amp;"S"),FIND("+",Tasks[[#This Row],[_Pred4Text]]&amp;"+"),FIND("-",Tasks[[#This Row],[_Pred4Text]]&amp;"-"))-1)),""))</f>
        <v/>
      </c>
      <c r="DI1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3" t="str">
        <f aca="false">IF(OR(Tasks[[#This Row],[Task Name]]="",Tasks[[#This Row],[_Resources]]=""),"",TRIM(MID(SUBSTITUTE(Tasks[[#This Row],[_Resources]],",",REPT(" ",99)),1,99)))</f>
        <v/>
      </c>
      <c r="DL183" s="43" t="str">
        <f aca="false">IF(Tasks[[#This Row],[_Res1Text]]="","",TRIM(MID(SUBSTITUTE(Tasks[[#This Row],[_Resources]],",",REPT(" ",99)),100,99)))</f>
        <v/>
      </c>
      <c r="DM183" s="43" t="str">
        <f aca="false">IF(Tasks[[#This Row],[_Res2Text]]="","",TRIM(MID(SUBSTITUTE(Tasks[[#This Row],[_Resources]],",",REPT(" ",99)),199,99)))</f>
        <v/>
      </c>
      <c r="DN183" s="43" t="str">
        <f aca="false">IF(Tasks[[#This Row],[_Res3Text]]="","",TRIM(MID(SUBSTITUTE(Tasks[[#This Row],[_Resources]],",",REPT(" ",99)),298,99)))</f>
        <v/>
      </c>
      <c r="DO183" s="43" t="n">
        <f aca="false">IF(Tasks[[#This Row],[_Res1Text]]="",0,IFERROR(MATCH(TRIM(LEFT(Tasks[[#This Row],[_Res1Text]],FIND("[",Tasks[[#This Row],[_Res1Text]]&amp;"[")-1)),res_Name,0),IFERROR(MATCH(TRIM(LEFT(Tasks[[#This Row],[_Res1Text]],FIND("[",Tasks[[#This Row],[_Res1Text]]&amp;"[")-1)),res_Initials,0),0)))</f>
        <v>0</v>
      </c>
      <c r="DP183" s="43" t="n">
        <f aca="false">IF(Tasks[[#This Row],[_Res2Text]]="",0,IFERROR(MATCH(TRIM(LEFT(Tasks[[#This Row],[_Res2Text]],FIND("[",Tasks[[#This Row],[_Res2Text]]&amp;"[")-1)),res_Name,0),IFERROR(MATCH(TRIM(LEFT(Tasks[[#This Row],[_Res2Text]],FIND("[",Tasks[[#This Row],[_Res2Text]]&amp;"[")-1)),res_Initials,0),0)))</f>
        <v>0</v>
      </c>
      <c r="DQ183" s="43" t="n">
        <f aca="false">IF(Tasks[[#This Row],[_Res3Text]]="",0,IFERROR(MATCH(TRIM(LEFT(Tasks[[#This Row],[_Res3Text]],FIND("[",Tasks[[#This Row],[_Res3Text]]&amp;"[")-1)),res_Name,0),IFERROR(MATCH(TRIM(LEFT(Tasks[[#This Row],[_Res3Text]],FIND("[",Tasks[[#This Row],[_Res3Text]]&amp;"[")-1)),res_Initials,0),0)))</f>
        <v>0</v>
      </c>
      <c r="DR183" s="43" t="n">
        <f aca="false">IF(Tasks[[#This Row],[_Res4Text]]="",0,IFERROR(MATCH(TRIM(LEFT(Tasks[[#This Row],[_Res4Text]],FIND("[",Tasks[[#This Row],[_Res4Text]]&amp;"[")-1)),res_Name,0),IFERROR(MATCH(TRIM(LEFT(Tasks[[#This Row],[_Res4Text]],FIND("[",Tasks[[#This Row],[_Res4Text]]&amp;"[")-1)),res_Initials,0),0)))</f>
        <v>0</v>
      </c>
      <c r="DS183" s="43" t="str">
        <f aca="false">IF(Tasks[[#This Row],[_Res1Text]]="","",IF(Tasks[[#This Row],[_Res1Row]]&gt;0,INDEX(res_Name,Tasks[[#This Row],[_Res1Row]]),TRIM(LEFT(Tasks[[#This Row],[_Res1Text]],FIND("[",Tasks[[#This Row],[_Res1Text]]&amp;"[")-1))))</f>
        <v/>
      </c>
      <c r="DT1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3" t="n">
        <f aca="false">IF(NOT(Tasks[[#This Row],[_IsLeaf]]=1),0,(Tasks[[#This Row],[_Resource1]]&lt;&gt;"")+(Tasks[[#This Row],[_Res2]]&lt;&gt;"")+(Tasks[[#This Row],[_Res3]]&lt;&gt;"")+(Tasks[[#This Row],[_Res4]]&lt;&gt;""))</f>
        <v>0</v>
      </c>
      <c r="DV183" s="43" t="str">
        <f aca="false">IF(Tasks[[#This Row],[_Res2Text]]="","",IF(Tasks[[#This Row],[_Res2Row]]&gt;0,INDEX(res_Name,Tasks[[#This Row],[_Res2Row]]),TRIM(LEFT(Tasks[[#This Row],[_Res2Text]],FIND("[",Tasks[[#This Row],[_Res2Text]]&amp;"[")-1))))</f>
        <v/>
      </c>
      <c r="DW1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3" t="n">
        <f aca="false">IF(OR(NOT(Tasks[[#This Row],[_IsLeaf]]=1),Tasks[[#This Row],[_Res2Row]]=0),0,N(Tasks[[#This Row],[_Days]])*HoursPerDay*IF(Tasks[[#This Row],[_Res2Units]]="",DefaultUnits,Tasks[[#This Row],[_Res2Units]]))</f>
        <v>0</v>
      </c>
      <c r="DY183" s="43" t="n">
        <f aca="false">IF(AND(AND(Tasks[[#This Row],[_IsLeaf]]=1,Tasks[[#This Row],[_LeafTotalWork]]&gt;0),Tasks[[#This Row],[_Res2Work]]&gt;0),Tasks[[#This Row],[_Res2Work]]/(Tasks[[#This Row],[_FinishWorkday]]-Tasks[[#This Row],[_StartWorkday]]+1),0)</f>
        <v>0</v>
      </c>
      <c r="DZ183" s="43" t="n">
        <f aca="false">Tasks[[#This Row],[_Res2WorkPerWD]]*MAX(0,Tasks[[#This Row],[_StartWorkday]]-1)</f>
        <v>0</v>
      </c>
      <c r="EA183" s="43" t="n">
        <f aca="false">Tasks[[#This Row],[_Res2Work]]*Tasks[[#This Row],[_LeafProgress]]</f>
        <v>0</v>
      </c>
      <c r="EB183" s="43" t="str">
        <f aca="false">IF(Tasks[[#This Row],[_Res3Text]]="","",IF(Tasks[[#This Row],[_Res3Row]]&gt;0,INDEX(res_Name,Tasks[[#This Row],[_Res3Row]]),TRIM(LEFT(Tasks[[#This Row],[_Res3Text]],FIND("[",Tasks[[#This Row],[_Res3Text]]&amp;"[")-1))))</f>
        <v/>
      </c>
      <c r="EC1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3" t="n">
        <f aca="false">IF(OR(NOT(Tasks[[#This Row],[_IsLeaf]]=1),Tasks[[#This Row],[_Res3Row]]=0),0,N(Tasks[[#This Row],[_Days]])*HoursPerDay*IF(Tasks[[#This Row],[_Res3Units]]="",DefaultUnits,Tasks[[#This Row],[_Res3Units]]))</f>
        <v>0</v>
      </c>
      <c r="EE183" s="43" t="n">
        <f aca="false">IF(AND(AND(Tasks[[#This Row],[_IsLeaf]]=1,Tasks[[#This Row],[_LeafTotalWork]]&gt;0),Tasks[[#This Row],[_Res3Work]]&gt;0),Tasks[[#This Row],[_Res3Work]]/(Tasks[[#This Row],[_FinishWorkday]]-Tasks[[#This Row],[_StartWorkday]]+1),0)</f>
        <v>0</v>
      </c>
      <c r="EF183" s="43" t="n">
        <f aca="false">Tasks[[#This Row],[_Res3WorkPerWD]]*MAX(0,Tasks[[#This Row],[_StartWorkday]]-1)</f>
        <v>0</v>
      </c>
      <c r="EG183" s="43" t="n">
        <f aca="false">Tasks[[#This Row],[_Res3Work]]*Tasks[[#This Row],[_LeafProgress]]</f>
        <v>0</v>
      </c>
      <c r="EH183" s="43" t="str">
        <f aca="false">IF(Tasks[[#This Row],[_Res4Text]]="","",IF(Tasks[[#This Row],[_Res4Row]]&gt;0,INDEX(res_Name,Tasks[[#This Row],[_Res4Row]]),TRIM(LEFT(Tasks[[#This Row],[_Res4Text]],FIND("[",Tasks[[#This Row],[_Res4Text]]&amp;"[")-1))))</f>
        <v/>
      </c>
      <c r="EI1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3" t="n">
        <f aca="false">IF(OR(NOT(Tasks[[#This Row],[_IsLeaf]]=1),Tasks[[#This Row],[_Res4Row]]=0),0,N(Tasks[[#This Row],[_Days]])*HoursPerDay*IF(Tasks[[#This Row],[_Res4Units]]="",DefaultUnits,Tasks[[#This Row],[_Res4Units]]))</f>
        <v>0</v>
      </c>
      <c r="EK183" s="43" t="n">
        <f aca="false">IF(AND(AND(Tasks[[#This Row],[_IsLeaf]]=1,Tasks[[#This Row],[_LeafTotalWork]]&gt;0),Tasks[[#This Row],[_Res4Work]]&gt;0),Tasks[[#This Row],[_Res4Work]]/(Tasks[[#This Row],[_FinishWorkday]]-Tasks[[#This Row],[_StartWorkday]]+1),0)</f>
        <v>0</v>
      </c>
      <c r="EL183" s="43" t="n">
        <f aca="false">Tasks[[#This Row],[_Res4WorkPerWD]]*MAX(0,Tasks[[#This Row],[_StartWorkday]]-1)</f>
        <v>0</v>
      </c>
      <c r="EM183" s="43" t="n">
        <f aca="false">Tasks[[#This Row],[_Res4Work]]*Tasks[[#This Row],[_LeafProgress]]</f>
        <v>0</v>
      </c>
      <c r="EN183" s="43" t="n">
        <f aca="false">IF(ISNUMBER(Tasks[[#This Row],[% Complete]]),Tasks[[#This Row],[% Complete]],IF(Tasks[[#This Row],[Stage]]="",0,IFERROR(INDEX(stg_Pct,MATCH(Tasks[[#This Row],[Stage]],stg_Name,0)),0)))</f>
        <v>0</v>
      </c>
      <c r="EO183" s="43" t="n">
        <f aca="false">IF(NOT(Tasks[[#This Row],[_IsLeaf]]=1),0,IF(N(Tasks[[#This Row],[Actual Finish]])&gt;0,1,MIN(1,Tasks[[#This Row],[_Pct]])))</f>
        <v>0</v>
      </c>
      <c r="EP183" s="43" t="n">
        <f aca="false">IF(OR(NOT(Tasks[[#This Row],[_IsLeaf]]=1),Tasks[[#This Row],[_Res1Row]]=0),0,N(Tasks[[#This Row],[_Days]])*HoursPerDay*IF(Tasks[[#This Row],[_Units1]]="",DefaultUnits,Tasks[[#This Row],[_Units1]]))</f>
        <v>0</v>
      </c>
      <c r="EQ183" s="43" t="n">
        <f aca="false">Tasks[[#This Row],[_LeafWork]]+Tasks[[#This Row],[_Res2Work]]+Tasks[[#This Row],[_Res3Work]]+Tasks[[#This Row],[_Res4Work]]</f>
        <v>0</v>
      </c>
      <c r="ER1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3" t="n">
        <f aca="false">IF(NOT(Tasks[[#This Row],[_IsLeaf]]=1),0,MAX(_xlfn.MAXIFS(Tasks[_Row],Tasks[_Pred1UID],Tasks[[#This Row],[UID]]),_xlfn.MAXIFS(Tasks[_Row],Tasks[_Pred2UID],Tasks[[#This Row],[UID]]),_xlfn.MAXIFS(Tasks[_Row],Tasks[_Pred3UID],Tasks[[#This Row],[UID]]),_xlfn.MAXIFS(Tasks[_Row],Tasks[_Pred4UID],Tasks[[#This Row],[UID]])))</f>
        <v>0</v>
      </c>
      <c r="FA1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91" t="str">
        <f aca="false">IF(NOT(Tasks[[#This Row],[_IsLeaf]]=1),"",IF(N(Tasks[[#This Row],[_Days]])&lt;=0,Tasks[[#This Row],[_LeafLateFinish]],WORKDAY.INTL(Tasks[[#This Row],[_LeafLateFinish]],-(Tasks[[#This Row],[_Days]]-1),WorkWeek,Holidays)))</f>
        <v/>
      </c>
      <c r="FD1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3" s="90" t="b">
        <f aca="false">AND(Tasks[[#This Row],[_IsLeaf]]=1,Tasks[[#This Row],[_LeafProgress]]&lt;1,N(Tasks[[#This Row],[_LeafTotalSlack]])&lt;=CriticalSlackDays)</f>
        <v>0</v>
      </c>
      <c r="FF183" s="43" t="n">
        <f aca="false">IF(AND(Tasks[[#This Row],[_IsLeaf]]=1,Tasks[[#This Row],[_ConstraintCode]]=1,Tasks[[#This Row],[Mode]]&lt;&gt;"Manual",N(Tasks[[#This Row],[Actual Start]])=0),MAX(0,N(Tasks[[#This Row],[Free Slack]])),0)</f>
        <v>0</v>
      </c>
      <c r="FG183" s="91" t="str">
        <f aca="false">IF(NOT(Tasks[[#This Row],[_IsLeaf]]=1),"",IF(Tasks[[#This Row],[_AlapShift]]=0,Tasks[[#This Row],[_LeafCalcStart]],WORKDAY.INTL(Tasks[[#This Row],[_LeafCalcStart]],Tasks[[#This Row],[_AlapShift]],WorkWeek,Holidays)))</f>
        <v/>
      </c>
      <c r="FH183" s="91" t="str">
        <f aca="false">IF(NOT(Tasks[[#This Row],[_IsLeaf]]=1),"",IF(Tasks[[#This Row],[_AlapShift]]=0,Tasks[[#This Row],[_LeafCalcFinish]],WORKDAY.INTL(Tasks[[#This Row],[_LeafCalcFinish]],Tasks[[#This Row],[_AlapShift]],WorkWeek,Holidays)))</f>
        <v/>
      </c>
      <c r="FI183" s="91" t="str">
        <f aca="false">IF(NOT(Tasks[[#This Row],[_IsLeaf]]=1),"",IF(Tasks[[#This Row],[_AlapShift]]=0,Tasks[[#This Row],[_LeafFcstStart]],WORKDAY.INTL(Tasks[[#This Row],[_LeafFcstStart]],Tasks[[#This Row],[_AlapShift]],WorkWeek,Holidays)))</f>
        <v/>
      </c>
      <c r="FJ183" s="91" t="str">
        <f aca="false">IF(NOT(Tasks[[#This Row],[_IsLeaf]]=1),"",IF(Tasks[[#This Row],[_AlapShift]]=0,Tasks[[#This Row],[_LeafFcstFinish]],WORKDAY.INTL(Tasks[[#This Row],[_LeafFcstFinish]],Tasks[[#This Row],[_AlapShift]],WorkWeek,Holidays)))</f>
        <v/>
      </c>
      <c r="FK183" s="91" t="str">
        <f aca="false">IF(Tasks[[#This Row],[Task Name]]="","",IF(Tasks[[#This Row],[_IsSummary]],MIN(INDEX(Tasks[_ShownCalcStart],Tasks[[#This Row],[_Row]]+1):INDEX(Tasks[_ShownCalcStart],Tasks[[#This Row],[_Row]]+Tasks[[#This Row],[_Descendants]])),Tasks[[#This Row],[_ShownCalcStart]]))</f>
        <v/>
      </c>
      <c r="FL183" s="91" t="str">
        <f aca="false">IF(Tasks[[#This Row],[Task Name]]="","",IF(Tasks[[#This Row],[_IsSummary]],MAX(INDEX(Tasks[_ShownCalcFinish],Tasks[[#This Row],[_Row]]+1):INDEX(Tasks[_ShownCalcFinish],Tasks[[#This Row],[_Row]]+Tasks[[#This Row],[_Descendants]])),Tasks[[#This Row],[_ShownCalcFinish]]))</f>
        <v/>
      </c>
      <c r="FM1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3" s="43" t="n">
        <f aca="false">IF(AND(Tasks[[#This Row],[_IsLeaf]]=1,Tasks[[#This Row],[_LeafTotalWork]]&gt;0),NETWORKDAYS.INTL(ProjectStart,Tasks[[#This Row],[_ShownFcstStart]],WorkWeek,Holidays),0)</f>
        <v>0</v>
      </c>
      <c r="FZ183" s="43" t="n">
        <f aca="false">IF(AND(Tasks[[#This Row],[_IsLeaf]]=1,Tasks[[#This Row],[_LeafTotalWork]]&gt;0),MAX(Tasks[[#This Row],[_StartWorkday]],NETWORKDAYS.INTL(ProjectStart,Tasks[[#This Row],[_ShownFcstFinish]],WorkWeek,Holidays)),0)</f>
        <v>0</v>
      </c>
      <c r="GA183" s="43" t="n">
        <f aca="false">IF(AND(Tasks[[#This Row],[_IsLeaf]]=1,Tasks[[#This Row],[_LeafTotalWork]]&gt;0),Tasks[[#This Row],[_LeafWork]]/(Tasks[[#This Row],[_FinishWorkday]]-Tasks[[#This Row],[_StartWorkday]]+1),0)</f>
        <v>0</v>
      </c>
      <c r="GB183" s="43" t="n">
        <f aca="false">Tasks[[#This Row],[_WorkPerWorkday]]*(Tasks[[#This Row],[_StartWorkday]]-1)</f>
        <v>-0</v>
      </c>
      <c r="GC183" s="43" t="n">
        <f aca="false">IF(Tasks[[#This Row],[_IsLeaf]]=1,MAX(N(Tasks[[#This Row],[_Days]]),0.1),0)</f>
        <v>0</v>
      </c>
      <c r="GD183" s="43" t="n">
        <f aca="false">Tasks[[#This Row],[_WeightDur]]*Tasks[[#This Row],[_LeafProgress]]</f>
        <v>0</v>
      </c>
      <c r="GE183" s="43" t="n">
        <f aca="false">Tasks[[#This Row],[_WeightDur]]*Tasks[[#This Row],[_PlannedPct]]</f>
        <v>0</v>
      </c>
      <c r="GF1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3" t="str">
        <f aca="false">IF(AND(Tasks[[#This Row],[_IsLeaf]]=1,N(Tasks[[#This Row],[_Days]])=0,Tasks[[#This Row],[_LeafProgress]]&lt;1),Tasks[[#This Row],[_ShownFcstFinish]]+Tasks[[#This Row],[_Row]]/100000,"")</f>
        <v/>
      </c>
      <c r="GH1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3" s="43" t="str">
        <f aca="false">IF(Tasks[[#This Row],[Task Name]]="","",LEFT(Tasks[[#This Row],[WBS]],FIND(".",Tasks[[#This Row],[WBS]]&amp;".")-1))</f>
        <v/>
      </c>
      <c r="GJ183" s="43" t="str">
        <f aca="false">IF(AND(Tasks[[#This Row],[Task Name]]&lt;&gt;"",Tasks[[#This Row],[_Level]]=1),Tasks[[#This Row],[_Row]],"")</f>
        <v/>
      </c>
      <c r="GK183" s="43" t="str">
        <f aca="false">IF(AND(Tasks[[#This Row],[_IsLeaf]]=1,N(Tasks[[#This Row],[_Days]])=0),Tasks[[#This Row],[Planned Finish]]+Tasks[[#This Row],[_Row]]/100000,"")</f>
        <v/>
      </c>
      <c r="GL183" s="43" t="str">
        <f aca="false">IF(AND(Tasks[[#This Row],[_IsLeaf]]=1,Tasks[[#This Row],[_LeafProgress]]&lt;1,OR(N(Tasks[[#This Row],[Finish Var]])&gt;0,Tasks[[#This Row],[Status]]="Late Start")),MAX(0,Tasks[[#This Row],[Finish Var]])+1-Tasks[[#This Row],[_Row]]/1000000,"")</f>
        <v/>
      </c>
      <c r="GM183" s="43" t="str">
        <f aca="false">IF(AND(Tasks[[#This Row],[_IsLeaf]]=1,N(Tasks[[#This Row],[Actual Start]])=0,Tasks[[#This Row],[_ShownFcstStart]]&gt;=StatusDate,Tasks[[#This Row],[_ShownFcstStart]]&lt;=LookaheadEnd),Tasks[[#This Row],[_ShownFcstStart]]+Tasks[[#This Row],[_Row]]/100000,"")</f>
        <v/>
      </c>
      <c r="GN183" s="43" t="str">
        <f aca="false">IF(AND(Tasks[[#This Row],[_IsLeaf]]=1,Tasks[[#This Row],[_LeafProgress]]&lt;1,Tasks[[#This Row],[_ShownFcstFinish]]&gt;=StatusDate,Tasks[[#This Row],[_ShownFcstFinish]]&lt;=LookaheadEnd),Tasks[[#This Row],[_ShownFcstFinish]]+Tasks[[#This Row],[_Row]]/100000,"")</f>
        <v/>
      </c>
      <c r="GO183" s="43" t="str">
        <f aca="false">IF(Tasks[[#This Row],[_LeafCritical]],Tasks[[#This Row],[_ShownFcstStart]]+Tasks[[#This Row],[_Row]]/100000,"")</f>
        <v/>
      </c>
      <c r="GP183" s="43" t="n">
        <f aca="false">Tasks[[#This Row],[_LeafWork]]*Tasks[[#This Row],[_LeafProgress]]</f>
        <v>0</v>
      </c>
      <c r="GQ183" s="91" t="str">
        <f aca="false">IF(AND(Tasks[[#This Row],[_IsLeaf]]=1,Tasks[[#This Row],[_LeafProgress]]&gt;=1),IF(N(Tasks[[#This Row],[Actual Finish]])&gt;0,Tasks[[#This Row],[Actual Finish]],Tasks[[#This Row],[_ShownFcstFinish]]),"")</f>
        <v/>
      </c>
      <c r="GR183" s="43" t="n">
        <f aca="false">IF(Tasks[[#This Row],[_IsLeaf]]=1,N(Tasks[[#This Row],[Story Points]]),0)</f>
        <v>0</v>
      </c>
      <c r="GS183" s="43" t="str">
        <f aca="false">""</f>
        <v/>
      </c>
      <c r="GT183" s="90" t="b">
        <f aca="false">IF(Tasks[[#This Row],[Task Name]]="",FALSE(),AND(Tasks[[#This Row],[_IsLeaf]]=1,N(Tasks[[#This Row],[_Days]])=0))</f>
        <v>0</v>
      </c>
      <c r="GU183" s="91" t="n">
        <f aca="false">IF(Tasks[[#This Row],[Task Name]]="",0,IF(AND(Tasks[[#This Row],[_IsLeaf]]=1,NOT(Tasks[[#This Row],[_IsMilestone]]),N(Tasks[[#This Row],[Progress]])&gt;0),Tasks[[#This Row],[Start]],0))</f>
        <v>0</v>
      </c>
      <c r="GV183" s="91" t="n">
        <f aca="false">IF(Tasks[[#This Row],[_DoneFrom]]=0,0,IF(Tasks[[#This Row],[Progress]]&gt;=1,Tasks[[#This Row],[Finish]],MAX(Tasks[[#This Row],[_DoneFrom]],Tasks[[#This Row],[Start]]+ROUND((Tasks[[#This Row],[Finish]]-Tasks[[#This Row],[Start]]+1)*Tasks[[#This Row],[Progress]],0)-1)))</f>
        <v>0</v>
      </c>
      <c r="GW183" s="91" t="n">
        <f aca="false">IF(Tasks[[#This Row],[Task Name]]="",0,IF(OR(NOT(Tasks[[#This Row],[_IsLeaf]]=1),Tasks[[#This Row],[_IsMilestone]],N(Tasks[[#This Row],[Progress]])&gt;=1),0,IF(Tasks[[#This Row],[_DoneTo]]&gt;0,Tasks[[#This Row],[_DoneTo]]+1,Tasks[[#This Row],[Start]])))</f>
        <v>0</v>
      </c>
      <c r="GX183" s="91" t="n">
        <f aca="false">IF(Tasks[[#This Row],[_RemFrom]]=0,0,Tasks[[#This Row],[Finish]])</f>
        <v>0</v>
      </c>
      <c r="GY183" s="90" t="b">
        <f aca="false">IF(Tasks[[#This Row],[Task Name]]="",FALSE(),OR(NOT(BaselineSet),N(Tasks[[#This Row],[Baseline Start]])&gt;0))</f>
        <v>0</v>
      </c>
      <c r="GZ18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92" t="str">
        <f aca="false">IF(Tasks[[#This Row],[_IsLeaf]]=1,Tasks[[#This Row],[_Row]],"")</f>
        <v/>
      </c>
      <c r="HD183" s="92" t="str">
        <f aca="false">IFERROR(INDEX(Tasks[UID],SMALL(Tasks[_PickKey],Tasks[[#This Row],[_Row]]))&amp;" "&amp;INDEX(Tasks[Task Name],SMALL(Tasks[_PickKey],Tasks[[#This Row],[_Row]])),"")</f>
        <v/>
      </c>
      <c r="HE183" s="43" t="str">
        <f aca="false">IF(Tasks[[#This Row],[Task Name]]="","",IF(Tasks[[#This Row],[_IsSummary]],NETWORKDAYS.INTL(Tasks[[#This Row],[Start]],Tasks[[#This Row],[Finish]],WorkWeek,Holidays),N(Tasks[[#This Row],[_Days]])))</f>
        <v/>
      </c>
      <c r="HF183" s="43" t="n">
        <f aca="false">IF(Tasks[[#This Row],[Expected]]="",0,((Tasks[[#This Row],[Pessimistic]]-Tasks[[#This Row],[Optimistic]])/6)^2)</f>
        <v>0</v>
      </c>
      <c r="HG183" s="43" t="n">
        <f aca="false">IF(Tasks[[#This Row],[Expected]]="",0,Tasks[[#This Row],[Expected]]-N(Tasks[[#This Row],[_Days]]))</f>
        <v>0</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4"/>
      <c r="U184" s="23"/>
      <c r="V184" s="84"/>
      <c r="W184" s="23"/>
      <c r="X184" s="84"/>
      <c r="Y184" s="23"/>
      <c r="Z184" s="84"/>
      <c r="AA184" s="23"/>
      <c r="AB184" s="23"/>
      <c r="AC184" s="7"/>
      <c r="AD184" s="7"/>
      <c r="AE184" s="63" t="str">
        <f aca="false">IF(Tasks[[#This Row],[Task Name]]="","",IF(Tasks[[#This Row],[_IsSummary]],MIN(INDEX(Tasks[_ShownFcstStart],Tasks[[#This Row],[_Row]]+1):INDEX(Tasks[_ShownFcstStart],Tasks[[#This Row],[_Row]]+Tasks[[#This Row],[_Descendants]])),Tasks[[#This Row],[_ShownFcstStart]]))</f>
        <v/>
      </c>
      <c r="AF184" s="63"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4" s="7"/>
      <c r="AK184" s="22"/>
      <c r="AL184" s="23"/>
      <c r="AM184" s="7"/>
      <c r="AN184" s="47"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3" t="str">
        <f aca="false">IF(Tasks[[#This Row],[Task Name]]="","",IF(N(Tasks[[#This Row],[Baseline Start]])&gt;0,Tasks[[#This Row],[Baseline Start]],Tasks[[#This Row],[_CalcStart]]))</f>
        <v/>
      </c>
      <c r="AR184" s="63" t="str">
        <f aca="false">IF(Tasks[[#This Row],[Task Name]]="","",IF(N(Tasks[[#This Row],[Baseline Finish]])&gt;0,Tasks[[#This Row],[Baseline Finish]],Tasks[[#This Row],[_CalcFinish]]))</f>
        <v/>
      </c>
      <c r="AS184" s="47" t="str">
        <f aca="false">IF(Tasks[[#This Row],[Task Name]]="","",IF(Tasks[[#This Row],[Start]]&gt;=Tasks[[#This Row],[Planned Start]],NETWORKDAYS.INTL(Tasks[[#This Row],[Planned Start]],Tasks[[#This Row],[Start]],WorkWeek,Holidays)-1,1-NETWORKDAYS.INTL(Tasks[[#This Row],[Start]],Tasks[[#This Row],[Planned Start]],WorkWeek,Holidays)))</f>
        <v/>
      </c>
      <c r="AT184" s="63" t="str">
        <f aca="false">IF(Tasks[[#This Row],[Task Name]]="","",IF(Tasks[[#This Row],[_IsSummary]],MIN(INDEX(Tasks[_LeafLateStart],Tasks[[#This Row],[_Row]]+1):INDEX(Tasks[_LeafLateStart],Tasks[[#This Row],[_Row]]+Tasks[[#This Row],[_Descendants]])),Tasks[[#This Row],[_LeafLateStart]]))</f>
        <v/>
      </c>
      <c r="AU184" s="63" t="str">
        <f aca="false">IF(Tasks[[#This Row],[Task Name]]="","",IF(Tasks[[#This Row],[_IsSummary]],MAX(INDEX(Tasks[_LeafLateFinish],Tasks[[#This Row],[_Row]]+1):INDEX(Tasks[_LeafLateFinish],Tasks[[#This Row],[_Row]]+Tasks[[#This Row],[_Descendants]])),Tasks[[#This Row],[_LeafLateFinish]]))</f>
        <v/>
      </c>
      <c r="AV184" s="47"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5"/>
      <c r="BA1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6"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7"/>
      <c r="BJ184" s="22"/>
      <c r="BK184" s="47" t="str">
        <f aca="false">IF(OR(Tasks[[#This Row],[Task Name]]="",Tasks[[#This Row],[Baseline Duration]]=""),"",Tasks[[#This Row],[_SpanDays]]-N(Tasks[[#This Row],[Baseline Duration]]))</f>
        <v/>
      </c>
      <c r="BL184" s="86" t="str">
        <f aca="false">IF(OR(Tasks[[#This Row],[Task Name]]="",Tasks[[#This Row],[Baseline Work]]=""),"",Tasks[[#This Row],[Work]]-N(Tasks[[#This Row],[Baseline Work]]))</f>
        <v/>
      </c>
      <c r="BM184" s="63" t="str">
        <f aca="false">IF(Tasks[[#This Row],[Task Name]]="","",IF(OR(TakeBaseline="Yes",N(Tasks[[#This Row],[Baseline Start]])=0),Tasks[[#This Row],[Start]],Tasks[[#This Row],[Baseline Start]]))</f>
        <v/>
      </c>
      <c r="BN184" s="63" t="str">
        <f aca="false">IF(Tasks[[#This Row],[Task Name]]="","",IF(OR(TakeBaseline="Yes",N(Tasks[[#This Row],[Baseline Finish]])=0),Tasks[[#This Row],[Finish]],Tasks[[#This Row],[Baseline Finish]]))</f>
        <v/>
      </c>
      <c r="BO184" s="21" t="str">
        <f aca="false">IF(Tasks[[#This Row],[Task Name]]="","",IF(OR(TakeBaseline="Yes",N(Tasks[[#This Row],[Baseline Duration]])=0),Tasks[[#This Row],[_SpanDays]],Tasks[[#This Row],[Baseline Duration]]))</f>
        <v/>
      </c>
      <c r="BP184" s="86" t="str">
        <f aca="false">IF(Tasks[[#This Row],[Task Name]]="","",IF(OR(TakeBaseline="Yes",N(Tasks[[#This Row],[Baseline Work]])=0),Tasks[[#This Row],[Work]],Tasks[[#This Row],[Baseline Work]]))</f>
        <v/>
      </c>
      <c r="BQ184" s="7"/>
      <c r="BR184" s="7"/>
      <c r="BS184" s="22"/>
      <c r="BT184" s="88"/>
      <c r="BU184" s="23"/>
      <c r="BV184" s="23"/>
      <c r="BW184" s="23"/>
      <c r="BX184" s="89" t="str">
        <f aca="false">IF(AND(Tasks[[#This Row],[_IsLeaf]]=1,ISNUMBER(Tasks[[#This Row],[Optimistic]]),ISNUMBER(Tasks[[#This Row],[Pessimistic]])),ROUND((Tasks[[#This Row],[Optimistic]]+4*N(Tasks[[#This Row],[_Days]])+Tasks[[#This Row],[Pessimistic]])/6,1),"")</f>
        <v/>
      </c>
      <c r="BY184" s="87"/>
      <c r="BZ184" s="87"/>
      <c r="CA184" s="22"/>
      <c r="CB184" s="43" t="str">
        <f aca="false">IF(Tasks[[#This Row],[Task Name]]="","",MAX(1,N(Tasks[[#This Row],[Level]])))</f>
        <v/>
      </c>
      <c r="CC184" s="43" t="n">
        <f aca="false">ROW()-ROW(Tasks[[#Headers],[ID]])</f>
        <v>179</v>
      </c>
      <c r="CD184" s="43" t="n">
        <f aca="false">IF(OR(Tasks[[#This Row],[Task Name]]="",Tasks[[#This Row],[_Level]]&lt;=1),0,IFERROR(LOOKUP(2,1/(Tasks[[#Headers],[_Level]]:Tasks[[#This Row],[_Level]]=Tasks[[#This Row],[_Level]]-1),ROW(Tasks[[#Headers],[_Level]]:Tasks[[#This Row],[_Level]])),0))</f>
        <v>0</v>
      </c>
      <c r="CE184" s="43" t="n">
        <f aca="false">IFERROR(N(INDEX(Tasks[_Level],Tasks[[#This Row],[_Row]]+1)),0)</f>
        <v>0</v>
      </c>
      <c r="CF184" s="90" t="b">
        <f aca="false">AND(Tasks[[#This Row],[Task Name]]&lt;&gt;"",Tasks[[#This Row],[_NextLevel]]&gt;Tasks[[#This Row],[_Level]])</f>
        <v>0</v>
      </c>
      <c r="CG184" s="43" t="n">
        <f aca="false">IF(Tasks[[#This Row],[_IsSummary]],COUNTIF(Tasks[WBS],Tasks[[#This Row],[WBS]]&amp;".*"),0)</f>
        <v>0</v>
      </c>
      <c r="CH184" s="43" t="n">
        <f aca="false">IF(AND(Tasks[[#This Row],[Task Name]]&lt;&gt;"",NOT(Tasks[[#This Row],[_IsSummary]])),1,0)</f>
        <v>0</v>
      </c>
      <c r="CI184" s="43" t="n">
        <f aca="false">IF(N(Tasks[[#This Row],[_Pred1UID]])=0,0,IFERROR(MATCH(Tasks[[#This Row],[_Pred1UID]],Tasks[UID],0),-1))</f>
        <v>0</v>
      </c>
      <c r="CJ184" s="43" t="n">
        <f aca="false">IF(N(Tasks[[#This Row],[_Pred2UID]])=0,0,IFERROR(MATCH(Tasks[[#This Row],[_Pred2UID]],Tasks[UID],0),-1))</f>
        <v>0</v>
      </c>
      <c r="CK184" s="43" t="n">
        <f aca="false">IF(N(Tasks[[#This Row],[_Pred3UID]])=0,0,IFERROR(MATCH(Tasks[[#This Row],[_Pred3UID]],Tasks[UID],0),-1))</f>
        <v>0</v>
      </c>
      <c r="CL184" s="43" t="n">
        <f aca="false">IF(N(Tasks[[#This Row],[_Pred4UID]])=0,0,IFERROR(MATCH(Tasks[[#This Row],[_Pred4UID]],Tasks[UID],0),-1))</f>
        <v>0</v>
      </c>
      <c r="CM1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4" s="91" t="n">
        <f aca="false">IF(OR(Tasks[[#This Row],[_ConstraintCode]]=2,Tasks[[#This Row],[_ConstraintCode]]=3,Tasks[[#This Row],[_ConstraintCode]]=4,Tasks[[#This Row],[_ConstraintCode]]=6),Tasks[[#This Row],[_ConstraintStart]],0)</f>
        <v>0</v>
      </c>
      <c r="CP184" s="91" t="n">
        <f aca="false">IF(OR(Tasks[[#This Row],[_ConstraintCode]]=2,Tasks[[#This Row],[_ConstraintCode]]=3,Tasks[[#This Row],[_ConstraintCode]]=5,Tasks[[#This Row],[_ConstraintCode]]=7),Tasks[[#This Row],[_ConstraintStart]],2958465)</f>
        <v>2958465</v>
      </c>
      <c r="CQ1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91" t="str">
        <f aca="false">IF(NOT(Tasks[[#This Row],[_IsLeaf]]=1),"",IF(N(Tasks[[#This Row],[_Days]])&lt;=0,Tasks[[#This Row],[_LeafCalcStart]],WORKDAY.INTL(Tasks[[#This Row],[_LeafCalcStart]],Tasks[[#This Row],[_Days]]-1,WorkWeek,Holidays)))</f>
        <v/>
      </c>
      <c r="CS1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3" t="str">
        <f aca="false">IF(Tasks[[#This Row],[_Predecessors]]="","",TRIM(MID(SUBSTITUTE(SUBSTITUTE(SUBSTITUTE(UPPER(Tasks[[#This Row],[_Predecessors]]),";",",")," ",""),",",REPT(" ",99)),1,99)))</f>
        <v/>
      </c>
      <c r="CV184" s="43" t="str">
        <f aca="false">IF(Tasks[[#This Row],[_Pred1Text]]="","",IFERROR(VALUE(LEFT(Tasks[[#This Row],[_Pred1Text]],MIN(FIND("F",Tasks[[#This Row],[_Pred1Text]]&amp;"F"),FIND("S",Tasks[[#This Row],[_Pred1Text]]&amp;"S"),FIND("+",Tasks[[#This Row],[_Pred1Text]]&amp;"+"),FIND("-",Tasks[[#This Row],[_Pred1Text]]&amp;"-"))-1)),""))</f>
        <v/>
      </c>
      <c r="CW1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3" t="str">
        <f aca="false">IF(Tasks[[#This Row],[_Pred1Text]]="","",TRIM(MID(SUBSTITUTE(SUBSTITUTE(SUBSTITUTE(UPPER(Tasks[[#This Row],[_Predecessors]]),";",",")," ",""),",",REPT(" ",99)),100,99)))</f>
        <v/>
      </c>
      <c r="CZ184" s="43" t="str">
        <f aca="false">IF(Tasks[[#This Row],[_Pred2Text]]="","",IFERROR(VALUE(LEFT(Tasks[[#This Row],[_Pred2Text]],MIN(FIND("F",Tasks[[#This Row],[_Pred2Text]]&amp;"F"),FIND("S",Tasks[[#This Row],[_Pred2Text]]&amp;"S"),FIND("+",Tasks[[#This Row],[_Pred2Text]]&amp;"+"),FIND("-",Tasks[[#This Row],[_Pred2Text]]&amp;"-"))-1)),""))</f>
        <v/>
      </c>
      <c r="DA1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3" t="str">
        <f aca="false">IF(Tasks[[#This Row],[_Pred2Text]]="","",TRIM(MID(SUBSTITUTE(SUBSTITUTE(SUBSTITUTE(UPPER(Tasks[[#This Row],[_Predecessors]]),";",",")," ",""),",",REPT(" ",99)),199,99)))</f>
        <v/>
      </c>
      <c r="DD184" s="43" t="str">
        <f aca="false">IF(Tasks[[#This Row],[_Pred3Text]]="","",IFERROR(VALUE(LEFT(Tasks[[#This Row],[_Pred3Text]],MIN(FIND("F",Tasks[[#This Row],[_Pred3Text]]&amp;"F"),FIND("S",Tasks[[#This Row],[_Pred3Text]]&amp;"S"),FIND("+",Tasks[[#This Row],[_Pred3Text]]&amp;"+"),FIND("-",Tasks[[#This Row],[_Pred3Text]]&amp;"-"))-1)),""))</f>
        <v/>
      </c>
      <c r="DE1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3" t="str">
        <f aca="false">IF(Tasks[[#This Row],[_Pred3Text]]="","",TRIM(MID(SUBSTITUTE(SUBSTITUTE(SUBSTITUTE(UPPER(Tasks[[#This Row],[_Predecessors]]),";",",")," ",""),",",REPT(" ",99)),298,99)))</f>
        <v/>
      </c>
      <c r="DH184" s="43" t="str">
        <f aca="false">IF(Tasks[[#This Row],[_Pred4Text]]="","",IFERROR(VALUE(LEFT(Tasks[[#This Row],[_Pred4Text]],MIN(FIND("F",Tasks[[#This Row],[_Pred4Text]]&amp;"F"),FIND("S",Tasks[[#This Row],[_Pred4Text]]&amp;"S"),FIND("+",Tasks[[#This Row],[_Pred4Text]]&amp;"+"),FIND("-",Tasks[[#This Row],[_Pred4Text]]&amp;"-"))-1)),""))</f>
        <v/>
      </c>
      <c r="DI1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3" t="str">
        <f aca="false">IF(OR(Tasks[[#This Row],[Task Name]]="",Tasks[[#This Row],[_Resources]]=""),"",TRIM(MID(SUBSTITUTE(Tasks[[#This Row],[_Resources]],",",REPT(" ",99)),1,99)))</f>
        <v/>
      </c>
      <c r="DL184" s="43" t="str">
        <f aca="false">IF(Tasks[[#This Row],[_Res1Text]]="","",TRIM(MID(SUBSTITUTE(Tasks[[#This Row],[_Resources]],",",REPT(" ",99)),100,99)))</f>
        <v/>
      </c>
      <c r="DM184" s="43" t="str">
        <f aca="false">IF(Tasks[[#This Row],[_Res2Text]]="","",TRIM(MID(SUBSTITUTE(Tasks[[#This Row],[_Resources]],",",REPT(" ",99)),199,99)))</f>
        <v/>
      </c>
      <c r="DN184" s="43" t="str">
        <f aca="false">IF(Tasks[[#This Row],[_Res3Text]]="","",TRIM(MID(SUBSTITUTE(Tasks[[#This Row],[_Resources]],",",REPT(" ",99)),298,99)))</f>
        <v/>
      </c>
      <c r="DO184" s="43" t="n">
        <f aca="false">IF(Tasks[[#This Row],[_Res1Text]]="",0,IFERROR(MATCH(TRIM(LEFT(Tasks[[#This Row],[_Res1Text]],FIND("[",Tasks[[#This Row],[_Res1Text]]&amp;"[")-1)),res_Name,0),IFERROR(MATCH(TRIM(LEFT(Tasks[[#This Row],[_Res1Text]],FIND("[",Tasks[[#This Row],[_Res1Text]]&amp;"[")-1)),res_Initials,0),0)))</f>
        <v>0</v>
      </c>
      <c r="DP184" s="43" t="n">
        <f aca="false">IF(Tasks[[#This Row],[_Res2Text]]="",0,IFERROR(MATCH(TRIM(LEFT(Tasks[[#This Row],[_Res2Text]],FIND("[",Tasks[[#This Row],[_Res2Text]]&amp;"[")-1)),res_Name,0),IFERROR(MATCH(TRIM(LEFT(Tasks[[#This Row],[_Res2Text]],FIND("[",Tasks[[#This Row],[_Res2Text]]&amp;"[")-1)),res_Initials,0),0)))</f>
        <v>0</v>
      </c>
      <c r="DQ184" s="43" t="n">
        <f aca="false">IF(Tasks[[#This Row],[_Res3Text]]="",0,IFERROR(MATCH(TRIM(LEFT(Tasks[[#This Row],[_Res3Text]],FIND("[",Tasks[[#This Row],[_Res3Text]]&amp;"[")-1)),res_Name,0),IFERROR(MATCH(TRIM(LEFT(Tasks[[#This Row],[_Res3Text]],FIND("[",Tasks[[#This Row],[_Res3Text]]&amp;"[")-1)),res_Initials,0),0)))</f>
        <v>0</v>
      </c>
      <c r="DR184" s="43" t="n">
        <f aca="false">IF(Tasks[[#This Row],[_Res4Text]]="",0,IFERROR(MATCH(TRIM(LEFT(Tasks[[#This Row],[_Res4Text]],FIND("[",Tasks[[#This Row],[_Res4Text]]&amp;"[")-1)),res_Name,0),IFERROR(MATCH(TRIM(LEFT(Tasks[[#This Row],[_Res4Text]],FIND("[",Tasks[[#This Row],[_Res4Text]]&amp;"[")-1)),res_Initials,0),0)))</f>
        <v>0</v>
      </c>
      <c r="DS184" s="43" t="str">
        <f aca="false">IF(Tasks[[#This Row],[_Res1Text]]="","",IF(Tasks[[#This Row],[_Res1Row]]&gt;0,INDEX(res_Name,Tasks[[#This Row],[_Res1Row]]),TRIM(LEFT(Tasks[[#This Row],[_Res1Text]],FIND("[",Tasks[[#This Row],[_Res1Text]]&amp;"[")-1))))</f>
        <v/>
      </c>
      <c r="DT1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3" t="n">
        <f aca="false">IF(NOT(Tasks[[#This Row],[_IsLeaf]]=1),0,(Tasks[[#This Row],[_Resource1]]&lt;&gt;"")+(Tasks[[#This Row],[_Res2]]&lt;&gt;"")+(Tasks[[#This Row],[_Res3]]&lt;&gt;"")+(Tasks[[#This Row],[_Res4]]&lt;&gt;""))</f>
        <v>0</v>
      </c>
      <c r="DV184" s="43" t="str">
        <f aca="false">IF(Tasks[[#This Row],[_Res2Text]]="","",IF(Tasks[[#This Row],[_Res2Row]]&gt;0,INDEX(res_Name,Tasks[[#This Row],[_Res2Row]]),TRIM(LEFT(Tasks[[#This Row],[_Res2Text]],FIND("[",Tasks[[#This Row],[_Res2Text]]&amp;"[")-1))))</f>
        <v/>
      </c>
      <c r="DW1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3" t="n">
        <f aca="false">IF(OR(NOT(Tasks[[#This Row],[_IsLeaf]]=1),Tasks[[#This Row],[_Res2Row]]=0),0,N(Tasks[[#This Row],[_Days]])*HoursPerDay*IF(Tasks[[#This Row],[_Res2Units]]="",DefaultUnits,Tasks[[#This Row],[_Res2Units]]))</f>
        <v>0</v>
      </c>
      <c r="DY184" s="43" t="n">
        <f aca="false">IF(AND(AND(Tasks[[#This Row],[_IsLeaf]]=1,Tasks[[#This Row],[_LeafTotalWork]]&gt;0),Tasks[[#This Row],[_Res2Work]]&gt;0),Tasks[[#This Row],[_Res2Work]]/(Tasks[[#This Row],[_FinishWorkday]]-Tasks[[#This Row],[_StartWorkday]]+1),0)</f>
        <v>0</v>
      </c>
      <c r="DZ184" s="43" t="n">
        <f aca="false">Tasks[[#This Row],[_Res2WorkPerWD]]*MAX(0,Tasks[[#This Row],[_StartWorkday]]-1)</f>
        <v>0</v>
      </c>
      <c r="EA184" s="43" t="n">
        <f aca="false">Tasks[[#This Row],[_Res2Work]]*Tasks[[#This Row],[_LeafProgress]]</f>
        <v>0</v>
      </c>
      <c r="EB184" s="43" t="str">
        <f aca="false">IF(Tasks[[#This Row],[_Res3Text]]="","",IF(Tasks[[#This Row],[_Res3Row]]&gt;0,INDEX(res_Name,Tasks[[#This Row],[_Res3Row]]),TRIM(LEFT(Tasks[[#This Row],[_Res3Text]],FIND("[",Tasks[[#This Row],[_Res3Text]]&amp;"[")-1))))</f>
        <v/>
      </c>
      <c r="EC1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3" t="n">
        <f aca="false">IF(OR(NOT(Tasks[[#This Row],[_IsLeaf]]=1),Tasks[[#This Row],[_Res3Row]]=0),0,N(Tasks[[#This Row],[_Days]])*HoursPerDay*IF(Tasks[[#This Row],[_Res3Units]]="",DefaultUnits,Tasks[[#This Row],[_Res3Units]]))</f>
        <v>0</v>
      </c>
      <c r="EE184" s="43" t="n">
        <f aca="false">IF(AND(AND(Tasks[[#This Row],[_IsLeaf]]=1,Tasks[[#This Row],[_LeafTotalWork]]&gt;0),Tasks[[#This Row],[_Res3Work]]&gt;0),Tasks[[#This Row],[_Res3Work]]/(Tasks[[#This Row],[_FinishWorkday]]-Tasks[[#This Row],[_StartWorkday]]+1),0)</f>
        <v>0</v>
      </c>
      <c r="EF184" s="43" t="n">
        <f aca="false">Tasks[[#This Row],[_Res3WorkPerWD]]*MAX(0,Tasks[[#This Row],[_StartWorkday]]-1)</f>
        <v>0</v>
      </c>
      <c r="EG184" s="43" t="n">
        <f aca="false">Tasks[[#This Row],[_Res3Work]]*Tasks[[#This Row],[_LeafProgress]]</f>
        <v>0</v>
      </c>
      <c r="EH184" s="43" t="str">
        <f aca="false">IF(Tasks[[#This Row],[_Res4Text]]="","",IF(Tasks[[#This Row],[_Res4Row]]&gt;0,INDEX(res_Name,Tasks[[#This Row],[_Res4Row]]),TRIM(LEFT(Tasks[[#This Row],[_Res4Text]],FIND("[",Tasks[[#This Row],[_Res4Text]]&amp;"[")-1))))</f>
        <v/>
      </c>
      <c r="EI1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3" t="n">
        <f aca="false">IF(OR(NOT(Tasks[[#This Row],[_IsLeaf]]=1),Tasks[[#This Row],[_Res4Row]]=0),0,N(Tasks[[#This Row],[_Days]])*HoursPerDay*IF(Tasks[[#This Row],[_Res4Units]]="",DefaultUnits,Tasks[[#This Row],[_Res4Units]]))</f>
        <v>0</v>
      </c>
      <c r="EK184" s="43" t="n">
        <f aca="false">IF(AND(AND(Tasks[[#This Row],[_IsLeaf]]=1,Tasks[[#This Row],[_LeafTotalWork]]&gt;0),Tasks[[#This Row],[_Res4Work]]&gt;0),Tasks[[#This Row],[_Res4Work]]/(Tasks[[#This Row],[_FinishWorkday]]-Tasks[[#This Row],[_StartWorkday]]+1),0)</f>
        <v>0</v>
      </c>
      <c r="EL184" s="43" t="n">
        <f aca="false">Tasks[[#This Row],[_Res4WorkPerWD]]*MAX(0,Tasks[[#This Row],[_StartWorkday]]-1)</f>
        <v>0</v>
      </c>
      <c r="EM184" s="43" t="n">
        <f aca="false">Tasks[[#This Row],[_Res4Work]]*Tasks[[#This Row],[_LeafProgress]]</f>
        <v>0</v>
      </c>
      <c r="EN184" s="43" t="n">
        <f aca="false">IF(ISNUMBER(Tasks[[#This Row],[% Complete]]),Tasks[[#This Row],[% Complete]],IF(Tasks[[#This Row],[Stage]]="",0,IFERROR(INDEX(stg_Pct,MATCH(Tasks[[#This Row],[Stage]],stg_Name,0)),0)))</f>
        <v>0</v>
      </c>
      <c r="EO184" s="43" t="n">
        <f aca="false">IF(NOT(Tasks[[#This Row],[_IsLeaf]]=1),0,IF(N(Tasks[[#This Row],[Actual Finish]])&gt;0,1,MIN(1,Tasks[[#This Row],[_Pct]])))</f>
        <v>0</v>
      </c>
      <c r="EP184" s="43" t="n">
        <f aca="false">IF(OR(NOT(Tasks[[#This Row],[_IsLeaf]]=1),Tasks[[#This Row],[_Res1Row]]=0),0,N(Tasks[[#This Row],[_Days]])*HoursPerDay*IF(Tasks[[#This Row],[_Units1]]="",DefaultUnits,Tasks[[#This Row],[_Units1]]))</f>
        <v>0</v>
      </c>
      <c r="EQ184" s="43" t="n">
        <f aca="false">Tasks[[#This Row],[_LeafWork]]+Tasks[[#This Row],[_Res2Work]]+Tasks[[#This Row],[_Res3Work]]+Tasks[[#This Row],[_Res4Work]]</f>
        <v>0</v>
      </c>
      <c r="ER1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3" t="n">
        <f aca="false">IF(NOT(Tasks[[#This Row],[_IsLeaf]]=1),0,MAX(_xlfn.MAXIFS(Tasks[_Row],Tasks[_Pred1UID],Tasks[[#This Row],[UID]]),_xlfn.MAXIFS(Tasks[_Row],Tasks[_Pred2UID],Tasks[[#This Row],[UID]]),_xlfn.MAXIFS(Tasks[_Row],Tasks[_Pred3UID],Tasks[[#This Row],[UID]]),_xlfn.MAXIFS(Tasks[_Row],Tasks[_Pred4UID],Tasks[[#This Row],[UID]])))</f>
        <v>0</v>
      </c>
      <c r="FA1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91" t="str">
        <f aca="false">IF(NOT(Tasks[[#This Row],[_IsLeaf]]=1),"",IF(N(Tasks[[#This Row],[_Days]])&lt;=0,Tasks[[#This Row],[_LeafLateFinish]],WORKDAY.INTL(Tasks[[#This Row],[_LeafLateFinish]],-(Tasks[[#This Row],[_Days]]-1),WorkWeek,Holidays)))</f>
        <v/>
      </c>
      <c r="FD1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4" s="90" t="b">
        <f aca="false">AND(Tasks[[#This Row],[_IsLeaf]]=1,Tasks[[#This Row],[_LeafProgress]]&lt;1,N(Tasks[[#This Row],[_LeafTotalSlack]])&lt;=CriticalSlackDays)</f>
        <v>0</v>
      </c>
      <c r="FF184" s="43" t="n">
        <f aca="false">IF(AND(Tasks[[#This Row],[_IsLeaf]]=1,Tasks[[#This Row],[_ConstraintCode]]=1,Tasks[[#This Row],[Mode]]&lt;&gt;"Manual",N(Tasks[[#This Row],[Actual Start]])=0),MAX(0,N(Tasks[[#This Row],[Free Slack]])),0)</f>
        <v>0</v>
      </c>
      <c r="FG184" s="91" t="str">
        <f aca="false">IF(NOT(Tasks[[#This Row],[_IsLeaf]]=1),"",IF(Tasks[[#This Row],[_AlapShift]]=0,Tasks[[#This Row],[_LeafCalcStart]],WORKDAY.INTL(Tasks[[#This Row],[_LeafCalcStart]],Tasks[[#This Row],[_AlapShift]],WorkWeek,Holidays)))</f>
        <v/>
      </c>
      <c r="FH184" s="91" t="str">
        <f aca="false">IF(NOT(Tasks[[#This Row],[_IsLeaf]]=1),"",IF(Tasks[[#This Row],[_AlapShift]]=0,Tasks[[#This Row],[_LeafCalcFinish]],WORKDAY.INTL(Tasks[[#This Row],[_LeafCalcFinish]],Tasks[[#This Row],[_AlapShift]],WorkWeek,Holidays)))</f>
        <v/>
      </c>
      <c r="FI184" s="91" t="str">
        <f aca="false">IF(NOT(Tasks[[#This Row],[_IsLeaf]]=1),"",IF(Tasks[[#This Row],[_AlapShift]]=0,Tasks[[#This Row],[_LeafFcstStart]],WORKDAY.INTL(Tasks[[#This Row],[_LeafFcstStart]],Tasks[[#This Row],[_AlapShift]],WorkWeek,Holidays)))</f>
        <v/>
      </c>
      <c r="FJ184" s="91" t="str">
        <f aca="false">IF(NOT(Tasks[[#This Row],[_IsLeaf]]=1),"",IF(Tasks[[#This Row],[_AlapShift]]=0,Tasks[[#This Row],[_LeafFcstFinish]],WORKDAY.INTL(Tasks[[#This Row],[_LeafFcstFinish]],Tasks[[#This Row],[_AlapShift]],WorkWeek,Holidays)))</f>
        <v/>
      </c>
      <c r="FK184" s="91" t="str">
        <f aca="false">IF(Tasks[[#This Row],[Task Name]]="","",IF(Tasks[[#This Row],[_IsSummary]],MIN(INDEX(Tasks[_ShownCalcStart],Tasks[[#This Row],[_Row]]+1):INDEX(Tasks[_ShownCalcStart],Tasks[[#This Row],[_Row]]+Tasks[[#This Row],[_Descendants]])),Tasks[[#This Row],[_ShownCalcStart]]))</f>
        <v/>
      </c>
      <c r="FL184" s="91" t="str">
        <f aca="false">IF(Tasks[[#This Row],[Task Name]]="","",IF(Tasks[[#This Row],[_IsSummary]],MAX(INDEX(Tasks[_ShownCalcFinish],Tasks[[#This Row],[_Row]]+1):INDEX(Tasks[_ShownCalcFinish],Tasks[[#This Row],[_Row]]+Tasks[[#This Row],[_Descendants]])),Tasks[[#This Row],[_ShownCalcFinish]]))</f>
        <v/>
      </c>
      <c r="FM1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4" s="43" t="n">
        <f aca="false">IF(AND(Tasks[[#This Row],[_IsLeaf]]=1,Tasks[[#This Row],[_LeafTotalWork]]&gt;0),NETWORKDAYS.INTL(ProjectStart,Tasks[[#This Row],[_ShownFcstStart]],WorkWeek,Holidays),0)</f>
        <v>0</v>
      </c>
      <c r="FZ184" s="43" t="n">
        <f aca="false">IF(AND(Tasks[[#This Row],[_IsLeaf]]=1,Tasks[[#This Row],[_LeafTotalWork]]&gt;0),MAX(Tasks[[#This Row],[_StartWorkday]],NETWORKDAYS.INTL(ProjectStart,Tasks[[#This Row],[_ShownFcstFinish]],WorkWeek,Holidays)),0)</f>
        <v>0</v>
      </c>
      <c r="GA184" s="43" t="n">
        <f aca="false">IF(AND(Tasks[[#This Row],[_IsLeaf]]=1,Tasks[[#This Row],[_LeafTotalWork]]&gt;0),Tasks[[#This Row],[_LeafWork]]/(Tasks[[#This Row],[_FinishWorkday]]-Tasks[[#This Row],[_StartWorkday]]+1),0)</f>
        <v>0</v>
      </c>
      <c r="GB184" s="43" t="n">
        <f aca="false">Tasks[[#This Row],[_WorkPerWorkday]]*(Tasks[[#This Row],[_StartWorkday]]-1)</f>
        <v>-0</v>
      </c>
      <c r="GC184" s="43" t="n">
        <f aca="false">IF(Tasks[[#This Row],[_IsLeaf]]=1,MAX(N(Tasks[[#This Row],[_Days]]),0.1),0)</f>
        <v>0</v>
      </c>
      <c r="GD184" s="43" t="n">
        <f aca="false">Tasks[[#This Row],[_WeightDur]]*Tasks[[#This Row],[_LeafProgress]]</f>
        <v>0</v>
      </c>
      <c r="GE184" s="43" t="n">
        <f aca="false">Tasks[[#This Row],[_WeightDur]]*Tasks[[#This Row],[_PlannedPct]]</f>
        <v>0</v>
      </c>
      <c r="GF1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3" t="str">
        <f aca="false">IF(AND(Tasks[[#This Row],[_IsLeaf]]=1,N(Tasks[[#This Row],[_Days]])=0,Tasks[[#This Row],[_LeafProgress]]&lt;1),Tasks[[#This Row],[_ShownFcstFinish]]+Tasks[[#This Row],[_Row]]/100000,"")</f>
        <v/>
      </c>
      <c r="GH1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4" s="43" t="str">
        <f aca="false">IF(Tasks[[#This Row],[Task Name]]="","",LEFT(Tasks[[#This Row],[WBS]],FIND(".",Tasks[[#This Row],[WBS]]&amp;".")-1))</f>
        <v/>
      </c>
      <c r="GJ184" s="43" t="str">
        <f aca="false">IF(AND(Tasks[[#This Row],[Task Name]]&lt;&gt;"",Tasks[[#This Row],[_Level]]=1),Tasks[[#This Row],[_Row]],"")</f>
        <v/>
      </c>
      <c r="GK184" s="43" t="str">
        <f aca="false">IF(AND(Tasks[[#This Row],[_IsLeaf]]=1,N(Tasks[[#This Row],[_Days]])=0),Tasks[[#This Row],[Planned Finish]]+Tasks[[#This Row],[_Row]]/100000,"")</f>
        <v/>
      </c>
      <c r="GL184" s="43" t="str">
        <f aca="false">IF(AND(Tasks[[#This Row],[_IsLeaf]]=1,Tasks[[#This Row],[_LeafProgress]]&lt;1,OR(N(Tasks[[#This Row],[Finish Var]])&gt;0,Tasks[[#This Row],[Status]]="Late Start")),MAX(0,Tasks[[#This Row],[Finish Var]])+1-Tasks[[#This Row],[_Row]]/1000000,"")</f>
        <v/>
      </c>
      <c r="GM184" s="43" t="str">
        <f aca="false">IF(AND(Tasks[[#This Row],[_IsLeaf]]=1,N(Tasks[[#This Row],[Actual Start]])=0,Tasks[[#This Row],[_ShownFcstStart]]&gt;=StatusDate,Tasks[[#This Row],[_ShownFcstStart]]&lt;=LookaheadEnd),Tasks[[#This Row],[_ShownFcstStart]]+Tasks[[#This Row],[_Row]]/100000,"")</f>
        <v/>
      </c>
      <c r="GN184" s="43" t="str">
        <f aca="false">IF(AND(Tasks[[#This Row],[_IsLeaf]]=1,Tasks[[#This Row],[_LeafProgress]]&lt;1,Tasks[[#This Row],[_ShownFcstFinish]]&gt;=StatusDate,Tasks[[#This Row],[_ShownFcstFinish]]&lt;=LookaheadEnd),Tasks[[#This Row],[_ShownFcstFinish]]+Tasks[[#This Row],[_Row]]/100000,"")</f>
        <v/>
      </c>
      <c r="GO184" s="43" t="str">
        <f aca="false">IF(Tasks[[#This Row],[_LeafCritical]],Tasks[[#This Row],[_ShownFcstStart]]+Tasks[[#This Row],[_Row]]/100000,"")</f>
        <v/>
      </c>
      <c r="GP184" s="43" t="n">
        <f aca="false">Tasks[[#This Row],[_LeafWork]]*Tasks[[#This Row],[_LeafProgress]]</f>
        <v>0</v>
      </c>
      <c r="GQ184" s="91" t="str">
        <f aca="false">IF(AND(Tasks[[#This Row],[_IsLeaf]]=1,Tasks[[#This Row],[_LeafProgress]]&gt;=1),IF(N(Tasks[[#This Row],[Actual Finish]])&gt;0,Tasks[[#This Row],[Actual Finish]],Tasks[[#This Row],[_ShownFcstFinish]]),"")</f>
        <v/>
      </c>
      <c r="GR184" s="43" t="n">
        <f aca="false">IF(Tasks[[#This Row],[_IsLeaf]]=1,N(Tasks[[#This Row],[Story Points]]),0)</f>
        <v>0</v>
      </c>
      <c r="GS184" s="43" t="str">
        <f aca="false">""</f>
        <v/>
      </c>
      <c r="GT184" s="90" t="b">
        <f aca="false">IF(Tasks[[#This Row],[Task Name]]="",FALSE(),AND(Tasks[[#This Row],[_IsLeaf]]=1,N(Tasks[[#This Row],[_Days]])=0))</f>
        <v>0</v>
      </c>
      <c r="GU184" s="91" t="n">
        <f aca="false">IF(Tasks[[#This Row],[Task Name]]="",0,IF(AND(Tasks[[#This Row],[_IsLeaf]]=1,NOT(Tasks[[#This Row],[_IsMilestone]]),N(Tasks[[#This Row],[Progress]])&gt;0),Tasks[[#This Row],[Start]],0))</f>
        <v>0</v>
      </c>
      <c r="GV184" s="91" t="n">
        <f aca="false">IF(Tasks[[#This Row],[_DoneFrom]]=0,0,IF(Tasks[[#This Row],[Progress]]&gt;=1,Tasks[[#This Row],[Finish]],MAX(Tasks[[#This Row],[_DoneFrom]],Tasks[[#This Row],[Start]]+ROUND((Tasks[[#This Row],[Finish]]-Tasks[[#This Row],[Start]]+1)*Tasks[[#This Row],[Progress]],0)-1)))</f>
        <v>0</v>
      </c>
      <c r="GW184" s="91" t="n">
        <f aca="false">IF(Tasks[[#This Row],[Task Name]]="",0,IF(OR(NOT(Tasks[[#This Row],[_IsLeaf]]=1),Tasks[[#This Row],[_IsMilestone]],N(Tasks[[#This Row],[Progress]])&gt;=1),0,IF(Tasks[[#This Row],[_DoneTo]]&gt;0,Tasks[[#This Row],[_DoneTo]]+1,Tasks[[#This Row],[Start]])))</f>
        <v>0</v>
      </c>
      <c r="GX184" s="91" t="n">
        <f aca="false">IF(Tasks[[#This Row],[_RemFrom]]=0,0,Tasks[[#This Row],[Finish]])</f>
        <v>0</v>
      </c>
      <c r="GY184" s="90" t="b">
        <f aca="false">IF(Tasks[[#This Row],[Task Name]]="",FALSE(),OR(NOT(BaselineSet),N(Tasks[[#This Row],[Baseline Start]])&gt;0))</f>
        <v>0</v>
      </c>
      <c r="GZ18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92" t="str">
        <f aca="false">IF(Tasks[[#This Row],[_IsLeaf]]=1,Tasks[[#This Row],[_Row]],"")</f>
        <v/>
      </c>
      <c r="HD184" s="92" t="str">
        <f aca="false">IFERROR(INDEX(Tasks[UID],SMALL(Tasks[_PickKey],Tasks[[#This Row],[_Row]]))&amp;" "&amp;INDEX(Tasks[Task Name],SMALL(Tasks[_PickKey],Tasks[[#This Row],[_Row]])),"")</f>
        <v/>
      </c>
      <c r="HE184" s="43" t="str">
        <f aca="false">IF(Tasks[[#This Row],[Task Name]]="","",IF(Tasks[[#This Row],[_IsSummary]],NETWORKDAYS.INTL(Tasks[[#This Row],[Start]],Tasks[[#This Row],[Finish]],WorkWeek,Holidays),N(Tasks[[#This Row],[_Days]])))</f>
        <v/>
      </c>
      <c r="HF184" s="43" t="n">
        <f aca="false">IF(Tasks[[#This Row],[Expected]]="",0,((Tasks[[#This Row],[Pessimistic]]-Tasks[[#This Row],[Optimistic]])/6)^2)</f>
        <v>0</v>
      </c>
      <c r="HG184" s="43" t="n">
        <f aca="false">IF(Tasks[[#This Row],[Expected]]="",0,Tasks[[#This Row],[Expected]]-N(Tasks[[#This Row],[_Days]]))</f>
        <v>0</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4"/>
      <c r="U185" s="23"/>
      <c r="V185" s="84"/>
      <c r="W185" s="23"/>
      <c r="X185" s="84"/>
      <c r="Y185" s="23"/>
      <c r="Z185" s="84"/>
      <c r="AA185" s="23"/>
      <c r="AB185" s="23"/>
      <c r="AC185" s="7"/>
      <c r="AD185" s="7"/>
      <c r="AE185" s="63" t="str">
        <f aca="false">IF(Tasks[[#This Row],[Task Name]]="","",IF(Tasks[[#This Row],[_IsSummary]],MIN(INDEX(Tasks[_ShownFcstStart],Tasks[[#This Row],[_Row]]+1):INDEX(Tasks[_ShownFcstStart],Tasks[[#This Row],[_Row]]+Tasks[[#This Row],[_Descendants]])),Tasks[[#This Row],[_ShownFcstStart]]))</f>
        <v/>
      </c>
      <c r="AF185" s="63"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5" s="7"/>
      <c r="AK185" s="22"/>
      <c r="AL185" s="23"/>
      <c r="AM185" s="7"/>
      <c r="AN185" s="47"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3" t="str">
        <f aca="false">IF(Tasks[[#This Row],[Task Name]]="","",IF(N(Tasks[[#This Row],[Baseline Start]])&gt;0,Tasks[[#This Row],[Baseline Start]],Tasks[[#This Row],[_CalcStart]]))</f>
        <v/>
      </c>
      <c r="AR185" s="63" t="str">
        <f aca="false">IF(Tasks[[#This Row],[Task Name]]="","",IF(N(Tasks[[#This Row],[Baseline Finish]])&gt;0,Tasks[[#This Row],[Baseline Finish]],Tasks[[#This Row],[_CalcFinish]]))</f>
        <v/>
      </c>
      <c r="AS185" s="47" t="str">
        <f aca="false">IF(Tasks[[#This Row],[Task Name]]="","",IF(Tasks[[#This Row],[Start]]&gt;=Tasks[[#This Row],[Planned Start]],NETWORKDAYS.INTL(Tasks[[#This Row],[Planned Start]],Tasks[[#This Row],[Start]],WorkWeek,Holidays)-1,1-NETWORKDAYS.INTL(Tasks[[#This Row],[Start]],Tasks[[#This Row],[Planned Start]],WorkWeek,Holidays)))</f>
        <v/>
      </c>
      <c r="AT185" s="63" t="str">
        <f aca="false">IF(Tasks[[#This Row],[Task Name]]="","",IF(Tasks[[#This Row],[_IsSummary]],MIN(INDEX(Tasks[_LeafLateStart],Tasks[[#This Row],[_Row]]+1):INDEX(Tasks[_LeafLateStart],Tasks[[#This Row],[_Row]]+Tasks[[#This Row],[_Descendants]])),Tasks[[#This Row],[_LeafLateStart]]))</f>
        <v/>
      </c>
      <c r="AU185" s="63" t="str">
        <f aca="false">IF(Tasks[[#This Row],[Task Name]]="","",IF(Tasks[[#This Row],[_IsSummary]],MAX(INDEX(Tasks[_LeafLateFinish],Tasks[[#This Row],[_Row]]+1):INDEX(Tasks[_LeafLateFinish],Tasks[[#This Row],[_Row]]+Tasks[[#This Row],[_Descendants]])),Tasks[[#This Row],[_LeafLateFinish]]))</f>
        <v/>
      </c>
      <c r="AV185" s="47"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5"/>
      <c r="BA1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6"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7"/>
      <c r="BJ185" s="22"/>
      <c r="BK185" s="47" t="str">
        <f aca="false">IF(OR(Tasks[[#This Row],[Task Name]]="",Tasks[[#This Row],[Baseline Duration]]=""),"",Tasks[[#This Row],[_SpanDays]]-N(Tasks[[#This Row],[Baseline Duration]]))</f>
        <v/>
      </c>
      <c r="BL185" s="86" t="str">
        <f aca="false">IF(OR(Tasks[[#This Row],[Task Name]]="",Tasks[[#This Row],[Baseline Work]]=""),"",Tasks[[#This Row],[Work]]-N(Tasks[[#This Row],[Baseline Work]]))</f>
        <v/>
      </c>
      <c r="BM185" s="63" t="str">
        <f aca="false">IF(Tasks[[#This Row],[Task Name]]="","",IF(OR(TakeBaseline="Yes",N(Tasks[[#This Row],[Baseline Start]])=0),Tasks[[#This Row],[Start]],Tasks[[#This Row],[Baseline Start]]))</f>
        <v/>
      </c>
      <c r="BN185" s="63" t="str">
        <f aca="false">IF(Tasks[[#This Row],[Task Name]]="","",IF(OR(TakeBaseline="Yes",N(Tasks[[#This Row],[Baseline Finish]])=0),Tasks[[#This Row],[Finish]],Tasks[[#This Row],[Baseline Finish]]))</f>
        <v/>
      </c>
      <c r="BO185" s="21" t="str">
        <f aca="false">IF(Tasks[[#This Row],[Task Name]]="","",IF(OR(TakeBaseline="Yes",N(Tasks[[#This Row],[Baseline Duration]])=0),Tasks[[#This Row],[_SpanDays]],Tasks[[#This Row],[Baseline Duration]]))</f>
        <v/>
      </c>
      <c r="BP185" s="86" t="str">
        <f aca="false">IF(Tasks[[#This Row],[Task Name]]="","",IF(OR(TakeBaseline="Yes",N(Tasks[[#This Row],[Baseline Work]])=0),Tasks[[#This Row],[Work]],Tasks[[#This Row],[Baseline Work]]))</f>
        <v/>
      </c>
      <c r="BQ185" s="7"/>
      <c r="BR185" s="7"/>
      <c r="BS185" s="22"/>
      <c r="BT185" s="88"/>
      <c r="BU185" s="23"/>
      <c r="BV185" s="23"/>
      <c r="BW185" s="23"/>
      <c r="BX185" s="89" t="str">
        <f aca="false">IF(AND(Tasks[[#This Row],[_IsLeaf]]=1,ISNUMBER(Tasks[[#This Row],[Optimistic]]),ISNUMBER(Tasks[[#This Row],[Pessimistic]])),ROUND((Tasks[[#This Row],[Optimistic]]+4*N(Tasks[[#This Row],[_Days]])+Tasks[[#This Row],[Pessimistic]])/6,1),"")</f>
        <v/>
      </c>
      <c r="BY185" s="87"/>
      <c r="BZ185" s="87"/>
      <c r="CA185" s="22"/>
      <c r="CB185" s="43" t="str">
        <f aca="false">IF(Tasks[[#This Row],[Task Name]]="","",MAX(1,N(Tasks[[#This Row],[Level]])))</f>
        <v/>
      </c>
      <c r="CC185" s="43" t="n">
        <f aca="false">ROW()-ROW(Tasks[[#Headers],[ID]])</f>
        <v>180</v>
      </c>
      <c r="CD185" s="43" t="n">
        <f aca="false">IF(OR(Tasks[[#This Row],[Task Name]]="",Tasks[[#This Row],[_Level]]&lt;=1),0,IFERROR(LOOKUP(2,1/(Tasks[[#Headers],[_Level]]:Tasks[[#This Row],[_Level]]=Tasks[[#This Row],[_Level]]-1),ROW(Tasks[[#Headers],[_Level]]:Tasks[[#This Row],[_Level]])),0))</f>
        <v>0</v>
      </c>
      <c r="CE185" s="43" t="n">
        <f aca="false">IFERROR(N(INDEX(Tasks[_Level],Tasks[[#This Row],[_Row]]+1)),0)</f>
        <v>0</v>
      </c>
      <c r="CF185" s="90" t="b">
        <f aca="false">AND(Tasks[[#This Row],[Task Name]]&lt;&gt;"",Tasks[[#This Row],[_NextLevel]]&gt;Tasks[[#This Row],[_Level]])</f>
        <v>0</v>
      </c>
      <c r="CG185" s="43" t="n">
        <f aca="false">IF(Tasks[[#This Row],[_IsSummary]],COUNTIF(Tasks[WBS],Tasks[[#This Row],[WBS]]&amp;".*"),0)</f>
        <v>0</v>
      </c>
      <c r="CH185" s="43" t="n">
        <f aca="false">IF(AND(Tasks[[#This Row],[Task Name]]&lt;&gt;"",NOT(Tasks[[#This Row],[_IsSummary]])),1,0)</f>
        <v>0</v>
      </c>
      <c r="CI185" s="43" t="n">
        <f aca="false">IF(N(Tasks[[#This Row],[_Pred1UID]])=0,0,IFERROR(MATCH(Tasks[[#This Row],[_Pred1UID]],Tasks[UID],0),-1))</f>
        <v>0</v>
      </c>
      <c r="CJ185" s="43" t="n">
        <f aca="false">IF(N(Tasks[[#This Row],[_Pred2UID]])=0,0,IFERROR(MATCH(Tasks[[#This Row],[_Pred2UID]],Tasks[UID],0),-1))</f>
        <v>0</v>
      </c>
      <c r="CK185" s="43" t="n">
        <f aca="false">IF(N(Tasks[[#This Row],[_Pred3UID]])=0,0,IFERROR(MATCH(Tasks[[#This Row],[_Pred3UID]],Tasks[UID],0),-1))</f>
        <v>0</v>
      </c>
      <c r="CL185" s="43" t="n">
        <f aca="false">IF(N(Tasks[[#This Row],[_Pred4UID]])=0,0,IFERROR(MATCH(Tasks[[#This Row],[_Pred4UID]],Tasks[UID],0),-1))</f>
        <v>0</v>
      </c>
      <c r="CM1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5" s="91" t="n">
        <f aca="false">IF(OR(Tasks[[#This Row],[_ConstraintCode]]=2,Tasks[[#This Row],[_ConstraintCode]]=3,Tasks[[#This Row],[_ConstraintCode]]=4,Tasks[[#This Row],[_ConstraintCode]]=6),Tasks[[#This Row],[_ConstraintStart]],0)</f>
        <v>0</v>
      </c>
      <c r="CP185" s="91" t="n">
        <f aca="false">IF(OR(Tasks[[#This Row],[_ConstraintCode]]=2,Tasks[[#This Row],[_ConstraintCode]]=3,Tasks[[#This Row],[_ConstraintCode]]=5,Tasks[[#This Row],[_ConstraintCode]]=7),Tasks[[#This Row],[_ConstraintStart]],2958465)</f>
        <v>2958465</v>
      </c>
      <c r="CQ1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91" t="str">
        <f aca="false">IF(NOT(Tasks[[#This Row],[_IsLeaf]]=1),"",IF(N(Tasks[[#This Row],[_Days]])&lt;=0,Tasks[[#This Row],[_LeafCalcStart]],WORKDAY.INTL(Tasks[[#This Row],[_LeafCalcStart]],Tasks[[#This Row],[_Days]]-1,WorkWeek,Holidays)))</f>
        <v/>
      </c>
      <c r="CS1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3" t="str">
        <f aca="false">IF(Tasks[[#This Row],[_Predecessors]]="","",TRIM(MID(SUBSTITUTE(SUBSTITUTE(SUBSTITUTE(UPPER(Tasks[[#This Row],[_Predecessors]]),";",",")," ",""),",",REPT(" ",99)),1,99)))</f>
        <v/>
      </c>
      <c r="CV185" s="43" t="str">
        <f aca="false">IF(Tasks[[#This Row],[_Pred1Text]]="","",IFERROR(VALUE(LEFT(Tasks[[#This Row],[_Pred1Text]],MIN(FIND("F",Tasks[[#This Row],[_Pred1Text]]&amp;"F"),FIND("S",Tasks[[#This Row],[_Pred1Text]]&amp;"S"),FIND("+",Tasks[[#This Row],[_Pred1Text]]&amp;"+"),FIND("-",Tasks[[#This Row],[_Pred1Text]]&amp;"-"))-1)),""))</f>
        <v/>
      </c>
      <c r="CW1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3" t="str">
        <f aca="false">IF(Tasks[[#This Row],[_Pred1Text]]="","",TRIM(MID(SUBSTITUTE(SUBSTITUTE(SUBSTITUTE(UPPER(Tasks[[#This Row],[_Predecessors]]),";",",")," ",""),",",REPT(" ",99)),100,99)))</f>
        <v/>
      </c>
      <c r="CZ185" s="43" t="str">
        <f aca="false">IF(Tasks[[#This Row],[_Pred2Text]]="","",IFERROR(VALUE(LEFT(Tasks[[#This Row],[_Pred2Text]],MIN(FIND("F",Tasks[[#This Row],[_Pred2Text]]&amp;"F"),FIND("S",Tasks[[#This Row],[_Pred2Text]]&amp;"S"),FIND("+",Tasks[[#This Row],[_Pred2Text]]&amp;"+"),FIND("-",Tasks[[#This Row],[_Pred2Text]]&amp;"-"))-1)),""))</f>
        <v/>
      </c>
      <c r="DA1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3" t="str">
        <f aca="false">IF(Tasks[[#This Row],[_Pred2Text]]="","",TRIM(MID(SUBSTITUTE(SUBSTITUTE(SUBSTITUTE(UPPER(Tasks[[#This Row],[_Predecessors]]),";",",")," ",""),",",REPT(" ",99)),199,99)))</f>
        <v/>
      </c>
      <c r="DD185" s="43" t="str">
        <f aca="false">IF(Tasks[[#This Row],[_Pred3Text]]="","",IFERROR(VALUE(LEFT(Tasks[[#This Row],[_Pred3Text]],MIN(FIND("F",Tasks[[#This Row],[_Pred3Text]]&amp;"F"),FIND("S",Tasks[[#This Row],[_Pred3Text]]&amp;"S"),FIND("+",Tasks[[#This Row],[_Pred3Text]]&amp;"+"),FIND("-",Tasks[[#This Row],[_Pred3Text]]&amp;"-"))-1)),""))</f>
        <v/>
      </c>
      <c r="DE1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3" t="str">
        <f aca="false">IF(Tasks[[#This Row],[_Pred3Text]]="","",TRIM(MID(SUBSTITUTE(SUBSTITUTE(SUBSTITUTE(UPPER(Tasks[[#This Row],[_Predecessors]]),";",",")," ",""),",",REPT(" ",99)),298,99)))</f>
        <v/>
      </c>
      <c r="DH185" s="43" t="str">
        <f aca="false">IF(Tasks[[#This Row],[_Pred4Text]]="","",IFERROR(VALUE(LEFT(Tasks[[#This Row],[_Pred4Text]],MIN(FIND("F",Tasks[[#This Row],[_Pred4Text]]&amp;"F"),FIND("S",Tasks[[#This Row],[_Pred4Text]]&amp;"S"),FIND("+",Tasks[[#This Row],[_Pred4Text]]&amp;"+"),FIND("-",Tasks[[#This Row],[_Pred4Text]]&amp;"-"))-1)),""))</f>
        <v/>
      </c>
      <c r="DI1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3" t="str">
        <f aca="false">IF(OR(Tasks[[#This Row],[Task Name]]="",Tasks[[#This Row],[_Resources]]=""),"",TRIM(MID(SUBSTITUTE(Tasks[[#This Row],[_Resources]],",",REPT(" ",99)),1,99)))</f>
        <v/>
      </c>
      <c r="DL185" s="43" t="str">
        <f aca="false">IF(Tasks[[#This Row],[_Res1Text]]="","",TRIM(MID(SUBSTITUTE(Tasks[[#This Row],[_Resources]],",",REPT(" ",99)),100,99)))</f>
        <v/>
      </c>
      <c r="DM185" s="43" t="str">
        <f aca="false">IF(Tasks[[#This Row],[_Res2Text]]="","",TRIM(MID(SUBSTITUTE(Tasks[[#This Row],[_Resources]],",",REPT(" ",99)),199,99)))</f>
        <v/>
      </c>
      <c r="DN185" s="43" t="str">
        <f aca="false">IF(Tasks[[#This Row],[_Res3Text]]="","",TRIM(MID(SUBSTITUTE(Tasks[[#This Row],[_Resources]],",",REPT(" ",99)),298,99)))</f>
        <v/>
      </c>
      <c r="DO185" s="43" t="n">
        <f aca="false">IF(Tasks[[#This Row],[_Res1Text]]="",0,IFERROR(MATCH(TRIM(LEFT(Tasks[[#This Row],[_Res1Text]],FIND("[",Tasks[[#This Row],[_Res1Text]]&amp;"[")-1)),res_Name,0),IFERROR(MATCH(TRIM(LEFT(Tasks[[#This Row],[_Res1Text]],FIND("[",Tasks[[#This Row],[_Res1Text]]&amp;"[")-1)),res_Initials,0),0)))</f>
        <v>0</v>
      </c>
      <c r="DP185" s="43" t="n">
        <f aca="false">IF(Tasks[[#This Row],[_Res2Text]]="",0,IFERROR(MATCH(TRIM(LEFT(Tasks[[#This Row],[_Res2Text]],FIND("[",Tasks[[#This Row],[_Res2Text]]&amp;"[")-1)),res_Name,0),IFERROR(MATCH(TRIM(LEFT(Tasks[[#This Row],[_Res2Text]],FIND("[",Tasks[[#This Row],[_Res2Text]]&amp;"[")-1)),res_Initials,0),0)))</f>
        <v>0</v>
      </c>
      <c r="DQ185" s="43" t="n">
        <f aca="false">IF(Tasks[[#This Row],[_Res3Text]]="",0,IFERROR(MATCH(TRIM(LEFT(Tasks[[#This Row],[_Res3Text]],FIND("[",Tasks[[#This Row],[_Res3Text]]&amp;"[")-1)),res_Name,0),IFERROR(MATCH(TRIM(LEFT(Tasks[[#This Row],[_Res3Text]],FIND("[",Tasks[[#This Row],[_Res3Text]]&amp;"[")-1)),res_Initials,0),0)))</f>
        <v>0</v>
      </c>
      <c r="DR185" s="43" t="n">
        <f aca="false">IF(Tasks[[#This Row],[_Res4Text]]="",0,IFERROR(MATCH(TRIM(LEFT(Tasks[[#This Row],[_Res4Text]],FIND("[",Tasks[[#This Row],[_Res4Text]]&amp;"[")-1)),res_Name,0),IFERROR(MATCH(TRIM(LEFT(Tasks[[#This Row],[_Res4Text]],FIND("[",Tasks[[#This Row],[_Res4Text]]&amp;"[")-1)),res_Initials,0),0)))</f>
        <v>0</v>
      </c>
      <c r="DS185" s="43" t="str">
        <f aca="false">IF(Tasks[[#This Row],[_Res1Text]]="","",IF(Tasks[[#This Row],[_Res1Row]]&gt;0,INDEX(res_Name,Tasks[[#This Row],[_Res1Row]]),TRIM(LEFT(Tasks[[#This Row],[_Res1Text]],FIND("[",Tasks[[#This Row],[_Res1Text]]&amp;"[")-1))))</f>
        <v/>
      </c>
      <c r="DT1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3" t="n">
        <f aca="false">IF(NOT(Tasks[[#This Row],[_IsLeaf]]=1),0,(Tasks[[#This Row],[_Resource1]]&lt;&gt;"")+(Tasks[[#This Row],[_Res2]]&lt;&gt;"")+(Tasks[[#This Row],[_Res3]]&lt;&gt;"")+(Tasks[[#This Row],[_Res4]]&lt;&gt;""))</f>
        <v>0</v>
      </c>
      <c r="DV185" s="43" t="str">
        <f aca="false">IF(Tasks[[#This Row],[_Res2Text]]="","",IF(Tasks[[#This Row],[_Res2Row]]&gt;0,INDEX(res_Name,Tasks[[#This Row],[_Res2Row]]),TRIM(LEFT(Tasks[[#This Row],[_Res2Text]],FIND("[",Tasks[[#This Row],[_Res2Text]]&amp;"[")-1))))</f>
        <v/>
      </c>
      <c r="DW1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3" t="n">
        <f aca="false">IF(OR(NOT(Tasks[[#This Row],[_IsLeaf]]=1),Tasks[[#This Row],[_Res2Row]]=0),0,N(Tasks[[#This Row],[_Days]])*HoursPerDay*IF(Tasks[[#This Row],[_Res2Units]]="",DefaultUnits,Tasks[[#This Row],[_Res2Units]]))</f>
        <v>0</v>
      </c>
      <c r="DY185" s="43" t="n">
        <f aca="false">IF(AND(AND(Tasks[[#This Row],[_IsLeaf]]=1,Tasks[[#This Row],[_LeafTotalWork]]&gt;0),Tasks[[#This Row],[_Res2Work]]&gt;0),Tasks[[#This Row],[_Res2Work]]/(Tasks[[#This Row],[_FinishWorkday]]-Tasks[[#This Row],[_StartWorkday]]+1),0)</f>
        <v>0</v>
      </c>
      <c r="DZ185" s="43" t="n">
        <f aca="false">Tasks[[#This Row],[_Res2WorkPerWD]]*MAX(0,Tasks[[#This Row],[_StartWorkday]]-1)</f>
        <v>0</v>
      </c>
      <c r="EA185" s="43" t="n">
        <f aca="false">Tasks[[#This Row],[_Res2Work]]*Tasks[[#This Row],[_LeafProgress]]</f>
        <v>0</v>
      </c>
      <c r="EB185" s="43" t="str">
        <f aca="false">IF(Tasks[[#This Row],[_Res3Text]]="","",IF(Tasks[[#This Row],[_Res3Row]]&gt;0,INDEX(res_Name,Tasks[[#This Row],[_Res3Row]]),TRIM(LEFT(Tasks[[#This Row],[_Res3Text]],FIND("[",Tasks[[#This Row],[_Res3Text]]&amp;"[")-1))))</f>
        <v/>
      </c>
      <c r="EC1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3" t="n">
        <f aca="false">IF(OR(NOT(Tasks[[#This Row],[_IsLeaf]]=1),Tasks[[#This Row],[_Res3Row]]=0),0,N(Tasks[[#This Row],[_Days]])*HoursPerDay*IF(Tasks[[#This Row],[_Res3Units]]="",DefaultUnits,Tasks[[#This Row],[_Res3Units]]))</f>
        <v>0</v>
      </c>
      <c r="EE185" s="43" t="n">
        <f aca="false">IF(AND(AND(Tasks[[#This Row],[_IsLeaf]]=1,Tasks[[#This Row],[_LeafTotalWork]]&gt;0),Tasks[[#This Row],[_Res3Work]]&gt;0),Tasks[[#This Row],[_Res3Work]]/(Tasks[[#This Row],[_FinishWorkday]]-Tasks[[#This Row],[_StartWorkday]]+1),0)</f>
        <v>0</v>
      </c>
      <c r="EF185" s="43" t="n">
        <f aca="false">Tasks[[#This Row],[_Res3WorkPerWD]]*MAX(0,Tasks[[#This Row],[_StartWorkday]]-1)</f>
        <v>0</v>
      </c>
      <c r="EG185" s="43" t="n">
        <f aca="false">Tasks[[#This Row],[_Res3Work]]*Tasks[[#This Row],[_LeafProgress]]</f>
        <v>0</v>
      </c>
      <c r="EH185" s="43" t="str">
        <f aca="false">IF(Tasks[[#This Row],[_Res4Text]]="","",IF(Tasks[[#This Row],[_Res4Row]]&gt;0,INDEX(res_Name,Tasks[[#This Row],[_Res4Row]]),TRIM(LEFT(Tasks[[#This Row],[_Res4Text]],FIND("[",Tasks[[#This Row],[_Res4Text]]&amp;"[")-1))))</f>
        <v/>
      </c>
      <c r="EI1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3" t="n">
        <f aca="false">IF(OR(NOT(Tasks[[#This Row],[_IsLeaf]]=1),Tasks[[#This Row],[_Res4Row]]=0),0,N(Tasks[[#This Row],[_Days]])*HoursPerDay*IF(Tasks[[#This Row],[_Res4Units]]="",DefaultUnits,Tasks[[#This Row],[_Res4Units]]))</f>
        <v>0</v>
      </c>
      <c r="EK185" s="43" t="n">
        <f aca="false">IF(AND(AND(Tasks[[#This Row],[_IsLeaf]]=1,Tasks[[#This Row],[_LeafTotalWork]]&gt;0),Tasks[[#This Row],[_Res4Work]]&gt;0),Tasks[[#This Row],[_Res4Work]]/(Tasks[[#This Row],[_FinishWorkday]]-Tasks[[#This Row],[_StartWorkday]]+1),0)</f>
        <v>0</v>
      </c>
      <c r="EL185" s="43" t="n">
        <f aca="false">Tasks[[#This Row],[_Res4WorkPerWD]]*MAX(0,Tasks[[#This Row],[_StartWorkday]]-1)</f>
        <v>0</v>
      </c>
      <c r="EM185" s="43" t="n">
        <f aca="false">Tasks[[#This Row],[_Res4Work]]*Tasks[[#This Row],[_LeafProgress]]</f>
        <v>0</v>
      </c>
      <c r="EN185" s="43" t="n">
        <f aca="false">IF(ISNUMBER(Tasks[[#This Row],[% Complete]]),Tasks[[#This Row],[% Complete]],IF(Tasks[[#This Row],[Stage]]="",0,IFERROR(INDEX(stg_Pct,MATCH(Tasks[[#This Row],[Stage]],stg_Name,0)),0)))</f>
        <v>0</v>
      </c>
      <c r="EO185" s="43" t="n">
        <f aca="false">IF(NOT(Tasks[[#This Row],[_IsLeaf]]=1),0,IF(N(Tasks[[#This Row],[Actual Finish]])&gt;0,1,MIN(1,Tasks[[#This Row],[_Pct]])))</f>
        <v>0</v>
      </c>
      <c r="EP185" s="43" t="n">
        <f aca="false">IF(OR(NOT(Tasks[[#This Row],[_IsLeaf]]=1),Tasks[[#This Row],[_Res1Row]]=0),0,N(Tasks[[#This Row],[_Days]])*HoursPerDay*IF(Tasks[[#This Row],[_Units1]]="",DefaultUnits,Tasks[[#This Row],[_Units1]]))</f>
        <v>0</v>
      </c>
      <c r="EQ185" s="43" t="n">
        <f aca="false">Tasks[[#This Row],[_LeafWork]]+Tasks[[#This Row],[_Res2Work]]+Tasks[[#This Row],[_Res3Work]]+Tasks[[#This Row],[_Res4Work]]</f>
        <v>0</v>
      </c>
      <c r="ER1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3" t="n">
        <f aca="false">IF(NOT(Tasks[[#This Row],[_IsLeaf]]=1),0,MAX(_xlfn.MAXIFS(Tasks[_Row],Tasks[_Pred1UID],Tasks[[#This Row],[UID]]),_xlfn.MAXIFS(Tasks[_Row],Tasks[_Pred2UID],Tasks[[#This Row],[UID]]),_xlfn.MAXIFS(Tasks[_Row],Tasks[_Pred3UID],Tasks[[#This Row],[UID]]),_xlfn.MAXIFS(Tasks[_Row],Tasks[_Pred4UID],Tasks[[#This Row],[UID]])))</f>
        <v>0</v>
      </c>
      <c r="FA1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91" t="str">
        <f aca="false">IF(NOT(Tasks[[#This Row],[_IsLeaf]]=1),"",IF(N(Tasks[[#This Row],[_Days]])&lt;=0,Tasks[[#This Row],[_LeafLateFinish]],WORKDAY.INTL(Tasks[[#This Row],[_LeafLateFinish]],-(Tasks[[#This Row],[_Days]]-1),WorkWeek,Holidays)))</f>
        <v/>
      </c>
      <c r="FD1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5" s="90" t="b">
        <f aca="false">AND(Tasks[[#This Row],[_IsLeaf]]=1,Tasks[[#This Row],[_LeafProgress]]&lt;1,N(Tasks[[#This Row],[_LeafTotalSlack]])&lt;=CriticalSlackDays)</f>
        <v>0</v>
      </c>
      <c r="FF185" s="43" t="n">
        <f aca="false">IF(AND(Tasks[[#This Row],[_IsLeaf]]=1,Tasks[[#This Row],[_ConstraintCode]]=1,Tasks[[#This Row],[Mode]]&lt;&gt;"Manual",N(Tasks[[#This Row],[Actual Start]])=0),MAX(0,N(Tasks[[#This Row],[Free Slack]])),0)</f>
        <v>0</v>
      </c>
      <c r="FG185" s="91" t="str">
        <f aca="false">IF(NOT(Tasks[[#This Row],[_IsLeaf]]=1),"",IF(Tasks[[#This Row],[_AlapShift]]=0,Tasks[[#This Row],[_LeafCalcStart]],WORKDAY.INTL(Tasks[[#This Row],[_LeafCalcStart]],Tasks[[#This Row],[_AlapShift]],WorkWeek,Holidays)))</f>
        <v/>
      </c>
      <c r="FH185" s="91" t="str">
        <f aca="false">IF(NOT(Tasks[[#This Row],[_IsLeaf]]=1),"",IF(Tasks[[#This Row],[_AlapShift]]=0,Tasks[[#This Row],[_LeafCalcFinish]],WORKDAY.INTL(Tasks[[#This Row],[_LeafCalcFinish]],Tasks[[#This Row],[_AlapShift]],WorkWeek,Holidays)))</f>
        <v/>
      </c>
      <c r="FI185" s="91" t="str">
        <f aca="false">IF(NOT(Tasks[[#This Row],[_IsLeaf]]=1),"",IF(Tasks[[#This Row],[_AlapShift]]=0,Tasks[[#This Row],[_LeafFcstStart]],WORKDAY.INTL(Tasks[[#This Row],[_LeafFcstStart]],Tasks[[#This Row],[_AlapShift]],WorkWeek,Holidays)))</f>
        <v/>
      </c>
      <c r="FJ185" s="91" t="str">
        <f aca="false">IF(NOT(Tasks[[#This Row],[_IsLeaf]]=1),"",IF(Tasks[[#This Row],[_AlapShift]]=0,Tasks[[#This Row],[_LeafFcstFinish]],WORKDAY.INTL(Tasks[[#This Row],[_LeafFcstFinish]],Tasks[[#This Row],[_AlapShift]],WorkWeek,Holidays)))</f>
        <v/>
      </c>
      <c r="FK185" s="91" t="str">
        <f aca="false">IF(Tasks[[#This Row],[Task Name]]="","",IF(Tasks[[#This Row],[_IsSummary]],MIN(INDEX(Tasks[_ShownCalcStart],Tasks[[#This Row],[_Row]]+1):INDEX(Tasks[_ShownCalcStart],Tasks[[#This Row],[_Row]]+Tasks[[#This Row],[_Descendants]])),Tasks[[#This Row],[_ShownCalcStart]]))</f>
        <v/>
      </c>
      <c r="FL185" s="91" t="str">
        <f aca="false">IF(Tasks[[#This Row],[Task Name]]="","",IF(Tasks[[#This Row],[_IsSummary]],MAX(INDEX(Tasks[_ShownCalcFinish],Tasks[[#This Row],[_Row]]+1):INDEX(Tasks[_ShownCalcFinish],Tasks[[#This Row],[_Row]]+Tasks[[#This Row],[_Descendants]])),Tasks[[#This Row],[_ShownCalcFinish]]))</f>
        <v/>
      </c>
      <c r="FM1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5" s="43" t="n">
        <f aca="false">IF(AND(Tasks[[#This Row],[_IsLeaf]]=1,Tasks[[#This Row],[_LeafTotalWork]]&gt;0),NETWORKDAYS.INTL(ProjectStart,Tasks[[#This Row],[_ShownFcstStart]],WorkWeek,Holidays),0)</f>
        <v>0</v>
      </c>
      <c r="FZ185" s="43" t="n">
        <f aca="false">IF(AND(Tasks[[#This Row],[_IsLeaf]]=1,Tasks[[#This Row],[_LeafTotalWork]]&gt;0),MAX(Tasks[[#This Row],[_StartWorkday]],NETWORKDAYS.INTL(ProjectStart,Tasks[[#This Row],[_ShownFcstFinish]],WorkWeek,Holidays)),0)</f>
        <v>0</v>
      </c>
      <c r="GA185" s="43" t="n">
        <f aca="false">IF(AND(Tasks[[#This Row],[_IsLeaf]]=1,Tasks[[#This Row],[_LeafTotalWork]]&gt;0),Tasks[[#This Row],[_LeafWork]]/(Tasks[[#This Row],[_FinishWorkday]]-Tasks[[#This Row],[_StartWorkday]]+1),0)</f>
        <v>0</v>
      </c>
      <c r="GB185" s="43" t="n">
        <f aca="false">Tasks[[#This Row],[_WorkPerWorkday]]*(Tasks[[#This Row],[_StartWorkday]]-1)</f>
        <v>-0</v>
      </c>
      <c r="GC185" s="43" t="n">
        <f aca="false">IF(Tasks[[#This Row],[_IsLeaf]]=1,MAX(N(Tasks[[#This Row],[_Days]]),0.1),0)</f>
        <v>0</v>
      </c>
      <c r="GD185" s="43" t="n">
        <f aca="false">Tasks[[#This Row],[_WeightDur]]*Tasks[[#This Row],[_LeafProgress]]</f>
        <v>0</v>
      </c>
      <c r="GE185" s="43" t="n">
        <f aca="false">Tasks[[#This Row],[_WeightDur]]*Tasks[[#This Row],[_PlannedPct]]</f>
        <v>0</v>
      </c>
      <c r="GF1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3" t="str">
        <f aca="false">IF(AND(Tasks[[#This Row],[_IsLeaf]]=1,N(Tasks[[#This Row],[_Days]])=0,Tasks[[#This Row],[_LeafProgress]]&lt;1),Tasks[[#This Row],[_ShownFcstFinish]]+Tasks[[#This Row],[_Row]]/100000,"")</f>
        <v/>
      </c>
      <c r="GH1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5" s="43" t="str">
        <f aca="false">IF(Tasks[[#This Row],[Task Name]]="","",LEFT(Tasks[[#This Row],[WBS]],FIND(".",Tasks[[#This Row],[WBS]]&amp;".")-1))</f>
        <v/>
      </c>
      <c r="GJ185" s="43" t="str">
        <f aca="false">IF(AND(Tasks[[#This Row],[Task Name]]&lt;&gt;"",Tasks[[#This Row],[_Level]]=1),Tasks[[#This Row],[_Row]],"")</f>
        <v/>
      </c>
      <c r="GK185" s="43" t="str">
        <f aca="false">IF(AND(Tasks[[#This Row],[_IsLeaf]]=1,N(Tasks[[#This Row],[_Days]])=0),Tasks[[#This Row],[Planned Finish]]+Tasks[[#This Row],[_Row]]/100000,"")</f>
        <v/>
      </c>
      <c r="GL185" s="43" t="str">
        <f aca="false">IF(AND(Tasks[[#This Row],[_IsLeaf]]=1,Tasks[[#This Row],[_LeafProgress]]&lt;1,OR(N(Tasks[[#This Row],[Finish Var]])&gt;0,Tasks[[#This Row],[Status]]="Late Start")),MAX(0,Tasks[[#This Row],[Finish Var]])+1-Tasks[[#This Row],[_Row]]/1000000,"")</f>
        <v/>
      </c>
      <c r="GM185" s="43" t="str">
        <f aca="false">IF(AND(Tasks[[#This Row],[_IsLeaf]]=1,N(Tasks[[#This Row],[Actual Start]])=0,Tasks[[#This Row],[_ShownFcstStart]]&gt;=StatusDate,Tasks[[#This Row],[_ShownFcstStart]]&lt;=LookaheadEnd),Tasks[[#This Row],[_ShownFcstStart]]+Tasks[[#This Row],[_Row]]/100000,"")</f>
        <v/>
      </c>
      <c r="GN185" s="43" t="str">
        <f aca="false">IF(AND(Tasks[[#This Row],[_IsLeaf]]=1,Tasks[[#This Row],[_LeafProgress]]&lt;1,Tasks[[#This Row],[_ShownFcstFinish]]&gt;=StatusDate,Tasks[[#This Row],[_ShownFcstFinish]]&lt;=LookaheadEnd),Tasks[[#This Row],[_ShownFcstFinish]]+Tasks[[#This Row],[_Row]]/100000,"")</f>
        <v/>
      </c>
      <c r="GO185" s="43" t="str">
        <f aca="false">IF(Tasks[[#This Row],[_LeafCritical]],Tasks[[#This Row],[_ShownFcstStart]]+Tasks[[#This Row],[_Row]]/100000,"")</f>
        <v/>
      </c>
      <c r="GP185" s="43" t="n">
        <f aca="false">Tasks[[#This Row],[_LeafWork]]*Tasks[[#This Row],[_LeafProgress]]</f>
        <v>0</v>
      </c>
      <c r="GQ185" s="91" t="str">
        <f aca="false">IF(AND(Tasks[[#This Row],[_IsLeaf]]=1,Tasks[[#This Row],[_LeafProgress]]&gt;=1),IF(N(Tasks[[#This Row],[Actual Finish]])&gt;0,Tasks[[#This Row],[Actual Finish]],Tasks[[#This Row],[_ShownFcstFinish]]),"")</f>
        <v/>
      </c>
      <c r="GR185" s="43" t="n">
        <f aca="false">IF(Tasks[[#This Row],[_IsLeaf]]=1,N(Tasks[[#This Row],[Story Points]]),0)</f>
        <v>0</v>
      </c>
      <c r="GS185" s="43" t="str">
        <f aca="false">""</f>
        <v/>
      </c>
      <c r="GT185" s="90" t="b">
        <f aca="false">IF(Tasks[[#This Row],[Task Name]]="",FALSE(),AND(Tasks[[#This Row],[_IsLeaf]]=1,N(Tasks[[#This Row],[_Days]])=0))</f>
        <v>0</v>
      </c>
      <c r="GU185" s="91" t="n">
        <f aca="false">IF(Tasks[[#This Row],[Task Name]]="",0,IF(AND(Tasks[[#This Row],[_IsLeaf]]=1,NOT(Tasks[[#This Row],[_IsMilestone]]),N(Tasks[[#This Row],[Progress]])&gt;0),Tasks[[#This Row],[Start]],0))</f>
        <v>0</v>
      </c>
      <c r="GV185" s="91" t="n">
        <f aca="false">IF(Tasks[[#This Row],[_DoneFrom]]=0,0,IF(Tasks[[#This Row],[Progress]]&gt;=1,Tasks[[#This Row],[Finish]],MAX(Tasks[[#This Row],[_DoneFrom]],Tasks[[#This Row],[Start]]+ROUND((Tasks[[#This Row],[Finish]]-Tasks[[#This Row],[Start]]+1)*Tasks[[#This Row],[Progress]],0)-1)))</f>
        <v>0</v>
      </c>
      <c r="GW185" s="91" t="n">
        <f aca="false">IF(Tasks[[#This Row],[Task Name]]="",0,IF(OR(NOT(Tasks[[#This Row],[_IsLeaf]]=1),Tasks[[#This Row],[_IsMilestone]],N(Tasks[[#This Row],[Progress]])&gt;=1),0,IF(Tasks[[#This Row],[_DoneTo]]&gt;0,Tasks[[#This Row],[_DoneTo]]+1,Tasks[[#This Row],[Start]])))</f>
        <v>0</v>
      </c>
      <c r="GX185" s="91" t="n">
        <f aca="false">IF(Tasks[[#This Row],[_RemFrom]]=0,0,Tasks[[#This Row],[Finish]])</f>
        <v>0</v>
      </c>
      <c r="GY185" s="90" t="b">
        <f aca="false">IF(Tasks[[#This Row],[Task Name]]="",FALSE(),OR(NOT(BaselineSet),N(Tasks[[#This Row],[Baseline Start]])&gt;0))</f>
        <v>0</v>
      </c>
      <c r="GZ18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92" t="str">
        <f aca="false">IF(Tasks[[#This Row],[_IsLeaf]]=1,Tasks[[#This Row],[_Row]],"")</f>
        <v/>
      </c>
      <c r="HD185" s="92" t="str">
        <f aca="false">IFERROR(INDEX(Tasks[UID],SMALL(Tasks[_PickKey],Tasks[[#This Row],[_Row]]))&amp;" "&amp;INDEX(Tasks[Task Name],SMALL(Tasks[_PickKey],Tasks[[#This Row],[_Row]])),"")</f>
        <v/>
      </c>
      <c r="HE185" s="43" t="str">
        <f aca="false">IF(Tasks[[#This Row],[Task Name]]="","",IF(Tasks[[#This Row],[_IsSummary]],NETWORKDAYS.INTL(Tasks[[#This Row],[Start]],Tasks[[#This Row],[Finish]],WorkWeek,Holidays),N(Tasks[[#This Row],[_Days]])))</f>
        <v/>
      </c>
      <c r="HF185" s="43" t="n">
        <f aca="false">IF(Tasks[[#This Row],[Expected]]="",0,((Tasks[[#This Row],[Pessimistic]]-Tasks[[#This Row],[Optimistic]])/6)^2)</f>
        <v>0</v>
      </c>
      <c r="HG185" s="43" t="n">
        <f aca="false">IF(Tasks[[#This Row],[Expected]]="",0,Tasks[[#This Row],[Expected]]-N(Tasks[[#This Row],[_Days]]))</f>
        <v>0</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4"/>
      <c r="U186" s="23"/>
      <c r="V186" s="84"/>
      <c r="W186" s="23"/>
      <c r="X186" s="84"/>
      <c r="Y186" s="23"/>
      <c r="Z186" s="84"/>
      <c r="AA186" s="23"/>
      <c r="AB186" s="23"/>
      <c r="AC186" s="7"/>
      <c r="AD186" s="7"/>
      <c r="AE186" s="63" t="str">
        <f aca="false">IF(Tasks[[#This Row],[Task Name]]="","",IF(Tasks[[#This Row],[_IsSummary]],MIN(INDEX(Tasks[_ShownFcstStart],Tasks[[#This Row],[_Row]]+1):INDEX(Tasks[_ShownFcstStart],Tasks[[#This Row],[_Row]]+Tasks[[#This Row],[_Descendants]])),Tasks[[#This Row],[_ShownFcstStart]]))</f>
        <v/>
      </c>
      <c r="AF186" s="63"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6" s="7"/>
      <c r="AK186" s="22"/>
      <c r="AL186" s="23"/>
      <c r="AM186" s="7"/>
      <c r="AN186" s="47"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3" t="str">
        <f aca="false">IF(Tasks[[#This Row],[Task Name]]="","",IF(N(Tasks[[#This Row],[Baseline Start]])&gt;0,Tasks[[#This Row],[Baseline Start]],Tasks[[#This Row],[_CalcStart]]))</f>
        <v/>
      </c>
      <c r="AR186" s="63" t="str">
        <f aca="false">IF(Tasks[[#This Row],[Task Name]]="","",IF(N(Tasks[[#This Row],[Baseline Finish]])&gt;0,Tasks[[#This Row],[Baseline Finish]],Tasks[[#This Row],[_CalcFinish]]))</f>
        <v/>
      </c>
      <c r="AS186" s="47" t="str">
        <f aca="false">IF(Tasks[[#This Row],[Task Name]]="","",IF(Tasks[[#This Row],[Start]]&gt;=Tasks[[#This Row],[Planned Start]],NETWORKDAYS.INTL(Tasks[[#This Row],[Planned Start]],Tasks[[#This Row],[Start]],WorkWeek,Holidays)-1,1-NETWORKDAYS.INTL(Tasks[[#This Row],[Start]],Tasks[[#This Row],[Planned Start]],WorkWeek,Holidays)))</f>
        <v/>
      </c>
      <c r="AT186" s="63" t="str">
        <f aca="false">IF(Tasks[[#This Row],[Task Name]]="","",IF(Tasks[[#This Row],[_IsSummary]],MIN(INDEX(Tasks[_LeafLateStart],Tasks[[#This Row],[_Row]]+1):INDEX(Tasks[_LeafLateStart],Tasks[[#This Row],[_Row]]+Tasks[[#This Row],[_Descendants]])),Tasks[[#This Row],[_LeafLateStart]]))</f>
        <v/>
      </c>
      <c r="AU186" s="63" t="str">
        <f aca="false">IF(Tasks[[#This Row],[Task Name]]="","",IF(Tasks[[#This Row],[_IsSummary]],MAX(INDEX(Tasks[_LeafLateFinish],Tasks[[#This Row],[_Row]]+1):INDEX(Tasks[_LeafLateFinish],Tasks[[#This Row],[_Row]]+Tasks[[#This Row],[_Descendants]])),Tasks[[#This Row],[_LeafLateFinish]]))</f>
        <v/>
      </c>
      <c r="AV186" s="47"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5"/>
      <c r="BA1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6"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7"/>
      <c r="BJ186" s="22"/>
      <c r="BK186" s="47" t="str">
        <f aca="false">IF(OR(Tasks[[#This Row],[Task Name]]="",Tasks[[#This Row],[Baseline Duration]]=""),"",Tasks[[#This Row],[_SpanDays]]-N(Tasks[[#This Row],[Baseline Duration]]))</f>
        <v/>
      </c>
      <c r="BL186" s="86" t="str">
        <f aca="false">IF(OR(Tasks[[#This Row],[Task Name]]="",Tasks[[#This Row],[Baseline Work]]=""),"",Tasks[[#This Row],[Work]]-N(Tasks[[#This Row],[Baseline Work]]))</f>
        <v/>
      </c>
      <c r="BM186" s="63" t="str">
        <f aca="false">IF(Tasks[[#This Row],[Task Name]]="","",IF(OR(TakeBaseline="Yes",N(Tasks[[#This Row],[Baseline Start]])=0),Tasks[[#This Row],[Start]],Tasks[[#This Row],[Baseline Start]]))</f>
        <v/>
      </c>
      <c r="BN186" s="63" t="str">
        <f aca="false">IF(Tasks[[#This Row],[Task Name]]="","",IF(OR(TakeBaseline="Yes",N(Tasks[[#This Row],[Baseline Finish]])=0),Tasks[[#This Row],[Finish]],Tasks[[#This Row],[Baseline Finish]]))</f>
        <v/>
      </c>
      <c r="BO186" s="21" t="str">
        <f aca="false">IF(Tasks[[#This Row],[Task Name]]="","",IF(OR(TakeBaseline="Yes",N(Tasks[[#This Row],[Baseline Duration]])=0),Tasks[[#This Row],[_SpanDays]],Tasks[[#This Row],[Baseline Duration]]))</f>
        <v/>
      </c>
      <c r="BP186" s="86" t="str">
        <f aca="false">IF(Tasks[[#This Row],[Task Name]]="","",IF(OR(TakeBaseline="Yes",N(Tasks[[#This Row],[Baseline Work]])=0),Tasks[[#This Row],[Work]],Tasks[[#This Row],[Baseline Work]]))</f>
        <v/>
      </c>
      <c r="BQ186" s="7"/>
      <c r="BR186" s="7"/>
      <c r="BS186" s="22"/>
      <c r="BT186" s="88"/>
      <c r="BU186" s="23"/>
      <c r="BV186" s="23"/>
      <c r="BW186" s="23"/>
      <c r="BX186" s="89" t="str">
        <f aca="false">IF(AND(Tasks[[#This Row],[_IsLeaf]]=1,ISNUMBER(Tasks[[#This Row],[Optimistic]]),ISNUMBER(Tasks[[#This Row],[Pessimistic]])),ROUND((Tasks[[#This Row],[Optimistic]]+4*N(Tasks[[#This Row],[_Days]])+Tasks[[#This Row],[Pessimistic]])/6,1),"")</f>
        <v/>
      </c>
      <c r="BY186" s="87"/>
      <c r="BZ186" s="87"/>
      <c r="CA186" s="22"/>
      <c r="CB186" s="43" t="str">
        <f aca="false">IF(Tasks[[#This Row],[Task Name]]="","",MAX(1,N(Tasks[[#This Row],[Level]])))</f>
        <v/>
      </c>
      <c r="CC186" s="43" t="n">
        <f aca="false">ROW()-ROW(Tasks[[#Headers],[ID]])</f>
        <v>181</v>
      </c>
      <c r="CD186" s="43" t="n">
        <f aca="false">IF(OR(Tasks[[#This Row],[Task Name]]="",Tasks[[#This Row],[_Level]]&lt;=1),0,IFERROR(LOOKUP(2,1/(Tasks[[#Headers],[_Level]]:Tasks[[#This Row],[_Level]]=Tasks[[#This Row],[_Level]]-1),ROW(Tasks[[#Headers],[_Level]]:Tasks[[#This Row],[_Level]])),0))</f>
        <v>0</v>
      </c>
      <c r="CE186" s="43" t="n">
        <f aca="false">IFERROR(N(INDEX(Tasks[_Level],Tasks[[#This Row],[_Row]]+1)),0)</f>
        <v>0</v>
      </c>
      <c r="CF186" s="90" t="b">
        <f aca="false">AND(Tasks[[#This Row],[Task Name]]&lt;&gt;"",Tasks[[#This Row],[_NextLevel]]&gt;Tasks[[#This Row],[_Level]])</f>
        <v>0</v>
      </c>
      <c r="CG186" s="43" t="n">
        <f aca="false">IF(Tasks[[#This Row],[_IsSummary]],COUNTIF(Tasks[WBS],Tasks[[#This Row],[WBS]]&amp;".*"),0)</f>
        <v>0</v>
      </c>
      <c r="CH186" s="43" t="n">
        <f aca="false">IF(AND(Tasks[[#This Row],[Task Name]]&lt;&gt;"",NOT(Tasks[[#This Row],[_IsSummary]])),1,0)</f>
        <v>0</v>
      </c>
      <c r="CI186" s="43" t="n">
        <f aca="false">IF(N(Tasks[[#This Row],[_Pred1UID]])=0,0,IFERROR(MATCH(Tasks[[#This Row],[_Pred1UID]],Tasks[UID],0),-1))</f>
        <v>0</v>
      </c>
      <c r="CJ186" s="43" t="n">
        <f aca="false">IF(N(Tasks[[#This Row],[_Pred2UID]])=0,0,IFERROR(MATCH(Tasks[[#This Row],[_Pred2UID]],Tasks[UID],0),-1))</f>
        <v>0</v>
      </c>
      <c r="CK186" s="43" t="n">
        <f aca="false">IF(N(Tasks[[#This Row],[_Pred3UID]])=0,0,IFERROR(MATCH(Tasks[[#This Row],[_Pred3UID]],Tasks[UID],0),-1))</f>
        <v>0</v>
      </c>
      <c r="CL186" s="43" t="n">
        <f aca="false">IF(N(Tasks[[#This Row],[_Pred4UID]])=0,0,IFERROR(MATCH(Tasks[[#This Row],[_Pred4UID]],Tasks[UID],0),-1))</f>
        <v>0</v>
      </c>
      <c r="CM1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6" s="91" t="n">
        <f aca="false">IF(OR(Tasks[[#This Row],[_ConstraintCode]]=2,Tasks[[#This Row],[_ConstraintCode]]=3,Tasks[[#This Row],[_ConstraintCode]]=4,Tasks[[#This Row],[_ConstraintCode]]=6),Tasks[[#This Row],[_ConstraintStart]],0)</f>
        <v>0</v>
      </c>
      <c r="CP186" s="91" t="n">
        <f aca="false">IF(OR(Tasks[[#This Row],[_ConstraintCode]]=2,Tasks[[#This Row],[_ConstraintCode]]=3,Tasks[[#This Row],[_ConstraintCode]]=5,Tasks[[#This Row],[_ConstraintCode]]=7),Tasks[[#This Row],[_ConstraintStart]],2958465)</f>
        <v>2958465</v>
      </c>
      <c r="CQ1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91" t="str">
        <f aca="false">IF(NOT(Tasks[[#This Row],[_IsLeaf]]=1),"",IF(N(Tasks[[#This Row],[_Days]])&lt;=0,Tasks[[#This Row],[_LeafCalcStart]],WORKDAY.INTL(Tasks[[#This Row],[_LeafCalcStart]],Tasks[[#This Row],[_Days]]-1,WorkWeek,Holidays)))</f>
        <v/>
      </c>
      <c r="CS1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3" t="str">
        <f aca="false">IF(Tasks[[#This Row],[_Predecessors]]="","",TRIM(MID(SUBSTITUTE(SUBSTITUTE(SUBSTITUTE(UPPER(Tasks[[#This Row],[_Predecessors]]),";",",")," ",""),",",REPT(" ",99)),1,99)))</f>
        <v/>
      </c>
      <c r="CV186" s="43" t="str">
        <f aca="false">IF(Tasks[[#This Row],[_Pred1Text]]="","",IFERROR(VALUE(LEFT(Tasks[[#This Row],[_Pred1Text]],MIN(FIND("F",Tasks[[#This Row],[_Pred1Text]]&amp;"F"),FIND("S",Tasks[[#This Row],[_Pred1Text]]&amp;"S"),FIND("+",Tasks[[#This Row],[_Pred1Text]]&amp;"+"),FIND("-",Tasks[[#This Row],[_Pred1Text]]&amp;"-"))-1)),""))</f>
        <v/>
      </c>
      <c r="CW1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3" t="str">
        <f aca="false">IF(Tasks[[#This Row],[_Pred1Text]]="","",TRIM(MID(SUBSTITUTE(SUBSTITUTE(SUBSTITUTE(UPPER(Tasks[[#This Row],[_Predecessors]]),";",",")," ",""),",",REPT(" ",99)),100,99)))</f>
        <v/>
      </c>
      <c r="CZ186" s="43" t="str">
        <f aca="false">IF(Tasks[[#This Row],[_Pred2Text]]="","",IFERROR(VALUE(LEFT(Tasks[[#This Row],[_Pred2Text]],MIN(FIND("F",Tasks[[#This Row],[_Pred2Text]]&amp;"F"),FIND("S",Tasks[[#This Row],[_Pred2Text]]&amp;"S"),FIND("+",Tasks[[#This Row],[_Pred2Text]]&amp;"+"),FIND("-",Tasks[[#This Row],[_Pred2Text]]&amp;"-"))-1)),""))</f>
        <v/>
      </c>
      <c r="DA1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3" t="str">
        <f aca="false">IF(Tasks[[#This Row],[_Pred2Text]]="","",TRIM(MID(SUBSTITUTE(SUBSTITUTE(SUBSTITUTE(UPPER(Tasks[[#This Row],[_Predecessors]]),";",",")," ",""),",",REPT(" ",99)),199,99)))</f>
        <v/>
      </c>
      <c r="DD186" s="43" t="str">
        <f aca="false">IF(Tasks[[#This Row],[_Pred3Text]]="","",IFERROR(VALUE(LEFT(Tasks[[#This Row],[_Pred3Text]],MIN(FIND("F",Tasks[[#This Row],[_Pred3Text]]&amp;"F"),FIND("S",Tasks[[#This Row],[_Pred3Text]]&amp;"S"),FIND("+",Tasks[[#This Row],[_Pred3Text]]&amp;"+"),FIND("-",Tasks[[#This Row],[_Pred3Text]]&amp;"-"))-1)),""))</f>
        <v/>
      </c>
      <c r="DE1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3" t="str">
        <f aca="false">IF(Tasks[[#This Row],[_Pred3Text]]="","",TRIM(MID(SUBSTITUTE(SUBSTITUTE(SUBSTITUTE(UPPER(Tasks[[#This Row],[_Predecessors]]),";",",")," ",""),",",REPT(" ",99)),298,99)))</f>
        <v/>
      </c>
      <c r="DH186" s="43" t="str">
        <f aca="false">IF(Tasks[[#This Row],[_Pred4Text]]="","",IFERROR(VALUE(LEFT(Tasks[[#This Row],[_Pred4Text]],MIN(FIND("F",Tasks[[#This Row],[_Pred4Text]]&amp;"F"),FIND("S",Tasks[[#This Row],[_Pred4Text]]&amp;"S"),FIND("+",Tasks[[#This Row],[_Pred4Text]]&amp;"+"),FIND("-",Tasks[[#This Row],[_Pred4Text]]&amp;"-"))-1)),""))</f>
        <v/>
      </c>
      <c r="DI1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3" t="str">
        <f aca="false">IF(OR(Tasks[[#This Row],[Task Name]]="",Tasks[[#This Row],[_Resources]]=""),"",TRIM(MID(SUBSTITUTE(Tasks[[#This Row],[_Resources]],",",REPT(" ",99)),1,99)))</f>
        <v/>
      </c>
      <c r="DL186" s="43" t="str">
        <f aca="false">IF(Tasks[[#This Row],[_Res1Text]]="","",TRIM(MID(SUBSTITUTE(Tasks[[#This Row],[_Resources]],",",REPT(" ",99)),100,99)))</f>
        <v/>
      </c>
      <c r="DM186" s="43" t="str">
        <f aca="false">IF(Tasks[[#This Row],[_Res2Text]]="","",TRIM(MID(SUBSTITUTE(Tasks[[#This Row],[_Resources]],",",REPT(" ",99)),199,99)))</f>
        <v/>
      </c>
      <c r="DN186" s="43" t="str">
        <f aca="false">IF(Tasks[[#This Row],[_Res3Text]]="","",TRIM(MID(SUBSTITUTE(Tasks[[#This Row],[_Resources]],",",REPT(" ",99)),298,99)))</f>
        <v/>
      </c>
      <c r="DO186" s="43" t="n">
        <f aca="false">IF(Tasks[[#This Row],[_Res1Text]]="",0,IFERROR(MATCH(TRIM(LEFT(Tasks[[#This Row],[_Res1Text]],FIND("[",Tasks[[#This Row],[_Res1Text]]&amp;"[")-1)),res_Name,0),IFERROR(MATCH(TRIM(LEFT(Tasks[[#This Row],[_Res1Text]],FIND("[",Tasks[[#This Row],[_Res1Text]]&amp;"[")-1)),res_Initials,0),0)))</f>
        <v>0</v>
      </c>
      <c r="DP186" s="43" t="n">
        <f aca="false">IF(Tasks[[#This Row],[_Res2Text]]="",0,IFERROR(MATCH(TRIM(LEFT(Tasks[[#This Row],[_Res2Text]],FIND("[",Tasks[[#This Row],[_Res2Text]]&amp;"[")-1)),res_Name,0),IFERROR(MATCH(TRIM(LEFT(Tasks[[#This Row],[_Res2Text]],FIND("[",Tasks[[#This Row],[_Res2Text]]&amp;"[")-1)),res_Initials,0),0)))</f>
        <v>0</v>
      </c>
      <c r="DQ186" s="43" t="n">
        <f aca="false">IF(Tasks[[#This Row],[_Res3Text]]="",0,IFERROR(MATCH(TRIM(LEFT(Tasks[[#This Row],[_Res3Text]],FIND("[",Tasks[[#This Row],[_Res3Text]]&amp;"[")-1)),res_Name,0),IFERROR(MATCH(TRIM(LEFT(Tasks[[#This Row],[_Res3Text]],FIND("[",Tasks[[#This Row],[_Res3Text]]&amp;"[")-1)),res_Initials,0),0)))</f>
        <v>0</v>
      </c>
      <c r="DR186" s="43" t="n">
        <f aca="false">IF(Tasks[[#This Row],[_Res4Text]]="",0,IFERROR(MATCH(TRIM(LEFT(Tasks[[#This Row],[_Res4Text]],FIND("[",Tasks[[#This Row],[_Res4Text]]&amp;"[")-1)),res_Name,0),IFERROR(MATCH(TRIM(LEFT(Tasks[[#This Row],[_Res4Text]],FIND("[",Tasks[[#This Row],[_Res4Text]]&amp;"[")-1)),res_Initials,0),0)))</f>
        <v>0</v>
      </c>
      <c r="DS186" s="43" t="str">
        <f aca="false">IF(Tasks[[#This Row],[_Res1Text]]="","",IF(Tasks[[#This Row],[_Res1Row]]&gt;0,INDEX(res_Name,Tasks[[#This Row],[_Res1Row]]),TRIM(LEFT(Tasks[[#This Row],[_Res1Text]],FIND("[",Tasks[[#This Row],[_Res1Text]]&amp;"[")-1))))</f>
        <v/>
      </c>
      <c r="DT1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3" t="n">
        <f aca="false">IF(NOT(Tasks[[#This Row],[_IsLeaf]]=1),0,(Tasks[[#This Row],[_Resource1]]&lt;&gt;"")+(Tasks[[#This Row],[_Res2]]&lt;&gt;"")+(Tasks[[#This Row],[_Res3]]&lt;&gt;"")+(Tasks[[#This Row],[_Res4]]&lt;&gt;""))</f>
        <v>0</v>
      </c>
      <c r="DV186" s="43" t="str">
        <f aca="false">IF(Tasks[[#This Row],[_Res2Text]]="","",IF(Tasks[[#This Row],[_Res2Row]]&gt;0,INDEX(res_Name,Tasks[[#This Row],[_Res2Row]]),TRIM(LEFT(Tasks[[#This Row],[_Res2Text]],FIND("[",Tasks[[#This Row],[_Res2Text]]&amp;"[")-1))))</f>
        <v/>
      </c>
      <c r="DW1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3" t="n">
        <f aca="false">IF(OR(NOT(Tasks[[#This Row],[_IsLeaf]]=1),Tasks[[#This Row],[_Res2Row]]=0),0,N(Tasks[[#This Row],[_Days]])*HoursPerDay*IF(Tasks[[#This Row],[_Res2Units]]="",DefaultUnits,Tasks[[#This Row],[_Res2Units]]))</f>
        <v>0</v>
      </c>
      <c r="DY186" s="43" t="n">
        <f aca="false">IF(AND(AND(Tasks[[#This Row],[_IsLeaf]]=1,Tasks[[#This Row],[_LeafTotalWork]]&gt;0),Tasks[[#This Row],[_Res2Work]]&gt;0),Tasks[[#This Row],[_Res2Work]]/(Tasks[[#This Row],[_FinishWorkday]]-Tasks[[#This Row],[_StartWorkday]]+1),0)</f>
        <v>0</v>
      </c>
      <c r="DZ186" s="43" t="n">
        <f aca="false">Tasks[[#This Row],[_Res2WorkPerWD]]*MAX(0,Tasks[[#This Row],[_StartWorkday]]-1)</f>
        <v>0</v>
      </c>
      <c r="EA186" s="43" t="n">
        <f aca="false">Tasks[[#This Row],[_Res2Work]]*Tasks[[#This Row],[_LeafProgress]]</f>
        <v>0</v>
      </c>
      <c r="EB186" s="43" t="str">
        <f aca="false">IF(Tasks[[#This Row],[_Res3Text]]="","",IF(Tasks[[#This Row],[_Res3Row]]&gt;0,INDEX(res_Name,Tasks[[#This Row],[_Res3Row]]),TRIM(LEFT(Tasks[[#This Row],[_Res3Text]],FIND("[",Tasks[[#This Row],[_Res3Text]]&amp;"[")-1))))</f>
        <v/>
      </c>
      <c r="EC1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3" t="n">
        <f aca="false">IF(OR(NOT(Tasks[[#This Row],[_IsLeaf]]=1),Tasks[[#This Row],[_Res3Row]]=0),0,N(Tasks[[#This Row],[_Days]])*HoursPerDay*IF(Tasks[[#This Row],[_Res3Units]]="",DefaultUnits,Tasks[[#This Row],[_Res3Units]]))</f>
        <v>0</v>
      </c>
      <c r="EE186" s="43" t="n">
        <f aca="false">IF(AND(AND(Tasks[[#This Row],[_IsLeaf]]=1,Tasks[[#This Row],[_LeafTotalWork]]&gt;0),Tasks[[#This Row],[_Res3Work]]&gt;0),Tasks[[#This Row],[_Res3Work]]/(Tasks[[#This Row],[_FinishWorkday]]-Tasks[[#This Row],[_StartWorkday]]+1),0)</f>
        <v>0</v>
      </c>
      <c r="EF186" s="43" t="n">
        <f aca="false">Tasks[[#This Row],[_Res3WorkPerWD]]*MAX(0,Tasks[[#This Row],[_StartWorkday]]-1)</f>
        <v>0</v>
      </c>
      <c r="EG186" s="43" t="n">
        <f aca="false">Tasks[[#This Row],[_Res3Work]]*Tasks[[#This Row],[_LeafProgress]]</f>
        <v>0</v>
      </c>
      <c r="EH186" s="43" t="str">
        <f aca="false">IF(Tasks[[#This Row],[_Res4Text]]="","",IF(Tasks[[#This Row],[_Res4Row]]&gt;0,INDEX(res_Name,Tasks[[#This Row],[_Res4Row]]),TRIM(LEFT(Tasks[[#This Row],[_Res4Text]],FIND("[",Tasks[[#This Row],[_Res4Text]]&amp;"[")-1))))</f>
        <v/>
      </c>
      <c r="EI1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3" t="n">
        <f aca="false">IF(OR(NOT(Tasks[[#This Row],[_IsLeaf]]=1),Tasks[[#This Row],[_Res4Row]]=0),0,N(Tasks[[#This Row],[_Days]])*HoursPerDay*IF(Tasks[[#This Row],[_Res4Units]]="",DefaultUnits,Tasks[[#This Row],[_Res4Units]]))</f>
        <v>0</v>
      </c>
      <c r="EK186" s="43" t="n">
        <f aca="false">IF(AND(AND(Tasks[[#This Row],[_IsLeaf]]=1,Tasks[[#This Row],[_LeafTotalWork]]&gt;0),Tasks[[#This Row],[_Res4Work]]&gt;0),Tasks[[#This Row],[_Res4Work]]/(Tasks[[#This Row],[_FinishWorkday]]-Tasks[[#This Row],[_StartWorkday]]+1),0)</f>
        <v>0</v>
      </c>
      <c r="EL186" s="43" t="n">
        <f aca="false">Tasks[[#This Row],[_Res4WorkPerWD]]*MAX(0,Tasks[[#This Row],[_StartWorkday]]-1)</f>
        <v>0</v>
      </c>
      <c r="EM186" s="43" t="n">
        <f aca="false">Tasks[[#This Row],[_Res4Work]]*Tasks[[#This Row],[_LeafProgress]]</f>
        <v>0</v>
      </c>
      <c r="EN186" s="43" t="n">
        <f aca="false">IF(ISNUMBER(Tasks[[#This Row],[% Complete]]),Tasks[[#This Row],[% Complete]],IF(Tasks[[#This Row],[Stage]]="",0,IFERROR(INDEX(stg_Pct,MATCH(Tasks[[#This Row],[Stage]],stg_Name,0)),0)))</f>
        <v>0</v>
      </c>
      <c r="EO186" s="43" t="n">
        <f aca="false">IF(NOT(Tasks[[#This Row],[_IsLeaf]]=1),0,IF(N(Tasks[[#This Row],[Actual Finish]])&gt;0,1,MIN(1,Tasks[[#This Row],[_Pct]])))</f>
        <v>0</v>
      </c>
      <c r="EP186" s="43" t="n">
        <f aca="false">IF(OR(NOT(Tasks[[#This Row],[_IsLeaf]]=1),Tasks[[#This Row],[_Res1Row]]=0),0,N(Tasks[[#This Row],[_Days]])*HoursPerDay*IF(Tasks[[#This Row],[_Units1]]="",DefaultUnits,Tasks[[#This Row],[_Units1]]))</f>
        <v>0</v>
      </c>
      <c r="EQ186" s="43" t="n">
        <f aca="false">Tasks[[#This Row],[_LeafWork]]+Tasks[[#This Row],[_Res2Work]]+Tasks[[#This Row],[_Res3Work]]+Tasks[[#This Row],[_Res4Work]]</f>
        <v>0</v>
      </c>
      <c r="ER1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3" t="n">
        <f aca="false">IF(NOT(Tasks[[#This Row],[_IsLeaf]]=1),0,MAX(_xlfn.MAXIFS(Tasks[_Row],Tasks[_Pred1UID],Tasks[[#This Row],[UID]]),_xlfn.MAXIFS(Tasks[_Row],Tasks[_Pred2UID],Tasks[[#This Row],[UID]]),_xlfn.MAXIFS(Tasks[_Row],Tasks[_Pred3UID],Tasks[[#This Row],[UID]]),_xlfn.MAXIFS(Tasks[_Row],Tasks[_Pred4UID],Tasks[[#This Row],[UID]])))</f>
        <v>0</v>
      </c>
      <c r="FA1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91" t="str">
        <f aca="false">IF(NOT(Tasks[[#This Row],[_IsLeaf]]=1),"",IF(N(Tasks[[#This Row],[_Days]])&lt;=0,Tasks[[#This Row],[_LeafLateFinish]],WORKDAY.INTL(Tasks[[#This Row],[_LeafLateFinish]],-(Tasks[[#This Row],[_Days]]-1),WorkWeek,Holidays)))</f>
        <v/>
      </c>
      <c r="FD1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6" s="90" t="b">
        <f aca="false">AND(Tasks[[#This Row],[_IsLeaf]]=1,Tasks[[#This Row],[_LeafProgress]]&lt;1,N(Tasks[[#This Row],[_LeafTotalSlack]])&lt;=CriticalSlackDays)</f>
        <v>0</v>
      </c>
      <c r="FF186" s="43" t="n">
        <f aca="false">IF(AND(Tasks[[#This Row],[_IsLeaf]]=1,Tasks[[#This Row],[_ConstraintCode]]=1,Tasks[[#This Row],[Mode]]&lt;&gt;"Manual",N(Tasks[[#This Row],[Actual Start]])=0),MAX(0,N(Tasks[[#This Row],[Free Slack]])),0)</f>
        <v>0</v>
      </c>
      <c r="FG186" s="91" t="str">
        <f aca="false">IF(NOT(Tasks[[#This Row],[_IsLeaf]]=1),"",IF(Tasks[[#This Row],[_AlapShift]]=0,Tasks[[#This Row],[_LeafCalcStart]],WORKDAY.INTL(Tasks[[#This Row],[_LeafCalcStart]],Tasks[[#This Row],[_AlapShift]],WorkWeek,Holidays)))</f>
        <v/>
      </c>
      <c r="FH186" s="91" t="str">
        <f aca="false">IF(NOT(Tasks[[#This Row],[_IsLeaf]]=1),"",IF(Tasks[[#This Row],[_AlapShift]]=0,Tasks[[#This Row],[_LeafCalcFinish]],WORKDAY.INTL(Tasks[[#This Row],[_LeafCalcFinish]],Tasks[[#This Row],[_AlapShift]],WorkWeek,Holidays)))</f>
        <v/>
      </c>
      <c r="FI186" s="91" t="str">
        <f aca="false">IF(NOT(Tasks[[#This Row],[_IsLeaf]]=1),"",IF(Tasks[[#This Row],[_AlapShift]]=0,Tasks[[#This Row],[_LeafFcstStart]],WORKDAY.INTL(Tasks[[#This Row],[_LeafFcstStart]],Tasks[[#This Row],[_AlapShift]],WorkWeek,Holidays)))</f>
        <v/>
      </c>
      <c r="FJ186" s="91" t="str">
        <f aca="false">IF(NOT(Tasks[[#This Row],[_IsLeaf]]=1),"",IF(Tasks[[#This Row],[_AlapShift]]=0,Tasks[[#This Row],[_LeafFcstFinish]],WORKDAY.INTL(Tasks[[#This Row],[_LeafFcstFinish]],Tasks[[#This Row],[_AlapShift]],WorkWeek,Holidays)))</f>
        <v/>
      </c>
      <c r="FK186" s="91" t="str">
        <f aca="false">IF(Tasks[[#This Row],[Task Name]]="","",IF(Tasks[[#This Row],[_IsSummary]],MIN(INDEX(Tasks[_ShownCalcStart],Tasks[[#This Row],[_Row]]+1):INDEX(Tasks[_ShownCalcStart],Tasks[[#This Row],[_Row]]+Tasks[[#This Row],[_Descendants]])),Tasks[[#This Row],[_ShownCalcStart]]))</f>
        <v/>
      </c>
      <c r="FL186" s="91" t="str">
        <f aca="false">IF(Tasks[[#This Row],[Task Name]]="","",IF(Tasks[[#This Row],[_IsSummary]],MAX(INDEX(Tasks[_ShownCalcFinish],Tasks[[#This Row],[_Row]]+1):INDEX(Tasks[_ShownCalcFinish],Tasks[[#This Row],[_Row]]+Tasks[[#This Row],[_Descendants]])),Tasks[[#This Row],[_ShownCalcFinish]]))</f>
        <v/>
      </c>
      <c r="FM1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6" s="43" t="n">
        <f aca="false">IF(AND(Tasks[[#This Row],[_IsLeaf]]=1,Tasks[[#This Row],[_LeafTotalWork]]&gt;0),NETWORKDAYS.INTL(ProjectStart,Tasks[[#This Row],[_ShownFcstStart]],WorkWeek,Holidays),0)</f>
        <v>0</v>
      </c>
      <c r="FZ186" s="43" t="n">
        <f aca="false">IF(AND(Tasks[[#This Row],[_IsLeaf]]=1,Tasks[[#This Row],[_LeafTotalWork]]&gt;0),MAX(Tasks[[#This Row],[_StartWorkday]],NETWORKDAYS.INTL(ProjectStart,Tasks[[#This Row],[_ShownFcstFinish]],WorkWeek,Holidays)),0)</f>
        <v>0</v>
      </c>
      <c r="GA186" s="43" t="n">
        <f aca="false">IF(AND(Tasks[[#This Row],[_IsLeaf]]=1,Tasks[[#This Row],[_LeafTotalWork]]&gt;0),Tasks[[#This Row],[_LeafWork]]/(Tasks[[#This Row],[_FinishWorkday]]-Tasks[[#This Row],[_StartWorkday]]+1),0)</f>
        <v>0</v>
      </c>
      <c r="GB186" s="43" t="n">
        <f aca="false">Tasks[[#This Row],[_WorkPerWorkday]]*(Tasks[[#This Row],[_StartWorkday]]-1)</f>
        <v>-0</v>
      </c>
      <c r="GC186" s="43" t="n">
        <f aca="false">IF(Tasks[[#This Row],[_IsLeaf]]=1,MAX(N(Tasks[[#This Row],[_Days]]),0.1),0)</f>
        <v>0</v>
      </c>
      <c r="GD186" s="43" t="n">
        <f aca="false">Tasks[[#This Row],[_WeightDur]]*Tasks[[#This Row],[_LeafProgress]]</f>
        <v>0</v>
      </c>
      <c r="GE186" s="43" t="n">
        <f aca="false">Tasks[[#This Row],[_WeightDur]]*Tasks[[#This Row],[_PlannedPct]]</f>
        <v>0</v>
      </c>
      <c r="GF1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3" t="str">
        <f aca="false">IF(AND(Tasks[[#This Row],[_IsLeaf]]=1,N(Tasks[[#This Row],[_Days]])=0,Tasks[[#This Row],[_LeafProgress]]&lt;1),Tasks[[#This Row],[_ShownFcstFinish]]+Tasks[[#This Row],[_Row]]/100000,"")</f>
        <v/>
      </c>
      <c r="GH1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6" s="43" t="str">
        <f aca="false">IF(Tasks[[#This Row],[Task Name]]="","",LEFT(Tasks[[#This Row],[WBS]],FIND(".",Tasks[[#This Row],[WBS]]&amp;".")-1))</f>
        <v/>
      </c>
      <c r="GJ186" s="43" t="str">
        <f aca="false">IF(AND(Tasks[[#This Row],[Task Name]]&lt;&gt;"",Tasks[[#This Row],[_Level]]=1),Tasks[[#This Row],[_Row]],"")</f>
        <v/>
      </c>
      <c r="GK186" s="43" t="str">
        <f aca="false">IF(AND(Tasks[[#This Row],[_IsLeaf]]=1,N(Tasks[[#This Row],[_Days]])=0),Tasks[[#This Row],[Planned Finish]]+Tasks[[#This Row],[_Row]]/100000,"")</f>
        <v/>
      </c>
      <c r="GL186" s="43" t="str">
        <f aca="false">IF(AND(Tasks[[#This Row],[_IsLeaf]]=1,Tasks[[#This Row],[_LeafProgress]]&lt;1,OR(N(Tasks[[#This Row],[Finish Var]])&gt;0,Tasks[[#This Row],[Status]]="Late Start")),MAX(0,Tasks[[#This Row],[Finish Var]])+1-Tasks[[#This Row],[_Row]]/1000000,"")</f>
        <v/>
      </c>
      <c r="GM186" s="43" t="str">
        <f aca="false">IF(AND(Tasks[[#This Row],[_IsLeaf]]=1,N(Tasks[[#This Row],[Actual Start]])=0,Tasks[[#This Row],[_ShownFcstStart]]&gt;=StatusDate,Tasks[[#This Row],[_ShownFcstStart]]&lt;=LookaheadEnd),Tasks[[#This Row],[_ShownFcstStart]]+Tasks[[#This Row],[_Row]]/100000,"")</f>
        <v/>
      </c>
      <c r="GN186" s="43" t="str">
        <f aca="false">IF(AND(Tasks[[#This Row],[_IsLeaf]]=1,Tasks[[#This Row],[_LeafProgress]]&lt;1,Tasks[[#This Row],[_ShownFcstFinish]]&gt;=StatusDate,Tasks[[#This Row],[_ShownFcstFinish]]&lt;=LookaheadEnd),Tasks[[#This Row],[_ShownFcstFinish]]+Tasks[[#This Row],[_Row]]/100000,"")</f>
        <v/>
      </c>
      <c r="GO186" s="43" t="str">
        <f aca="false">IF(Tasks[[#This Row],[_LeafCritical]],Tasks[[#This Row],[_ShownFcstStart]]+Tasks[[#This Row],[_Row]]/100000,"")</f>
        <v/>
      </c>
      <c r="GP186" s="43" t="n">
        <f aca="false">Tasks[[#This Row],[_LeafWork]]*Tasks[[#This Row],[_LeafProgress]]</f>
        <v>0</v>
      </c>
      <c r="GQ186" s="91" t="str">
        <f aca="false">IF(AND(Tasks[[#This Row],[_IsLeaf]]=1,Tasks[[#This Row],[_LeafProgress]]&gt;=1),IF(N(Tasks[[#This Row],[Actual Finish]])&gt;0,Tasks[[#This Row],[Actual Finish]],Tasks[[#This Row],[_ShownFcstFinish]]),"")</f>
        <v/>
      </c>
      <c r="GR186" s="43" t="n">
        <f aca="false">IF(Tasks[[#This Row],[_IsLeaf]]=1,N(Tasks[[#This Row],[Story Points]]),0)</f>
        <v>0</v>
      </c>
      <c r="GS186" s="43" t="str">
        <f aca="false">""</f>
        <v/>
      </c>
      <c r="GT186" s="90" t="b">
        <f aca="false">IF(Tasks[[#This Row],[Task Name]]="",FALSE(),AND(Tasks[[#This Row],[_IsLeaf]]=1,N(Tasks[[#This Row],[_Days]])=0))</f>
        <v>0</v>
      </c>
      <c r="GU186" s="91" t="n">
        <f aca="false">IF(Tasks[[#This Row],[Task Name]]="",0,IF(AND(Tasks[[#This Row],[_IsLeaf]]=1,NOT(Tasks[[#This Row],[_IsMilestone]]),N(Tasks[[#This Row],[Progress]])&gt;0),Tasks[[#This Row],[Start]],0))</f>
        <v>0</v>
      </c>
      <c r="GV186" s="91" t="n">
        <f aca="false">IF(Tasks[[#This Row],[_DoneFrom]]=0,0,IF(Tasks[[#This Row],[Progress]]&gt;=1,Tasks[[#This Row],[Finish]],MAX(Tasks[[#This Row],[_DoneFrom]],Tasks[[#This Row],[Start]]+ROUND((Tasks[[#This Row],[Finish]]-Tasks[[#This Row],[Start]]+1)*Tasks[[#This Row],[Progress]],0)-1)))</f>
        <v>0</v>
      </c>
      <c r="GW186" s="91" t="n">
        <f aca="false">IF(Tasks[[#This Row],[Task Name]]="",0,IF(OR(NOT(Tasks[[#This Row],[_IsLeaf]]=1),Tasks[[#This Row],[_IsMilestone]],N(Tasks[[#This Row],[Progress]])&gt;=1),0,IF(Tasks[[#This Row],[_DoneTo]]&gt;0,Tasks[[#This Row],[_DoneTo]]+1,Tasks[[#This Row],[Start]])))</f>
        <v>0</v>
      </c>
      <c r="GX186" s="91" t="n">
        <f aca="false">IF(Tasks[[#This Row],[_RemFrom]]=0,0,Tasks[[#This Row],[Finish]])</f>
        <v>0</v>
      </c>
      <c r="GY186" s="90" t="b">
        <f aca="false">IF(Tasks[[#This Row],[Task Name]]="",FALSE(),OR(NOT(BaselineSet),N(Tasks[[#This Row],[Baseline Start]])&gt;0))</f>
        <v>0</v>
      </c>
      <c r="GZ18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92" t="str">
        <f aca="false">IF(Tasks[[#This Row],[_IsLeaf]]=1,Tasks[[#This Row],[_Row]],"")</f>
        <v/>
      </c>
      <c r="HD186" s="92" t="str">
        <f aca="false">IFERROR(INDEX(Tasks[UID],SMALL(Tasks[_PickKey],Tasks[[#This Row],[_Row]]))&amp;" "&amp;INDEX(Tasks[Task Name],SMALL(Tasks[_PickKey],Tasks[[#This Row],[_Row]])),"")</f>
        <v/>
      </c>
      <c r="HE186" s="43" t="str">
        <f aca="false">IF(Tasks[[#This Row],[Task Name]]="","",IF(Tasks[[#This Row],[_IsSummary]],NETWORKDAYS.INTL(Tasks[[#This Row],[Start]],Tasks[[#This Row],[Finish]],WorkWeek,Holidays),N(Tasks[[#This Row],[_Days]])))</f>
        <v/>
      </c>
      <c r="HF186" s="43" t="n">
        <f aca="false">IF(Tasks[[#This Row],[Expected]]="",0,((Tasks[[#This Row],[Pessimistic]]-Tasks[[#This Row],[Optimistic]])/6)^2)</f>
        <v>0</v>
      </c>
      <c r="HG186" s="43" t="n">
        <f aca="false">IF(Tasks[[#This Row],[Expected]]="",0,Tasks[[#This Row],[Expected]]-N(Tasks[[#This Row],[_Days]]))</f>
        <v>0</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4"/>
      <c r="U187" s="23"/>
      <c r="V187" s="84"/>
      <c r="W187" s="23"/>
      <c r="X187" s="84"/>
      <c r="Y187" s="23"/>
      <c r="Z187" s="84"/>
      <c r="AA187" s="23"/>
      <c r="AB187" s="23"/>
      <c r="AC187" s="7"/>
      <c r="AD187" s="7"/>
      <c r="AE187" s="63" t="str">
        <f aca="false">IF(Tasks[[#This Row],[Task Name]]="","",IF(Tasks[[#This Row],[_IsSummary]],MIN(INDEX(Tasks[_ShownFcstStart],Tasks[[#This Row],[_Row]]+1):INDEX(Tasks[_ShownFcstStart],Tasks[[#This Row],[_Row]]+Tasks[[#This Row],[_Descendants]])),Tasks[[#This Row],[_ShownFcstStart]]))</f>
        <v/>
      </c>
      <c r="AF187" s="63"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7" s="7"/>
      <c r="AK187" s="22"/>
      <c r="AL187" s="23"/>
      <c r="AM187" s="7"/>
      <c r="AN187" s="47"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3" t="str">
        <f aca="false">IF(Tasks[[#This Row],[Task Name]]="","",IF(N(Tasks[[#This Row],[Baseline Start]])&gt;0,Tasks[[#This Row],[Baseline Start]],Tasks[[#This Row],[_CalcStart]]))</f>
        <v/>
      </c>
      <c r="AR187" s="63" t="str">
        <f aca="false">IF(Tasks[[#This Row],[Task Name]]="","",IF(N(Tasks[[#This Row],[Baseline Finish]])&gt;0,Tasks[[#This Row],[Baseline Finish]],Tasks[[#This Row],[_CalcFinish]]))</f>
        <v/>
      </c>
      <c r="AS187" s="47" t="str">
        <f aca="false">IF(Tasks[[#This Row],[Task Name]]="","",IF(Tasks[[#This Row],[Start]]&gt;=Tasks[[#This Row],[Planned Start]],NETWORKDAYS.INTL(Tasks[[#This Row],[Planned Start]],Tasks[[#This Row],[Start]],WorkWeek,Holidays)-1,1-NETWORKDAYS.INTL(Tasks[[#This Row],[Start]],Tasks[[#This Row],[Planned Start]],WorkWeek,Holidays)))</f>
        <v/>
      </c>
      <c r="AT187" s="63" t="str">
        <f aca="false">IF(Tasks[[#This Row],[Task Name]]="","",IF(Tasks[[#This Row],[_IsSummary]],MIN(INDEX(Tasks[_LeafLateStart],Tasks[[#This Row],[_Row]]+1):INDEX(Tasks[_LeafLateStart],Tasks[[#This Row],[_Row]]+Tasks[[#This Row],[_Descendants]])),Tasks[[#This Row],[_LeafLateStart]]))</f>
        <v/>
      </c>
      <c r="AU187" s="63" t="str">
        <f aca="false">IF(Tasks[[#This Row],[Task Name]]="","",IF(Tasks[[#This Row],[_IsSummary]],MAX(INDEX(Tasks[_LeafLateFinish],Tasks[[#This Row],[_Row]]+1):INDEX(Tasks[_LeafLateFinish],Tasks[[#This Row],[_Row]]+Tasks[[#This Row],[_Descendants]])),Tasks[[#This Row],[_LeafLateFinish]]))</f>
        <v/>
      </c>
      <c r="AV187" s="47"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5"/>
      <c r="BA1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6"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7"/>
      <c r="BJ187" s="22"/>
      <c r="BK187" s="47" t="str">
        <f aca="false">IF(OR(Tasks[[#This Row],[Task Name]]="",Tasks[[#This Row],[Baseline Duration]]=""),"",Tasks[[#This Row],[_SpanDays]]-N(Tasks[[#This Row],[Baseline Duration]]))</f>
        <v/>
      </c>
      <c r="BL187" s="86" t="str">
        <f aca="false">IF(OR(Tasks[[#This Row],[Task Name]]="",Tasks[[#This Row],[Baseline Work]]=""),"",Tasks[[#This Row],[Work]]-N(Tasks[[#This Row],[Baseline Work]]))</f>
        <v/>
      </c>
      <c r="BM187" s="63" t="str">
        <f aca="false">IF(Tasks[[#This Row],[Task Name]]="","",IF(OR(TakeBaseline="Yes",N(Tasks[[#This Row],[Baseline Start]])=0),Tasks[[#This Row],[Start]],Tasks[[#This Row],[Baseline Start]]))</f>
        <v/>
      </c>
      <c r="BN187" s="63" t="str">
        <f aca="false">IF(Tasks[[#This Row],[Task Name]]="","",IF(OR(TakeBaseline="Yes",N(Tasks[[#This Row],[Baseline Finish]])=0),Tasks[[#This Row],[Finish]],Tasks[[#This Row],[Baseline Finish]]))</f>
        <v/>
      </c>
      <c r="BO187" s="21" t="str">
        <f aca="false">IF(Tasks[[#This Row],[Task Name]]="","",IF(OR(TakeBaseline="Yes",N(Tasks[[#This Row],[Baseline Duration]])=0),Tasks[[#This Row],[_SpanDays]],Tasks[[#This Row],[Baseline Duration]]))</f>
        <v/>
      </c>
      <c r="BP187" s="86" t="str">
        <f aca="false">IF(Tasks[[#This Row],[Task Name]]="","",IF(OR(TakeBaseline="Yes",N(Tasks[[#This Row],[Baseline Work]])=0),Tasks[[#This Row],[Work]],Tasks[[#This Row],[Baseline Work]]))</f>
        <v/>
      </c>
      <c r="BQ187" s="7"/>
      <c r="BR187" s="7"/>
      <c r="BS187" s="22"/>
      <c r="BT187" s="88"/>
      <c r="BU187" s="23"/>
      <c r="BV187" s="23"/>
      <c r="BW187" s="23"/>
      <c r="BX187" s="89" t="str">
        <f aca="false">IF(AND(Tasks[[#This Row],[_IsLeaf]]=1,ISNUMBER(Tasks[[#This Row],[Optimistic]]),ISNUMBER(Tasks[[#This Row],[Pessimistic]])),ROUND((Tasks[[#This Row],[Optimistic]]+4*N(Tasks[[#This Row],[_Days]])+Tasks[[#This Row],[Pessimistic]])/6,1),"")</f>
        <v/>
      </c>
      <c r="BY187" s="87"/>
      <c r="BZ187" s="87"/>
      <c r="CA187" s="22"/>
      <c r="CB187" s="43" t="str">
        <f aca="false">IF(Tasks[[#This Row],[Task Name]]="","",MAX(1,N(Tasks[[#This Row],[Level]])))</f>
        <v/>
      </c>
      <c r="CC187" s="43" t="n">
        <f aca="false">ROW()-ROW(Tasks[[#Headers],[ID]])</f>
        <v>182</v>
      </c>
      <c r="CD187" s="43" t="n">
        <f aca="false">IF(OR(Tasks[[#This Row],[Task Name]]="",Tasks[[#This Row],[_Level]]&lt;=1),0,IFERROR(LOOKUP(2,1/(Tasks[[#Headers],[_Level]]:Tasks[[#This Row],[_Level]]=Tasks[[#This Row],[_Level]]-1),ROW(Tasks[[#Headers],[_Level]]:Tasks[[#This Row],[_Level]])),0))</f>
        <v>0</v>
      </c>
      <c r="CE187" s="43" t="n">
        <f aca="false">IFERROR(N(INDEX(Tasks[_Level],Tasks[[#This Row],[_Row]]+1)),0)</f>
        <v>0</v>
      </c>
      <c r="CF187" s="90" t="b">
        <f aca="false">AND(Tasks[[#This Row],[Task Name]]&lt;&gt;"",Tasks[[#This Row],[_NextLevel]]&gt;Tasks[[#This Row],[_Level]])</f>
        <v>0</v>
      </c>
      <c r="CG187" s="43" t="n">
        <f aca="false">IF(Tasks[[#This Row],[_IsSummary]],COUNTIF(Tasks[WBS],Tasks[[#This Row],[WBS]]&amp;".*"),0)</f>
        <v>0</v>
      </c>
      <c r="CH187" s="43" t="n">
        <f aca="false">IF(AND(Tasks[[#This Row],[Task Name]]&lt;&gt;"",NOT(Tasks[[#This Row],[_IsSummary]])),1,0)</f>
        <v>0</v>
      </c>
      <c r="CI187" s="43" t="n">
        <f aca="false">IF(N(Tasks[[#This Row],[_Pred1UID]])=0,0,IFERROR(MATCH(Tasks[[#This Row],[_Pred1UID]],Tasks[UID],0),-1))</f>
        <v>0</v>
      </c>
      <c r="CJ187" s="43" t="n">
        <f aca="false">IF(N(Tasks[[#This Row],[_Pred2UID]])=0,0,IFERROR(MATCH(Tasks[[#This Row],[_Pred2UID]],Tasks[UID],0),-1))</f>
        <v>0</v>
      </c>
      <c r="CK187" s="43" t="n">
        <f aca="false">IF(N(Tasks[[#This Row],[_Pred3UID]])=0,0,IFERROR(MATCH(Tasks[[#This Row],[_Pred3UID]],Tasks[UID],0),-1))</f>
        <v>0</v>
      </c>
      <c r="CL187" s="43" t="n">
        <f aca="false">IF(N(Tasks[[#This Row],[_Pred4UID]])=0,0,IFERROR(MATCH(Tasks[[#This Row],[_Pred4UID]],Tasks[UID],0),-1))</f>
        <v>0</v>
      </c>
      <c r="CM1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7" s="91" t="n">
        <f aca="false">IF(OR(Tasks[[#This Row],[_ConstraintCode]]=2,Tasks[[#This Row],[_ConstraintCode]]=3,Tasks[[#This Row],[_ConstraintCode]]=4,Tasks[[#This Row],[_ConstraintCode]]=6),Tasks[[#This Row],[_ConstraintStart]],0)</f>
        <v>0</v>
      </c>
      <c r="CP187" s="91" t="n">
        <f aca="false">IF(OR(Tasks[[#This Row],[_ConstraintCode]]=2,Tasks[[#This Row],[_ConstraintCode]]=3,Tasks[[#This Row],[_ConstraintCode]]=5,Tasks[[#This Row],[_ConstraintCode]]=7),Tasks[[#This Row],[_ConstraintStart]],2958465)</f>
        <v>2958465</v>
      </c>
      <c r="CQ1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91" t="str">
        <f aca="false">IF(NOT(Tasks[[#This Row],[_IsLeaf]]=1),"",IF(N(Tasks[[#This Row],[_Days]])&lt;=0,Tasks[[#This Row],[_LeafCalcStart]],WORKDAY.INTL(Tasks[[#This Row],[_LeafCalcStart]],Tasks[[#This Row],[_Days]]-1,WorkWeek,Holidays)))</f>
        <v/>
      </c>
      <c r="CS1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3" t="str">
        <f aca="false">IF(Tasks[[#This Row],[_Predecessors]]="","",TRIM(MID(SUBSTITUTE(SUBSTITUTE(SUBSTITUTE(UPPER(Tasks[[#This Row],[_Predecessors]]),";",",")," ",""),",",REPT(" ",99)),1,99)))</f>
        <v/>
      </c>
      <c r="CV187" s="43" t="str">
        <f aca="false">IF(Tasks[[#This Row],[_Pred1Text]]="","",IFERROR(VALUE(LEFT(Tasks[[#This Row],[_Pred1Text]],MIN(FIND("F",Tasks[[#This Row],[_Pred1Text]]&amp;"F"),FIND("S",Tasks[[#This Row],[_Pred1Text]]&amp;"S"),FIND("+",Tasks[[#This Row],[_Pred1Text]]&amp;"+"),FIND("-",Tasks[[#This Row],[_Pred1Text]]&amp;"-"))-1)),""))</f>
        <v/>
      </c>
      <c r="CW1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3" t="str">
        <f aca="false">IF(Tasks[[#This Row],[_Pred1Text]]="","",TRIM(MID(SUBSTITUTE(SUBSTITUTE(SUBSTITUTE(UPPER(Tasks[[#This Row],[_Predecessors]]),";",",")," ",""),",",REPT(" ",99)),100,99)))</f>
        <v/>
      </c>
      <c r="CZ187" s="43" t="str">
        <f aca="false">IF(Tasks[[#This Row],[_Pred2Text]]="","",IFERROR(VALUE(LEFT(Tasks[[#This Row],[_Pred2Text]],MIN(FIND("F",Tasks[[#This Row],[_Pred2Text]]&amp;"F"),FIND("S",Tasks[[#This Row],[_Pred2Text]]&amp;"S"),FIND("+",Tasks[[#This Row],[_Pred2Text]]&amp;"+"),FIND("-",Tasks[[#This Row],[_Pred2Text]]&amp;"-"))-1)),""))</f>
        <v/>
      </c>
      <c r="DA1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3" t="str">
        <f aca="false">IF(Tasks[[#This Row],[_Pred2Text]]="","",TRIM(MID(SUBSTITUTE(SUBSTITUTE(SUBSTITUTE(UPPER(Tasks[[#This Row],[_Predecessors]]),";",",")," ",""),",",REPT(" ",99)),199,99)))</f>
        <v/>
      </c>
      <c r="DD187" s="43" t="str">
        <f aca="false">IF(Tasks[[#This Row],[_Pred3Text]]="","",IFERROR(VALUE(LEFT(Tasks[[#This Row],[_Pred3Text]],MIN(FIND("F",Tasks[[#This Row],[_Pred3Text]]&amp;"F"),FIND("S",Tasks[[#This Row],[_Pred3Text]]&amp;"S"),FIND("+",Tasks[[#This Row],[_Pred3Text]]&amp;"+"),FIND("-",Tasks[[#This Row],[_Pred3Text]]&amp;"-"))-1)),""))</f>
        <v/>
      </c>
      <c r="DE1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3" t="str">
        <f aca="false">IF(Tasks[[#This Row],[_Pred3Text]]="","",TRIM(MID(SUBSTITUTE(SUBSTITUTE(SUBSTITUTE(UPPER(Tasks[[#This Row],[_Predecessors]]),";",",")," ",""),",",REPT(" ",99)),298,99)))</f>
        <v/>
      </c>
      <c r="DH187" s="43" t="str">
        <f aca="false">IF(Tasks[[#This Row],[_Pred4Text]]="","",IFERROR(VALUE(LEFT(Tasks[[#This Row],[_Pred4Text]],MIN(FIND("F",Tasks[[#This Row],[_Pred4Text]]&amp;"F"),FIND("S",Tasks[[#This Row],[_Pred4Text]]&amp;"S"),FIND("+",Tasks[[#This Row],[_Pred4Text]]&amp;"+"),FIND("-",Tasks[[#This Row],[_Pred4Text]]&amp;"-"))-1)),""))</f>
        <v/>
      </c>
      <c r="DI1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3" t="str">
        <f aca="false">IF(OR(Tasks[[#This Row],[Task Name]]="",Tasks[[#This Row],[_Resources]]=""),"",TRIM(MID(SUBSTITUTE(Tasks[[#This Row],[_Resources]],",",REPT(" ",99)),1,99)))</f>
        <v/>
      </c>
      <c r="DL187" s="43" t="str">
        <f aca="false">IF(Tasks[[#This Row],[_Res1Text]]="","",TRIM(MID(SUBSTITUTE(Tasks[[#This Row],[_Resources]],",",REPT(" ",99)),100,99)))</f>
        <v/>
      </c>
      <c r="DM187" s="43" t="str">
        <f aca="false">IF(Tasks[[#This Row],[_Res2Text]]="","",TRIM(MID(SUBSTITUTE(Tasks[[#This Row],[_Resources]],",",REPT(" ",99)),199,99)))</f>
        <v/>
      </c>
      <c r="DN187" s="43" t="str">
        <f aca="false">IF(Tasks[[#This Row],[_Res3Text]]="","",TRIM(MID(SUBSTITUTE(Tasks[[#This Row],[_Resources]],",",REPT(" ",99)),298,99)))</f>
        <v/>
      </c>
      <c r="DO187" s="43" t="n">
        <f aca="false">IF(Tasks[[#This Row],[_Res1Text]]="",0,IFERROR(MATCH(TRIM(LEFT(Tasks[[#This Row],[_Res1Text]],FIND("[",Tasks[[#This Row],[_Res1Text]]&amp;"[")-1)),res_Name,0),IFERROR(MATCH(TRIM(LEFT(Tasks[[#This Row],[_Res1Text]],FIND("[",Tasks[[#This Row],[_Res1Text]]&amp;"[")-1)),res_Initials,0),0)))</f>
        <v>0</v>
      </c>
      <c r="DP187" s="43" t="n">
        <f aca="false">IF(Tasks[[#This Row],[_Res2Text]]="",0,IFERROR(MATCH(TRIM(LEFT(Tasks[[#This Row],[_Res2Text]],FIND("[",Tasks[[#This Row],[_Res2Text]]&amp;"[")-1)),res_Name,0),IFERROR(MATCH(TRIM(LEFT(Tasks[[#This Row],[_Res2Text]],FIND("[",Tasks[[#This Row],[_Res2Text]]&amp;"[")-1)),res_Initials,0),0)))</f>
        <v>0</v>
      </c>
      <c r="DQ187" s="43" t="n">
        <f aca="false">IF(Tasks[[#This Row],[_Res3Text]]="",0,IFERROR(MATCH(TRIM(LEFT(Tasks[[#This Row],[_Res3Text]],FIND("[",Tasks[[#This Row],[_Res3Text]]&amp;"[")-1)),res_Name,0),IFERROR(MATCH(TRIM(LEFT(Tasks[[#This Row],[_Res3Text]],FIND("[",Tasks[[#This Row],[_Res3Text]]&amp;"[")-1)),res_Initials,0),0)))</f>
        <v>0</v>
      </c>
      <c r="DR187" s="43" t="n">
        <f aca="false">IF(Tasks[[#This Row],[_Res4Text]]="",0,IFERROR(MATCH(TRIM(LEFT(Tasks[[#This Row],[_Res4Text]],FIND("[",Tasks[[#This Row],[_Res4Text]]&amp;"[")-1)),res_Name,0),IFERROR(MATCH(TRIM(LEFT(Tasks[[#This Row],[_Res4Text]],FIND("[",Tasks[[#This Row],[_Res4Text]]&amp;"[")-1)),res_Initials,0),0)))</f>
        <v>0</v>
      </c>
      <c r="DS187" s="43" t="str">
        <f aca="false">IF(Tasks[[#This Row],[_Res1Text]]="","",IF(Tasks[[#This Row],[_Res1Row]]&gt;0,INDEX(res_Name,Tasks[[#This Row],[_Res1Row]]),TRIM(LEFT(Tasks[[#This Row],[_Res1Text]],FIND("[",Tasks[[#This Row],[_Res1Text]]&amp;"[")-1))))</f>
        <v/>
      </c>
      <c r="DT1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3" t="n">
        <f aca="false">IF(NOT(Tasks[[#This Row],[_IsLeaf]]=1),0,(Tasks[[#This Row],[_Resource1]]&lt;&gt;"")+(Tasks[[#This Row],[_Res2]]&lt;&gt;"")+(Tasks[[#This Row],[_Res3]]&lt;&gt;"")+(Tasks[[#This Row],[_Res4]]&lt;&gt;""))</f>
        <v>0</v>
      </c>
      <c r="DV187" s="43" t="str">
        <f aca="false">IF(Tasks[[#This Row],[_Res2Text]]="","",IF(Tasks[[#This Row],[_Res2Row]]&gt;0,INDEX(res_Name,Tasks[[#This Row],[_Res2Row]]),TRIM(LEFT(Tasks[[#This Row],[_Res2Text]],FIND("[",Tasks[[#This Row],[_Res2Text]]&amp;"[")-1))))</f>
        <v/>
      </c>
      <c r="DW1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3" t="n">
        <f aca="false">IF(OR(NOT(Tasks[[#This Row],[_IsLeaf]]=1),Tasks[[#This Row],[_Res2Row]]=0),0,N(Tasks[[#This Row],[_Days]])*HoursPerDay*IF(Tasks[[#This Row],[_Res2Units]]="",DefaultUnits,Tasks[[#This Row],[_Res2Units]]))</f>
        <v>0</v>
      </c>
      <c r="DY187" s="43" t="n">
        <f aca="false">IF(AND(AND(Tasks[[#This Row],[_IsLeaf]]=1,Tasks[[#This Row],[_LeafTotalWork]]&gt;0),Tasks[[#This Row],[_Res2Work]]&gt;0),Tasks[[#This Row],[_Res2Work]]/(Tasks[[#This Row],[_FinishWorkday]]-Tasks[[#This Row],[_StartWorkday]]+1),0)</f>
        <v>0</v>
      </c>
      <c r="DZ187" s="43" t="n">
        <f aca="false">Tasks[[#This Row],[_Res2WorkPerWD]]*MAX(0,Tasks[[#This Row],[_StartWorkday]]-1)</f>
        <v>0</v>
      </c>
      <c r="EA187" s="43" t="n">
        <f aca="false">Tasks[[#This Row],[_Res2Work]]*Tasks[[#This Row],[_LeafProgress]]</f>
        <v>0</v>
      </c>
      <c r="EB187" s="43" t="str">
        <f aca="false">IF(Tasks[[#This Row],[_Res3Text]]="","",IF(Tasks[[#This Row],[_Res3Row]]&gt;0,INDEX(res_Name,Tasks[[#This Row],[_Res3Row]]),TRIM(LEFT(Tasks[[#This Row],[_Res3Text]],FIND("[",Tasks[[#This Row],[_Res3Text]]&amp;"[")-1))))</f>
        <v/>
      </c>
      <c r="EC1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3" t="n">
        <f aca="false">IF(OR(NOT(Tasks[[#This Row],[_IsLeaf]]=1),Tasks[[#This Row],[_Res3Row]]=0),0,N(Tasks[[#This Row],[_Days]])*HoursPerDay*IF(Tasks[[#This Row],[_Res3Units]]="",DefaultUnits,Tasks[[#This Row],[_Res3Units]]))</f>
        <v>0</v>
      </c>
      <c r="EE187" s="43" t="n">
        <f aca="false">IF(AND(AND(Tasks[[#This Row],[_IsLeaf]]=1,Tasks[[#This Row],[_LeafTotalWork]]&gt;0),Tasks[[#This Row],[_Res3Work]]&gt;0),Tasks[[#This Row],[_Res3Work]]/(Tasks[[#This Row],[_FinishWorkday]]-Tasks[[#This Row],[_StartWorkday]]+1),0)</f>
        <v>0</v>
      </c>
      <c r="EF187" s="43" t="n">
        <f aca="false">Tasks[[#This Row],[_Res3WorkPerWD]]*MAX(0,Tasks[[#This Row],[_StartWorkday]]-1)</f>
        <v>0</v>
      </c>
      <c r="EG187" s="43" t="n">
        <f aca="false">Tasks[[#This Row],[_Res3Work]]*Tasks[[#This Row],[_LeafProgress]]</f>
        <v>0</v>
      </c>
      <c r="EH187" s="43" t="str">
        <f aca="false">IF(Tasks[[#This Row],[_Res4Text]]="","",IF(Tasks[[#This Row],[_Res4Row]]&gt;0,INDEX(res_Name,Tasks[[#This Row],[_Res4Row]]),TRIM(LEFT(Tasks[[#This Row],[_Res4Text]],FIND("[",Tasks[[#This Row],[_Res4Text]]&amp;"[")-1))))</f>
        <v/>
      </c>
      <c r="EI1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3" t="n">
        <f aca="false">IF(OR(NOT(Tasks[[#This Row],[_IsLeaf]]=1),Tasks[[#This Row],[_Res4Row]]=0),0,N(Tasks[[#This Row],[_Days]])*HoursPerDay*IF(Tasks[[#This Row],[_Res4Units]]="",DefaultUnits,Tasks[[#This Row],[_Res4Units]]))</f>
        <v>0</v>
      </c>
      <c r="EK187" s="43" t="n">
        <f aca="false">IF(AND(AND(Tasks[[#This Row],[_IsLeaf]]=1,Tasks[[#This Row],[_LeafTotalWork]]&gt;0),Tasks[[#This Row],[_Res4Work]]&gt;0),Tasks[[#This Row],[_Res4Work]]/(Tasks[[#This Row],[_FinishWorkday]]-Tasks[[#This Row],[_StartWorkday]]+1),0)</f>
        <v>0</v>
      </c>
      <c r="EL187" s="43" t="n">
        <f aca="false">Tasks[[#This Row],[_Res4WorkPerWD]]*MAX(0,Tasks[[#This Row],[_StartWorkday]]-1)</f>
        <v>0</v>
      </c>
      <c r="EM187" s="43" t="n">
        <f aca="false">Tasks[[#This Row],[_Res4Work]]*Tasks[[#This Row],[_LeafProgress]]</f>
        <v>0</v>
      </c>
      <c r="EN187" s="43" t="n">
        <f aca="false">IF(ISNUMBER(Tasks[[#This Row],[% Complete]]),Tasks[[#This Row],[% Complete]],IF(Tasks[[#This Row],[Stage]]="",0,IFERROR(INDEX(stg_Pct,MATCH(Tasks[[#This Row],[Stage]],stg_Name,0)),0)))</f>
        <v>0</v>
      </c>
      <c r="EO187" s="43" t="n">
        <f aca="false">IF(NOT(Tasks[[#This Row],[_IsLeaf]]=1),0,IF(N(Tasks[[#This Row],[Actual Finish]])&gt;0,1,MIN(1,Tasks[[#This Row],[_Pct]])))</f>
        <v>0</v>
      </c>
      <c r="EP187" s="43" t="n">
        <f aca="false">IF(OR(NOT(Tasks[[#This Row],[_IsLeaf]]=1),Tasks[[#This Row],[_Res1Row]]=0),0,N(Tasks[[#This Row],[_Days]])*HoursPerDay*IF(Tasks[[#This Row],[_Units1]]="",DefaultUnits,Tasks[[#This Row],[_Units1]]))</f>
        <v>0</v>
      </c>
      <c r="EQ187" s="43" t="n">
        <f aca="false">Tasks[[#This Row],[_LeafWork]]+Tasks[[#This Row],[_Res2Work]]+Tasks[[#This Row],[_Res3Work]]+Tasks[[#This Row],[_Res4Work]]</f>
        <v>0</v>
      </c>
      <c r="ER1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3" t="n">
        <f aca="false">IF(NOT(Tasks[[#This Row],[_IsLeaf]]=1),0,MAX(_xlfn.MAXIFS(Tasks[_Row],Tasks[_Pred1UID],Tasks[[#This Row],[UID]]),_xlfn.MAXIFS(Tasks[_Row],Tasks[_Pred2UID],Tasks[[#This Row],[UID]]),_xlfn.MAXIFS(Tasks[_Row],Tasks[_Pred3UID],Tasks[[#This Row],[UID]]),_xlfn.MAXIFS(Tasks[_Row],Tasks[_Pred4UID],Tasks[[#This Row],[UID]])))</f>
        <v>0</v>
      </c>
      <c r="FA1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91" t="str">
        <f aca="false">IF(NOT(Tasks[[#This Row],[_IsLeaf]]=1),"",IF(N(Tasks[[#This Row],[_Days]])&lt;=0,Tasks[[#This Row],[_LeafLateFinish]],WORKDAY.INTL(Tasks[[#This Row],[_LeafLateFinish]],-(Tasks[[#This Row],[_Days]]-1),WorkWeek,Holidays)))</f>
        <v/>
      </c>
      <c r="FD1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7" s="90" t="b">
        <f aca="false">AND(Tasks[[#This Row],[_IsLeaf]]=1,Tasks[[#This Row],[_LeafProgress]]&lt;1,N(Tasks[[#This Row],[_LeafTotalSlack]])&lt;=CriticalSlackDays)</f>
        <v>0</v>
      </c>
      <c r="FF187" s="43" t="n">
        <f aca="false">IF(AND(Tasks[[#This Row],[_IsLeaf]]=1,Tasks[[#This Row],[_ConstraintCode]]=1,Tasks[[#This Row],[Mode]]&lt;&gt;"Manual",N(Tasks[[#This Row],[Actual Start]])=0),MAX(0,N(Tasks[[#This Row],[Free Slack]])),0)</f>
        <v>0</v>
      </c>
      <c r="FG187" s="91" t="str">
        <f aca="false">IF(NOT(Tasks[[#This Row],[_IsLeaf]]=1),"",IF(Tasks[[#This Row],[_AlapShift]]=0,Tasks[[#This Row],[_LeafCalcStart]],WORKDAY.INTL(Tasks[[#This Row],[_LeafCalcStart]],Tasks[[#This Row],[_AlapShift]],WorkWeek,Holidays)))</f>
        <v/>
      </c>
      <c r="FH187" s="91" t="str">
        <f aca="false">IF(NOT(Tasks[[#This Row],[_IsLeaf]]=1),"",IF(Tasks[[#This Row],[_AlapShift]]=0,Tasks[[#This Row],[_LeafCalcFinish]],WORKDAY.INTL(Tasks[[#This Row],[_LeafCalcFinish]],Tasks[[#This Row],[_AlapShift]],WorkWeek,Holidays)))</f>
        <v/>
      </c>
      <c r="FI187" s="91" t="str">
        <f aca="false">IF(NOT(Tasks[[#This Row],[_IsLeaf]]=1),"",IF(Tasks[[#This Row],[_AlapShift]]=0,Tasks[[#This Row],[_LeafFcstStart]],WORKDAY.INTL(Tasks[[#This Row],[_LeafFcstStart]],Tasks[[#This Row],[_AlapShift]],WorkWeek,Holidays)))</f>
        <v/>
      </c>
      <c r="FJ187" s="91" t="str">
        <f aca="false">IF(NOT(Tasks[[#This Row],[_IsLeaf]]=1),"",IF(Tasks[[#This Row],[_AlapShift]]=0,Tasks[[#This Row],[_LeafFcstFinish]],WORKDAY.INTL(Tasks[[#This Row],[_LeafFcstFinish]],Tasks[[#This Row],[_AlapShift]],WorkWeek,Holidays)))</f>
        <v/>
      </c>
      <c r="FK187" s="91" t="str">
        <f aca="false">IF(Tasks[[#This Row],[Task Name]]="","",IF(Tasks[[#This Row],[_IsSummary]],MIN(INDEX(Tasks[_ShownCalcStart],Tasks[[#This Row],[_Row]]+1):INDEX(Tasks[_ShownCalcStart],Tasks[[#This Row],[_Row]]+Tasks[[#This Row],[_Descendants]])),Tasks[[#This Row],[_ShownCalcStart]]))</f>
        <v/>
      </c>
      <c r="FL187" s="91" t="str">
        <f aca="false">IF(Tasks[[#This Row],[Task Name]]="","",IF(Tasks[[#This Row],[_IsSummary]],MAX(INDEX(Tasks[_ShownCalcFinish],Tasks[[#This Row],[_Row]]+1):INDEX(Tasks[_ShownCalcFinish],Tasks[[#This Row],[_Row]]+Tasks[[#This Row],[_Descendants]])),Tasks[[#This Row],[_ShownCalcFinish]]))</f>
        <v/>
      </c>
      <c r="FM1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7" s="43" t="n">
        <f aca="false">IF(AND(Tasks[[#This Row],[_IsLeaf]]=1,Tasks[[#This Row],[_LeafTotalWork]]&gt;0),NETWORKDAYS.INTL(ProjectStart,Tasks[[#This Row],[_ShownFcstStart]],WorkWeek,Holidays),0)</f>
        <v>0</v>
      </c>
      <c r="FZ187" s="43" t="n">
        <f aca="false">IF(AND(Tasks[[#This Row],[_IsLeaf]]=1,Tasks[[#This Row],[_LeafTotalWork]]&gt;0),MAX(Tasks[[#This Row],[_StartWorkday]],NETWORKDAYS.INTL(ProjectStart,Tasks[[#This Row],[_ShownFcstFinish]],WorkWeek,Holidays)),0)</f>
        <v>0</v>
      </c>
      <c r="GA187" s="43" t="n">
        <f aca="false">IF(AND(Tasks[[#This Row],[_IsLeaf]]=1,Tasks[[#This Row],[_LeafTotalWork]]&gt;0),Tasks[[#This Row],[_LeafWork]]/(Tasks[[#This Row],[_FinishWorkday]]-Tasks[[#This Row],[_StartWorkday]]+1),0)</f>
        <v>0</v>
      </c>
      <c r="GB187" s="43" t="n">
        <f aca="false">Tasks[[#This Row],[_WorkPerWorkday]]*(Tasks[[#This Row],[_StartWorkday]]-1)</f>
        <v>-0</v>
      </c>
      <c r="GC187" s="43" t="n">
        <f aca="false">IF(Tasks[[#This Row],[_IsLeaf]]=1,MAX(N(Tasks[[#This Row],[_Days]]),0.1),0)</f>
        <v>0</v>
      </c>
      <c r="GD187" s="43" t="n">
        <f aca="false">Tasks[[#This Row],[_WeightDur]]*Tasks[[#This Row],[_LeafProgress]]</f>
        <v>0</v>
      </c>
      <c r="GE187" s="43" t="n">
        <f aca="false">Tasks[[#This Row],[_WeightDur]]*Tasks[[#This Row],[_PlannedPct]]</f>
        <v>0</v>
      </c>
      <c r="GF1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3" t="str">
        <f aca="false">IF(AND(Tasks[[#This Row],[_IsLeaf]]=1,N(Tasks[[#This Row],[_Days]])=0,Tasks[[#This Row],[_LeafProgress]]&lt;1),Tasks[[#This Row],[_ShownFcstFinish]]+Tasks[[#This Row],[_Row]]/100000,"")</f>
        <v/>
      </c>
      <c r="GH1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7" s="43" t="str">
        <f aca="false">IF(Tasks[[#This Row],[Task Name]]="","",LEFT(Tasks[[#This Row],[WBS]],FIND(".",Tasks[[#This Row],[WBS]]&amp;".")-1))</f>
        <v/>
      </c>
      <c r="GJ187" s="43" t="str">
        <f aca="false">IF(AND(Tasks[[#This Row],[Task Name]]&lt;&gt;"",Tasks[[#This Row],[_Level]]=1),Tasks[[#This Row],[_Row]],"")</f>
        <v/>
      </c>
      <c r="GK187" s="43" t="str">
        <f aca="false">IF(AND(Tasks[[#This Row],[_IsLeaf]]=1,N(Tasks[[#This Row],[_Days]])=0),Tasks[[#This Row],[Planned Finish]]+Tasks[[#This Row],[_Row]]/100000,"")</f>
        <v/>
      </c>
      <c r="GL187" s="43" t="str">
        <f aca="false">IF(AND(Tasks[[#This Row],[_IsLeaf]]=1,Tasks[[#This Row],[_LeafProgress]]&lt;1,OR(N(Tasks[[#This Row],[Finish Var]])&gt;0,Tasks[[#This Row],[Status]]="Late Start")),MAX(0,Tasks[[#This Row],[Finish Var]])+1-Tasks[[#This Row],[_Row]]/1000000,"")</f>
        <v/>
      </c>
      <c r="GM187" s="43" t="str">
        <f aca="false">IF(AND(Tasks[[#This Row],[_IsLeaf]]=1,N(Tasks[[#This Row],[Actual Start]])=0,Tasks[[#This Row],[_ShownFcstStart]]&gt;=StatusDate,Tasks[[#This Row],[_ShownFcstStart]]&lt;=LookaheadEnd),Tasks[[#This Row],[_ShownFcstStart]]+Tasks[[#This Row],[_Row]]/100000,"")</f>
        <v/>
      </c>
      <c r="GN187" s="43" t="str">
        <f aca="false">IF(AND(Tasks[[#This Row],[_IsLeaf]]=1,Tasks[[#This Row],[_LeafProgress]]&lt;1,Tasks[[#This Row],[_ShownFcstFinish]]&gt;=StatusDate,Tasks[[#This Row],[_ShownFcstFinish]]&lt;=LookaheadEnd),Tasks[[#This Row],[_ShownFcstFinish]]+Tasks[[#This Row],[_Row]]/100000,"")</f>
        <v/>
      </c>
      <c r="GO187" s="43" t="str">
        <f aca="false">IF(Tasks[[#This Row],[_LeafCritical]],Tasks[[#This Row],[_ShownFcstStart]]+Tasks[[#This Row],[_Row]]/100000,"")</f>
        <v/>
      </c>
      <c r="GP187" s="43" t="n">
        <f aca="false">Tasks[[#This Row],[_LeafWork]]*Tasks[[#This Row],[_LeafProgress]]</f>
        <v>0</v>
      </c>
      <c r="GQ187" s="91" t="str">
        <f aca="false">IF(AND(Tasks[[#This Row],[_IsLeaf]]=1,Tasks[[#This Row],[_LeafProgress]]&gt;=1),IF(N(Tasks[[#This Row],[Actual Finish]])&gt;0,Tasks[[#This Row],[Actual Finish]],Tasks[[#This Row],[_ShownFcstFinish]]),"")</f>
        <v/>
      </c>
      <c r="GR187" s="43" t="n">
        <f aca="false">IF(Tasks[[#This Row],[_IsLeaf]]=1,N(Tasks[[#This Row],[Story Points]]),0)</f>
        <v>0</v>
      </c>
      <c r="GS187" s="43" t="str">
        <f aca="false">""</f>
        <v/>
      </c>
      <c r="GT187" s="90" t="b">
        <f aca="false">IF(Tasks[[#This Row],[Task Name]]="",FALSE(),AND(Tasks[[#This Row],[_IsLeaf]]=1,N(Tasks[[#This Row],[_Days]])=0))</f>
        <v>0</v>
      </c>
      <c r="GU187" s="91" t="n">
        <f aca="false">IF(Tasks[[#This Row],[Task Name]]="",0,IF(AND(Tasks[[#This Row],[_IsLeaf]]=1,NOT(Tasks[[#This Row],[_IsMilestone]]),N(Tasks[[#This Row],[Progress]])&gt;0),Tasks[[#This Row],[Start]],0))</f>
        <v>0</v>
      </c>
      <c r="GV187" s="91" t="n">
        <f aca="false">IF(Tasks[[#This Row],[_DoneFrom]]=0,0,IF(Tasks[[#This Row],[Progress]]&gt;=1,Tasks[[#This Row],[Finish]],MAX(Tasks[[#This Row],[_DoneFrom]],Tasks[[#This Row],[Start]]+ROUND((Tasks[[#This Row],[Finish]]-Tasks[[#This Row],[Start]]+1)*Tasks[[#This Row],[Progress]],0)-1)))</f>
        <v>0</v>
      </c>
      <c r="GW187" s="91" t="n">
        <f aca="false">IF(Tasks[[#This Row],[Task Name]]="",0,IF(OR(NOT(Tasks[[#This Row],[_IsLeaf]]=1),Tasks[[#This Row],[_IsMilestone]],N(Tasks[[#This Row],[Progress]])&gt;=1),0,IF(Tasks[[#This Row],[_DoneTo]]&gt;0,Tasks[[#This Row],[_DoneTo]]+1,Tasks[[#This Row],[Start]])))</f>
        <v>0</v>
      </c>
      <c r="GX187" s="91" t="n">
        <f aca="false">IF(Tasks[[#This Row],[_RemFrom]]=0,0,Tasks[[#This Row],[Finish]])</f>
        <v>0</v>
      </c>
      <c r="GY187" s="90" t="b">
        <f aca="false">IF(Tasks[[#This Row],[Task Name]]="",FALSE(),OR(NOT(BaselineSet),N(Tasks[[#This Row],[Baseline Start]])&gt;0))</f>
        <v>0</v>
      </c>
      <c r="GZ18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92" t="str">
        <f aca="false">IF(Tasks[[#This Row],[_IsLeaf]]=1,Tasks[[#This Row],[_Row]],"")</f>
        <v/>
      </c>
      <c r="HD187" s="92" t="str">
        <f aca="false">IFERROR(INDEX(Tasks[UID],SMALL(Tasks[_PickKey],Tasks[[#This Row],[_Row]]))&amp;" "&amp;INDEX(Tasks[Task Name],SMALL(Tasks[_PickKey],Tasks[[#This Row],[_Row]])),"")</f>
        <v/>
      </c>
      <c r="HE187" s="43" t="str">
        <f aca="false">IF(Tasks[[#This Row],[Task Name]]="","",IF(Tasks[[#This Row],[_IsSummary]],NETWORKDAYS.INTL(Tasks[[#This Row],[Start]],Tasks[[#This Row],[Finish]],WorkWeek,Holidays),N(Tasks[[#This Row],[_Days]])))</f>
        <v/>
      </c>
      <c r="HF187" s="43" t="n">
        <f aca="false">IF(Tasks[[#This Row],[Expected]]="",0,((Tasks[[#This Row],[Pessimistic]]-Tasks[[#This Row],[Optimistic]])/6)^2)</f>
        <v>0</v>
      </c>
      <c r="HG187" s="43" t="n">
        <f aca="false">IF(Tasks[[#This Row],[Expected]]="",0,Tasks[[#This Row],[Expected]]-N(Tasks[[#This Row],[_Days]]))</f>
        <v>0</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4"/>
      <c r="U188" s="23"/>
      <c r="V188" s="84"/>
      <c r="W188" s="23"/>
      <c r="X188" s="84"/>
      <c r="Y188" s="23"/>
      <c r="Z188" s="84"/>
      <c r="AA188" s="23"/>
      <c r="AB188" s="23"/>
      <c r="AC188" s="7"/>
      <c r="AD188" s="7"/>
      <c r="AE188" s="63" t="str">
        <f aca="false">IF(Tasks[[#This Row],[Task Name]]="","",IF(Tasks[[#This Row],[_IsSummary]],MIN(INDEX(Tasks[_ShownFcstStart],Tasks[[#This Row],[_Row]]+1):INDEX(Tasks[_ShownFcstStart],Tasks[[#This Row],[_Row]]+Tasks[[#This Row],[_Descendants]])),Tasks[[#This Row],[_ShownFcstStart]]))</f>
        <v/>
      </c>
      <c r="AF188" s="63"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8" s="7"/>
      <c r="AK188" s="22"/>
      <c r="AL188" s="23"/>
      <c r="AM188" s="7"/>
      <c r="AN188" s="47"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3" t="str">
        <f aca="false">IF(Tasks[[#This Row],[Task Name]]="","",IF(N(Tasks[[#This Row],[Baseline Start]])&gt;0,Tasks[[#This Row],[Baseline Start]],Tasks[[#This Row],[_CalcStart]]))</f>
        <v/>
      </c>
      <c r="AR188" s="63" t="str">
        <f aca="false">IF(Tasks[[#This Row],[Task Name]]="","",IF(N(Tasks[[#This Row],[Baseline Finish]])&gt;0,Tasks[[#This Row],[Baseline Finish]],Tasks[[#This Row],[_CalcFinish]]))</f>
        <v/>
      </c>
      <c r="AS188" s="47" t="str">
        <f aca="false">IF(Tasks[[#This Row],[Task Name]]="","",IF(Tasks[[#This Row],[Start]]&gt;=Tasks[[#This Row],[Planned Start]],NETWORKDAYS.INTL(Tasks[[#This Row],[Planned Start]],Tasks[[#This Row],[Start]],WorkWeek,Holidays)-1,1-NETWORKDAYS.INTL(Tasks[[#This Row],[Start]],Tasks[[#This Row],[Planned Start]],WorkWeek,Holidays)))</f>
        <v/>
      </c>
      <c r="AT188" s="63" t="str">
        <f aca="false">IF(Tasks[[#This Row],[Task Name]]="","",IF(Tasks[[#This Row],[_IsSummary]],MIN(INDEX(Tasks[_LeafLateStart],Tasks[[#This Row],[_Row]]+1):INDEX(Tasks[_LeafLateStart],Tasks[[#This Row],[_Row]]+Tasks[[#This Row],[_Descendants]])),Tasks[[#This Row],[_LeafLateStart]]))</f>
        <v/>
      </c>
      <c r="AU188" s="63" t="str">
        <f aca="false">IF(Tasks[[#This Row],[Task Name]]="","",IF(Tasks[[#This Row],[_IsSummary]],MAX(INDEX(Tasks[_LeafLateFinish],Tasks[[#This Row],[_Row]]+1):INDEX(Tasks[_LeafLateFinish],Tasks[[#This Row],[_Row]]+Tasks[[#This Row],[_Descendants]])),Tasks[[#This Row],[_LeafLateFinish]]))</f>
        <v/>
      </c>
      <c r="AV188" s="47"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5"/>
      <c r="BA1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6"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7"/>
      <c r="BJ188" s="22"/>
      <c r="BK188" s="47" t="str">
        <f aca="false">IF(OR(Tasks[[#This Row],[Task Name]]="",Tasks[[#This Row],[Baseline Duration]]=""),"",Tasks[[#This Row],[_SpanDays]]-N(Tasks[[#This Row],[Baseline Duration]]))</f>
        <v/>
      </c>
      <c r="BL188" s="86" t="str">
        <f aca="false">IF(OR(Tasks[[#This Row],[Task Name]]="",Tasks[[#This Row],[Baseline Work]]=""),"",Tasks[[#This Row],[Work]]-N(Tasks[[#This Row],[Baseline Work]]))</f>
        <v/>
      </c>
      <c r="BM188" s="63" t="str">
        <f aca="false">IF(Tasks[[#This Row],[Task Name]]="","",IF(OR(TakeBaseline="Yes",N(Tasks[[#This Row],[Baseline Start]])=0),Tasks[[#This Row],[Start]],Tasks[[#This Row],[Baseline Start]]))</f>
        <v/>
      </c>
      <c r="BN188" s="63" t="str">
        <f aca="false">IF(Tasks[[#This Row],[Task Name]]="","",IF(OR(TakeBaseline="Yes",N(Tasks[[#This Row],[Baseline Finish]])=0),Tasks[[#This Row],[Finish]],Tasks[[#This Row],[Baseline Finish]]))</f>
        <v/>
      </c>
      <c r="BO188" s="21" t="str">
        <f aca="false">IF(Tasks[[#This Row],[Task Name]]="","",IF(OR(TakeBaseline="Yes",N(Tasks[[#This Row],[Baseline Duration]])=0),Tasks[[#This Row],[_SpanDays]],Tasks[[#This Row],[Baseline Duration]]))</f>
        <v/>
      </c>
      <c r="BP188" s="86" t="str">
        <f aca="false">IF(Tasks[[#This Row],[Task Name]]="","",IF(OR(TakeBaseline="Yes",N(Tasks[[#This Row],[Baseline Work]])=0),Tasks[[#This Row],[Work]],Tasks[[#This Row],[Baseline Work]]))</f>
        <v/>
      </c>
      <c r="BQ188" s="7"/>
      <c r="BR188" s="7"/>
      <c r="BS188" s="22"/>
      <c r="BT188" s="88"/>
      <c r="BU188" s="23"/>
      <c r="BV188" s="23"/>
      <c r="BW188" s="23"/>
      <c r="BX188" s="89" t="str">
        <f aca="false">IF(AND(Tasks[[#This Row],[_IsLeaf]]=1,ISNUMBER(Tasks[[#This Row],[Optimistic]]),ISNUMBER(Tasks[[#This Row],[Pessimistic]])),ROUND((Tasks[[#This Row],[Optimistic]]+4*N(Tasks[[#This Row],[_Days]])+Tasks[[#This Row],[Pessimistic]])/6,1),"")</f>
        <v/>
      </c>
      <c r="BY188" s="87"/>
      <c r="BZ188" s="87"/>
      <c r="CA188" s="22"/>
      <c r="CB188" s="43" t="str">
        <f aca="false">IF(Tasks[[#This Row],[Task Name]]="","",MAX(1,N(Tasks[[#This Row],[Level]])))</f>
        <v/>
      </c>
      <c r="CC188" s="43" t="n">
        <f aca="false">ROW()-ROW(Tasks[[#Headers],[ID]])</f>
        <v>183</v>
      </c>
      <c r="CD188" s="43" t="n">
        <f aca="false">IF(OR(Tasks[[#This Row],[Task Name]]="",Tasks[[#This Row],[_Level]]&lt;=1),0,IFERROR(LOOKUP(2,1/(Tasks[[#Headers],[_Level]]:Tasks[[#This Row],[_Level]]=Tasks[[#This Row],[_Level]]-1),ROW(Tasks[[#Headers],[_Level]]:Tasks[[#This Row],[_Level]])),0))</f>
        <v>0</v>
      </c>
      <c r="CE188" s="43" t="n">
        <f aca="false">IFERROR(N(INDEX(Tasks[_Level],Tasks[[#This Row],[_Row]]+1)),0)</f>
        <v>0</v>
      </c>
      <c r="CF188" s="90" t="b">
        <f aca="false">AND(Tasks[[#This Row],[Task Name]]&lt;&gt;"",Tasks[[#This Row],[_NextLevel]]&gt;Tasks[[#This Row],[_Level]])</f>
        <v>0</v>
      </c>
      <c r="CG188" s="43" t="n">
        <f aca="false">IF(Tasks[[#This Row],[_IsSummary]],COUNTIF(Tasks[WBS],Tasks[[#This Row],[WBS]]&amp;".*"),0)</f>
        <v>0</v>
      </c>
      <c r="CH188" s="43" t="n">
        <f aca="false">IF(AND(Tasks[[#This Row],[Task Name]]&lt;&gt;"",NOT(Tasks[[#This Row],[_IsSummary]])),1,0)</f>
        <v>0</v>
      </c>
      <c r="CI188" s="43" t="n">
        <f aca="false">IF(N(Tasks[[#This Row],[_Pred1UID]])=0,0,IFERROR(MATCH(Tasks[[#This Row],[_Pred1UID]],Tasks[UID],0),-1))</f>
        <v>0</v>
      </c>
      <c r="CJ188" s="43" t="n">
        <f aca="false">IF(N(Tasks[[#This Row],[_Pred2UID]])=0,0,IFERROR(MATCH(Tasks[[#This Row],[_Pred2UID]],Tasks[UID],0),-1))</f>
        <v>0</v>
      </c>
      <c r="CK188" s="43" t="n">
        <f aca="false">IF(N(Tasks[[#This Row],[_Pred3UID]])=0,0,IFERROR(MATCH(Tasks[[#This Row],[_Pred3UID]],Tasks[UID],0),-1))</f>
        <v>0</v>
      </c>
      <c r="CL188" s="43" t="n">
        <f aca="false">IF(N(Tasks[[#This Row],[_Pred4UID]])=0,0,IFERROR(MATCH(Tasks[[#This Row],[_Pred4UID]],Tasks[UID],0),-1))</f>
        <v>0</v>
      </c>
      <c r="CM1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8" s="91" t="n">
        <f aca="false">IF(OR(Tasks[[#This Row],[_ConstraintCode]]=2,Tasks[[#This Row],[_ConstraintCode]]=3,Tasks[[#This Row],[_ConstraintCode]]=4,Tasks[[#This Row],[_ConstraintCode]]=6),Tasks[[#This Row],[_ConstraintStart]],0)</f>
        <v>0</v>
      </c>
      <c r="CP188" s="91" t="n">
        <f aca="false">IF(OR(Tasks[[#This Row],[_ConstraintCode]]=2,Tasks[[#This Row],[_ConstraintCode]]=3,Tasks[[#This Row],[_ConstraintCode]]=5,Tasks[[#This Row],[_ConstraintCode]]=7),Tasks[[#This Row],[_ConstraintStart]],2958465)</f>
        <v>2958465</v>
      </c>
      <c r="CQ1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91" t="str">
        <f aca="false">IF(NOT(Tasks[[#This Row],[_IsLeaf]]=1),"",IF(N(Tasks[[#This Row],[_Days]])&lt;=0,Tasks[[#This Row],[_LeafCalcStart]],WORKDAY.INTL(Tasks[[#This Row],[_LeafCalcStart]],Tasks[[#This Row],[_Days]]-1,WorkWeek,Holidays)))</f>
        <v/>
      </c>
      <c r="CS1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3" t="str">
        <f aca="false">IF(Tasks[[#This Row],[_Predecessors]]="","",TRIM(MID(SUBSTITUTE(SUBSTITUTE(SUBSTITUTE(UPPER(Tasks[[#This Row],[_Predecessors]]),";",",")," ",""),",",REPT(" ",99)),1,99)))</f>
        <v/>
      </c>
      <c r="CV188" s="43" t="str">
        <f aca="false">IF(Tasks[[#This Row],[_Pred1Text]]="","",IFERROR(VALUE(LEFT(Tasks[[#This Row],[_Pred1Text]],MIN(FIND("F",Tasks[[#This Row],[_Pred1Text]]&amp;"F"),FIND("S",Tasks[[#This Row],[_Pred1Text]]&amp;"S"),FIND("+",Tasks[[#This Row],[_Pred1Text]]&amp;"+"),FIND("-",Tasks[[#This Row],[_Pred1Text]]&amp;"-"))-1)),""))</f>
        <v/>
      </c>
      <c r="CW1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3" t="str">
        <f aca="false">IF(Tasks[[#This Row],[_Pred1Text]]="","",TRIM(MID(SUBSTITUTE(SUBSTITUTE(SUBSTITUTE(UPPER(Tasks[[#This Row],[_Predecessors]]),";",",")," ",""),",",REPT(" ",99)),100,99)))</f>
        <v/>
      </c>
      <c r="CZ188" s="43" t="str">
        <f aca="false">IF(Tasks[[#This Row],[_Pred2Text]]="","",IFERROR(VALUE(LEFT(Tasks[[#This Row],[_Pred2Text]],MIN(FIND("F",Tasks[[#This Row],[_Pred2Text]]&amp;"F"),FIND("S",Tasks[[#This Row],[_Pred2Text]]&amp;"S"),FIND("+",Tasks[[#This Row],[_Pred2Text]]&amp;"+"),FIND("-",Tasks[[#This Row],[_Pred2Text]]&amp;"-"))-1)),""))</f>
        <v/>
      </c>
      <c r="DA1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3" t="str">
        <f aca="false">IF(Tasks[[#This Row],[_Pred2Text]]="","",TRIM(MID(SUBSTITUTE(SUBSTITUTE(SUBSTITUTE(UPPER(Tasks[[#This Row],[_Predecessors]]),";",",")," ",""),",",REPT(" ",99)),199,99)))</f>
        <v/>
      </c>
      <c r="DD188" s="43" t="str">
        <f aca="false">IF(Tasks[[#This Row],[_Pred3Text]]="","",IFERROR(VALUE(LEFT(Tasks[[#This Row],[_Pred3Text]],MIN(FIND("F",Tasks[[#This Row],[_Pred3Text]]&amp;"F"),FIND("S",Tasks[[#This Row],[_Pred3Text]]&amp;"S"),FIND("+",Tasks[[#This Row],[_Pred3Text]]&amp;"+"),FIND("-",Tasks[[#This Row],[_Pred3Text]]&amp;"-"))-1)),""))</f>
        <v/>
      </c>
      <c r="DE1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3" t="str">
        <f aca="false">IF(Tasks[[#This Row],[_Pred3Text]]="","",TRIM(MID(SUBSTITUTE(SUBSTITUTE(SUBSTITUTE(UPPER(Tasks[[#This Row],[_Predecessors]]),";",",")," ",""),",",REPT(" ",99)),298,99)))</f>
        <v/>
      </c>
      <c r="DH188" s="43" t="str">
        <f aca="false">IF(Tasks[[#This Row],[_Pred4Text]]="","",IFERROR(VALUE(LEFT(Tasks[[#This Row],[_Pred4Text]],MIN(FIND("F",Tasks[[#This Row],[_Pred4Text]]&amp;"F"),FIND("S",Tasks[[#This Row],[_Pred4Text]]&amp;"S"),FIND("+",Tasks[[#This Row],[_Pred4Text]]&amp;"+"),FIND("-",Tasks[[#This Row],[_Pred4Text]]&amp;"-"))-1)),""))</f>
        <v/>
      </c>
      <c r="DI1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3" t="str">
        <f aca="false">IF(OR(Tasks[[#This Row],[Task Name]]="",Tasks[[#This Row],[_Resources]]=""),"",TRIM(MID(SUBSTITUTE(Tasks[[#This Row],[_Resources]],",",REPT(" ",99)),1,99)))</f>
        <v/>
      </c>
      <c r="DL188" s="43" t="str">
        <f aca="false">IF(Tasks[[#This Row],[_Res1Text]]="","",TRIM(MID(SUBSTITUTE(Tasks[[#This Row],[_Resources]],",",REPT(" ",99)),100,99)))</f>
        <v/>
      </c>
      <c r="DM188" s="43" t="str">
        <f aca="false">IF(Tasks[[#This Row],[_Res2Text]]="","",TRIM(MID(SUBSTITUTE(Tasks[[#This Row],[_Resources]],",",REPT(" ",99)),199,99)))</f>
        <v/>
      </c>
      <c r="DN188" s="43" t="str">
        <f aca="false">IF(Tasks[[#This Row],[_Res3Text]]="","",TRIM(MID(SUBSTITUTE(Tasks[[#This Row],[_Resources]],",",REPT(" ",99)),298,99)))</f>
        <v/>
      </c>
      <c r="DO188" s="43" t="n">
        <f aca="false">IF(Tasks[[#This Row],[_Res1Text]]="",0,IFERROR(MATCH(TRIM(LEFT(Tasks[[#This Row],[_Res1Text]],FIND("[",Tasks[[#This Row],[_Res1Text]]&amp;"[")-1)),res_Name,0),IFERROR(MATCH(TRIM(LEFT(Tasks[[#This Row],[_Res1Text]],FIND("[",Tasks[[#This Row],[_Res1Text]]&amp;"[")-1)),res_Initials,0),0)))</f>
        <v>0</v>
      </c>
      <c r="DP188" s="43" t="n">
        <f aca="false">IF(Tasks[[#This Row],[_Res2Text]]="",0,IFERROR(MATCH(TRIM(LEFT(Tasks[[#This Row],[_Res2Text]],FIND("[",Tasks[[#This Row],[_Res2Text]]&amp;"[")-1)),res_Name,0),IFERROR(MATCH(TRIM(LEFT(Tasks[[#This Row],[_Res2Text]],FIND("[",Tasks[[#This Row],[_Res2Text]]&amp;"[")-1)),res_Initials,0),0)))</f>
        <v>0</v>
      </c>
      <c r="DQ188" s="43" t="n">
        <f aca="false">IF(Tasks[[#This Row],[_Res3Text]]="",0,IFERROR(MATCH(TRIM(LEFT(Tasks[[#This Row],[_Res3Text]],FIND("[",Tasks[[#This Row],[_Res3Text]]&amp;"[")-1)),res_Name,0),IFERROR(MATCH(TRIM(LEFT(Tasks[[#This Row],[_Res3Text]],FIND("[",Tasks[[#This Row],[_Res3Text]]&amp;"[")-1)),res_Initials,0),0)))</f>
        <v>0</v>
      </c>
      <c r="DR188" s="43" t="n">
        <f aca="false">IF(Tasks[[#This Row],[_Res4Text]]="",0,IFERROR(MATCH(TRIM(LEFT(Tasks[[#This Row],[_Res4Text]],FIND("[",Tasks[[#This Row],[_Res4Text]]&amp;"[")-1)),res_Name,0),IFERROR(MATCH(TRIM(LEFT(Tasks[[#This Row],[_Res4Text]],FIND("[",Tasks[[#This Row],[_Res4Text]]&amp;"[")-1)),res_Initials,0),0)))</f>
        <v>0</v>
      </c>
      <c r="DS188" s="43" t="str">
        <f aca="false">IF(Tasks[[#This Row],[_Res1Text]]="","",IF(Tasks[[#This Row],[_Res1Row]]&gt;0,INDEX(res_Name,Tasks[[#This Row],[_Res1Row]]),TRIM(LEFT(Tasks[[#This Row],[_Res1Text]],FIND("[",Tasks[[#This Row],[_Res1Text]]&amp;"[")-1))))</f>
        <v/>
      </c>
      <c r="DT1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3" t="n">
        <f aca="false">IF(NOT(Tasks[[#This Row],[_IsLeaf]]=1),0,(Tasks[[#This Row],[_Resource1]]&lt;&gt;"")+(Tasks[[#This Row],[_Res2]]&lt;&gt;"")+(Tasks[[#This Row],[_Res3]]&lt;&gt;"")+(Tasks[[#This Row],[_Res4]]&lt;&gt;""))</f>
        <v>0</v>
      </c>
      <c r="DV188" s="43" t="str">
        <f aca="false">IF(Tasks[[#This Row],[_Res2Text]]="","",IF(Tasks[[#This Row],[_Res2Row]]&gt;0,INDEX(res_Name,Tasks[[#This Row],[_Res2Row]]),TRIM(LEFT(Tasks[[#This Row],[_Res2Text]],FIND("[",Tasks[[#This Row],[_Res2Text]]&amp;"[")-1))))</f>
        <v/>
      </c>
      <c r="DW1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3" t="n">
        <f aca="false">IF(OR(NOT(Tasks[[#This Row],[_IsLeaf]]=1),Tasks[[#This Row],[_Res2Row]]=0),0,N(Tasks[[#This Row],[_Days]])*HoursPerDay*IF(Tasks[[#This Row],[_Res2Units]]="",DefaultUnits,Tasks[[#This Row],[_Res2Units]]))</f>
        <v>0</v>
      </c>
      <c r="DY188" s="43" t="n">
        <f aca="false">IF(AND(AND(Tasks[[#This Row],[_IsLeaf]]=1,Tasks[[#This Row],[_LeafTotalWork]]&gt;0),Tasks[[#This Row],[_Res2Work]]&gt;0),Tasks[[#This Row],[_Res2Work]]/(Tasks[[#This Row],[_FinishWorkday]]-Tasks[[#This Row],[_StartWorkday]]+1),0)</f>
        <v>0</v>
      </c>
      <c r="DZ188" s="43" t="n">
        <f aca="false">Tasks[[#This Row],[_Res2WorkPerWD]]*MAX(0,Tasks[[#This Row],[_StartWorkday]]-1)</f>
        <v>0</v>
      </c>
      <c r="EA188" s="43" t="n">
        <f aca="false">Tasks[[#This Row],[_Res2Work]]*Tasks[[#This Row],[_LeafProgress]]</f>
        <v>0</v>
      </c>
      <c r="EB188" s="43" t="str">
        <f aca="false">IF(Tasks[[#This Row],[_Res3Text]]="","",IF(Tasks[[#This Row],[_Res3Row]]&gt;0,INDEX(res_Name,Tasks[[#This Row],[_Res3Row]]),TRIM(LEFT(Tasks[[#This Row],[_Res3Text]],FIND("[",Tasks[[#This Row],[_Res3Text]]&amp;"[")-1))))</f>
        <v/>
      </c>
      <c r="EC1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3" t="n">
        <f aca="false">IF(OR(NOT(Tasks[[#This Row],[_IsLeaf]]=1),Tasks[[#This Row],[_Res3Row]]=0),0,N(Tasks[[#This Row],[_Days]])*HoursPerDay*IF(Tasks[[#This Row],[_Res3Units]]="",DefaultUnits,Tasks[[#This Row],[_Res3Units]]))</f>
        <v>0</v>
      </c>
      <c r="EE188" s="43" t="n">
        <f aca="false">IF(AND(AND(Tasks[[#This Row],[_IsLeaf]]=1,Tasks[[#This Row],[_LeafTotalWork]]&gt;0),Tasks[[#This Row],[_Res3Work]]&gt;0),Tasks[[#This Row],[_Res3Work]]/(Tasks[[#This Row],[_FinishWorkday]]-Tasks[[#This Row],[_StartWorkday]]+1),0)</f>
        <v>0</v>
      </c>
      <c r="EF188" s="43" t="n">
        <f aca="false">Tasks[[#This Row],[_Res3WorkPerWD]]*MAX(0,Tasks[[#This Row],[_StartWorkday]]-1)</f>
        <v>0</v>
      </c>
      <c r="EG188" s="43" t="n">
        <f aca="false">Tasks[[#This Row],[_Res3Work]]*Tasks[[#This Row],[_LeafProgress]]</f>
        <v>0</v>
      </c>
      <c r="EH188" s="43" t="str">
        <f aca="false">IF(Tasks[[#This Row],[_Res4Text]]="","",IF(Tasks[[#This Row],[_Res4Row]]&gt;0,INDEX(res_Name,Tasks[[#This Row],[_Res4Row]]),TRIM(LEFT(Tasks[[#This Row],[_Res4Text]],FIND("[",Tasks[[#This Row],[_Res4Text]]&amp;"[")-1))))</f>
        <v/>
      </c>
      <c r="EI1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3" t="n">
        <f aca="false">IF(OR(NOT(Tasks[[#This Row],[_IsLeaf]]=1),Tasks[[#This Row],[_Res4Row]]=0),0,N(Tasks[[#This Row],[_Days]])*HoursPerDay*IF(Tasks[[#This Row],[_Res4Units]]="",DefaultUnits,Tasks[[#This Row],[_Res4Units]]))</f>
        <v>0</v>
      </c>
      <c r="EK188" s="43" t="n">
        <f aca="false">IF(AND(AND(Tasks[[#This Row],[_IsLeaf]]=1,Tasks[[#This Row],[_LeafTotalWork]]&gt;0),Tasks[[#This Row],[_Res4Work]]&gt;0),Tasks[[#This Row],[_Res4Work]]/(Tasks[[#This Row],[_FinishWorkday]]-Tasks[[#This Row],[_StartWorkday]]+1),0)</f>
        <v>0</v>
      </c>
      <c r="EL188" s="43" t="n">
        <f aca="false">Tasks[[#This Row],[_Res4WorkPerWD]]*MAX(0,Tasks[[#This Row],[_StartWorkday]]-1)</f>
        <v>0</v>
      </c>
      <c r="EM188" s="43" t="n">
        <f aca="false">Tasks[[#This Row],[_Res4Work]]*Tasks[[#This Row],[_LeafProgress]]</f>
        <v>0</v>
      </c>
      <c r="EN188" s="43" t="n">
        <f aca="false">IF(ISNUMBER(Tasks[[#This Row],[% Complete]]),Tasks[[#This Row],[% Complete]],IF(Tasks[[#This Row],[Stage]]="",0,IFERROR(INDEX(stg_Pct,MATCH(Tasks[[#This Row],[Stage]],stg_Name,0)),0)))</f>
        <v>0</v>
      </c>
      <c r="EO188" s="43" t="n">
        <f aca="false">IF(NOT(Tasks[[#This Row],[_IsLeaf]]=1),0,IF(N(Tasks[[#This Row],[Actual Finish]])&gt;0,1,MIN(1,Tasks[[#This Row],[_Pct]])))</f>
        <v>0</v>
      </c>
      <c r="EP188" s="43" t="n">
        <f aca="false">IF(OR(NOT(Tasks[[#This Row],[_IsLeaf]]=1),Tasks[[#This Row],[_Res1Row]]=0),0,N(Tasks[[#This Row],[_Days]])*HoursPerDay*IF(Tasks[[#This Row],[_Units1]]="",DefaultUnits,Tasks[[#This Row],[_Units1]]))</f>
        <v>0</v>
      </c>
      <c r="EQ188" s="43" t="n">
        <f aca="false">Tasks[[#This Row],[_LeafWork]]+Tasks[[#This Row],[_Res2Work]]+Tasks[[#This Row],[_Res3Work]]+Tasks[[#This Row],[_Res4Work]]</f>
        <v>0</v>
      </c>
      <c r="ER1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3" t="n">
        <f aca="false">IF(NOT(Tasks[[#This Row],[_IsLeaf]]=1),0,MAX(_xlfn.MAXIFS(Tasks[_Row],Tasks[_Pred1UID],Tasks[[#This Row],[UID]]),_xlfn.MAXIFS(Tasks[_Row],Tasks[_Pred2UID],Tasks[[#This Row],[UID]]),_xlfn.MAXIFS(Tasks[_Row],Tasks[_Pred3UID],Tasks[[#This Row],[UID]]),_xlfn.MAXIFS(Tasks[_Row],Tasks[_Pred4UID],Tasks[[#This Row],[UID]])))</f>
        <v>0</v>
      </c>
      <c r="FA1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91" t="str">
        <f aca="false">IF(NOT(Tasks[[#This Row],[_IsLeaf]]=1),"",IF(N(Tasks[[#This Row],[_Days]])&lt;=0,Tasks[[#This Row],[_LeafLateFinish]],WORKDAY.INTL(Tasks[[#This Row],[_LeafLateFinish]],-(Tasks[[#This Row],[_Days]]-1),WorkWeek,Holidays)))</f>
        <v/>
      </c>
      <c r="FD1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8" s="90" t="b">
        <f aca="false">AND(Tasks[[#This Row],[_IsLeaf]]=1,Tasks[[#This Row],[_LeafProgress]]&lt;1,N(Tasks[[#This Row],[_LeafTotalSlack]])&lt;=CriticalSlackDays)</f>
        <v>0</v>
      </c>
      <c r="FF188" s="43" t="n">
        <f aca="false">IF(AND(Tasks[[#This Row],[_IsLeaf]]=1,Tasks[[#This Row],[_ConstraintCode]]=1,Tasks[[#This Row],[Mode]]&lt;&gt;"Manual",N(Tasks[[#This Row],[Actual Start]])=0),MAX(0,N(Tasks[[#This Row],[Free Slack]])),0)</f>
        <v>0</v>
      </c>
      <c r="FG188" s="91" t="str">
        <f aca="false">IF(NOT(Tasks[[#This Row],[_IsLeaf]]=1),"",IF(Tasks[[#This Row],[_AlapShift]]=0,Tasks[[#This Row],[_LeafCalcStart]],WORKDAY.INTL(Tasks[[#This Row],[_LeafCalcStart]],Tasks[[#This Row],[_AlapShift]],WorkWeek,Holidays)))</f>
        <v/>
      </c>
      <c r="FH188" s="91" t="str">
        <f aca="false">IF(NOT(Tasks[[#This Row],[_IsLeaf]]=1),"",IF(Tasks[[#This Row],[_AlapShift]]=0,Tasks[[#This Row],[_LeafCalcFinish]],WORKDAY.INTL(Tasks[[#This Row],[_LeafCalcFinish]],Tasks[[#This Row],[_AlapShift]],WorkWeek,Holidays)))</f>
        <v/>
      </c>
      <c r="FI188" s="91" t="str">
        <f aca="false">IF(NOT(Tasks[[#This Row],[_IsLeaf]]=1),"",IF(Tasks[[#This Row],[_AlapShift]]=0,Tasks[[#This Row],[_LeafFcstStart]],WORKDAY.INTL(Tasks[[#This Row],[_LeafFcstStart]],Tasks[[#This Row],[_AlapShift]],WorkWeek,Holidays)))</f>
        <v/>
      </c>
      <c r="FJ188" s="91" t="str">
        <f aca="false">IF(NOT(Tasks[[#This Row],[_IsLeaf]]=1),"",IF(Tasks[[#This Row],[_AlapShift]]=0,Tasks[[#This Row],[_LeafFcstFinish]],WORKDAY.INTL(Tasks[[#This Row],[_LeafFcstFinish]],Tasks[[#This Row],[_AlapShift]],WorkWeek,Holidays)))</f>
        <v/>
      </c>
      <c r="FK188" s="91" t="str">
        <f aca="false">IF(Tasks[[#This Row],[Task Name]]="","",IF(Tasks[[#This Row],[_IsSummary]],MIN(INDEX(Tasks[_ShownCalcStart],Tasks[[#This Row],[_Row]]+1):INDEX(Tasks[_ShownCalcStart],Tasks[[#This Row],[_Row]]+Tasks[[#This Row],[_Descendants]])),Tasks[[#This Row],[_ShownCalcStart]]))</f>
        <v/>
      </c>
      <c r="FL188" s="91" t="str">
        <f aca="false">IF(Tasks[[#This Row],[Task Name]]="","",IF(Tasks[[#This Row],[_IsSummary]],MAX(INDEX(Tasks[_ShownCalcFinish],Tasks[[#This Row],[_Row]]+1):INDEX(Tasks[_ShownCalcFinish],Tasks[[#This Row],[_Row]]+Tasks[[#This Row],[_Descendants]])),Tasks[[#This Row],[_ShownCalcFinish]]))</f>
        <v/>
      </c>
      <c r="FM1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8" s="43" t="n">
        <f aca="false">IF(AND(Tasks[[#This Row],[_IsLeaf]]=1,Tasks[[#This Row],[_LeafTotalWork]]&gt;0),NETWORKDAYS.INTL(ProjectStart,Tasks[[#This Row],[_ShownFcstStart]],WorkWeek,Holidays),0)</f>
        <v>0</v>
      </c>
      <c r="FZ188" s="43" t="n">
        <f aca="false">IF(AND(Tasks[[#This Row],[_IsLeaf]]=1,Tasks[[#This Row],[_LeafTotalWork]]&gt;0),MAX(Tasks[[#This Row],[_StartWorkday]],NETWORKDAYS.INTL(ProjectStart,Tasks[[#This Row],[_ShownFcstFinish]],WorkWeek,Holidays)),0)</f>
        <v>0</v>
      </c>
      <c r="GA188" s="43" t="n">
        <f aca="false">IF(AND(Tasks[[#This Row],[_IsLeaf]]=1,Tasks[[#This Row],[_LeafTotalWork]]&gt;0),Tasks[[#This Row],[_LeafWork]]/(Tasks[[#This Row],[_FinishWorkday]]-Tasks[[#This Row],[_StartWorkday]]+1),0)</f>
        <v>0</v>
      </c>
      <c r="GB188" s="43" t="n">
        <f aca="false">Tasks[[#This Row],[_WorkPerWorkday]]*(Tasks[[#This Row],[_StartWorkday]]-1)</f>
        <v>-0</v>
      </c>
      <c r="GC188" s="43" t="n">
        <f aca="false">IF(Tasks[[#This Row],[_IsLeaf]]=1,MAX(N(Tasks[[#This Row],[_Days]]),0.1),0)</f>
        <v>0</v>
      </c>
      <c r="GD188" s="43" t="n">
        <f aca="false">Tasks[[#This Row],[_WeightDur]]*Tasks[[#This Row],[_LeafProgress]]</f>
        <v>0</v>
      </c>
      <c r="GE188" s="43" t="n">
        <f aca="false">Tasks[[#This Row],[_WeightDur]]*Tasks[[#This Row],[_PlannedPct]]</f>
        <v>0</v>
      </c>
      <c r="GF1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3" t="str">
        <f aca="false">IF(AND(Tasks[[#This Row],[_IsLeaf]]=1,N(Tasks[[#This Row],[_Days]])=0,Tasks[[#This Row],[_LeafProgress]]&lt;1),Tasks[[#This Row],[_ShownFcstFinish]]+Tasks[[#This Row],[_Row]]/100000,"")</f>
        <v/>
      </c>
      <c r="GH1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8" s="43" t="str">
        <f aca="false">IF(Tasks[[#This Row],[Task Name]]="","",LEFT(Tasks[[#This Row],[WBS]],FIND(".",Tasks[[#This Row],[WBS]]&amp;".")-1))</f>
        <v/>
      </c>
      <c r="GJ188" s="43" t="str">
        <f aca="false">IF(AND(Tasks[[#This Row],[Task Name]]&lt;&gt;"",Tasks[[#This Row],[_Level]]=1),Tasks[[#This Row],[_Row]],"")</f>
        <v/>
      </c>
      <c r="GK188" s="43" t="str">
        <f aca="false">IF(AND(Tasks[[#This Row],[_IsLeaf]]=1,N(Tasks[[#This Row],[_Days]])=0),Tasks[[#This Row],[Planned Finish]]+Tasks[[#This Row],[_Row]]/100000,"")</f>
        <v/>
      </c>
      <c r="GL188" s="43" t="str">
        <f aca="false">IF(AND(Tasks[[#This Row],[_IsLeaf]]=1,Tasks[[#This Row],[_LeafProgress]]&lt;1,OR(N(Tasks[[#This Row],[Finish Var]])&gt;0,Tasks[[#This Row],[Status]]="Late Start")),MAX(0,Tasks[[#This Row],[Finish Var]])+1-Tasks[[#This Row],[_Row]]/1000000,"")</f>
        <v/>
      </c>
      <c r="GM188" s="43" t="str">
        <f aca="false">IF(AND(Tasks[[#This Row],[_IsLeaf]]=1,N(Tasks[[#This Row],[Actual Start]])=0,Tasks[[#This Row],[_ShownFcstStart]]&gt;=StatusDate,Tasks[[#This Row],[_ShownFcstStart]]&lt;=LookaheadEnd),Tasks[[#This Row],[_ShownFcstStart]]+Tasks[[#This Row],[_Row]]/100000,"")</f>
        <v/>
      </c>
      <c r="GN188" s="43" t="str">
        <f aca="false">IF(AND(Tasks[[#This Row],[_IsLeaf]]=1,Tasks[[#This Row],[_LeafProgress]]&lt;1,Tasks[[#This Row],[_ShownFcstFinish]]&gt;=StatusDate,Tasks[[#This Row],[_ShownFcstFinish]]&lt;=LookaheadEnd),Tasks[[#This Row],[_ShownFcstFinish]]+Tasks[[#This Row],[_Row]]/100000,"")</f>
        <v/>
      </c>
      <c r="GO188" s="43" t="str">
        <f aca="false">IF(Tasks[[#This Row],[_LeafCritical]],Tasks[[#This Row],[_ShownFcstStart]]+Tasks[[#This Row],[_Row]]/100000,"")</f>
        <v/>
      </c>
      <c r="GP188" s="43" t="n">
        <f aca="false">Tasks[[#This Row],[_LeafWork]]*Tasks[[#This Row],[_LeafProgress]]</f>
        <v>0</v>
      </c>
      <c r="GQ188" s="91" t="str">
        <f aca="false">IF(AND(Tasks[[#This Row],[_IsLeaf]]=1,Tasks[[#This Row],[_LeafProgress]]&gt;=1),IF(N(Tasks[[#This Row],[Actual Finish]])&gt;0,Tasks[[#This Row],[Actual Finish]],Tasks[[#This Row],[_ShownFcstFinish]]),"")</f>
        <v/>
      </c>
      <c r="GR188" s="43" t="n">
        <f aca="false">IF(Tasks[[#This Row],[_IsLeaf]]=1,N(Tasks[[#This Row],[Story Points]]),0)</f>
        <v>0</v>
      </c>
      <c r="GS188" s="43" t="str">
        <f aca="false">""</f>
        <v/>
      </c>
      <c r="GT188" s="90" t="b">
        <f aca="false">IF(Tasks[[#This Row],[Task Name]]="",FALSE(),AND(Tasks[[#This Row],[_IsLeaf]]=1,N(Tasks[[#This Row],[_Days]])=0))</f>
        <v>0</v>
      </c>
      <c r="GU188" s="91" t="n">
        <f aca="false">IF(Tasks[[#This Row],[Task Name]]="",0,IF(AND(Tasks[[#This Row],[_IsLeaf]]=1,NOT(Tasks[[#This Row],[_IsMilestone]]),N(Tasks[[#This Row],[Progress]])&gt;0),Tasks[[#This Row],[Start]],0))</f>
        <v>0</v>
      </c>
      <c r="GV188" s="91" t="n">
        <f aca="false">IF(Tasks[[#This Row],[_DoneFrom]]=0,0,IF(Tasks[[#This Row],[Progress]]&gt;=1,Tasks[[#This Row],[Finish]],MAX(Tasks[[#This Row],[_DoneFrom]],Tasks[[#This Row],[Start]]+ROUND((Tasks[[#This Row],[Finish]]-Tasks[[#This Row],[Start]]+1)*Tasks[[#This Row],[Progress]],0)-1)))</f>
        <v>0</v>
      </c>
      <c r="GW188" s="91" t="n">
        <f aca="false">IF(Tasks[[#This Row],[Task Name]]="",0,IF(OR(NOT(Tasks[[#This Row],[_IsLeaf]]=1),Tasks[[#This Row],[_IsMilestone]],N(Tasks[[#This Row],[Progress]])&gt;=1),0,IF(Tasks[[#This Row],[_DoneTo]]&gt;0,Tasks[[#This Row],[_DoneTo]]+1,Tasks[[#This Row],[Start]])))</f>
        <v>0</v>
      </c>
      <c r="GX188" s="91" t="n">
        <f aca="false">IF(Tasks[[#This Row],[_RemFrom]]=0,0,Tasks[[#This Row],[Finish]])</f>
        <v>0</v>
      </c>
      <c r="GY188" s="90" t="b">
        <f aca="false">IF(Tasks[[#This Row],[Task Name]]="",FALSE(),OR(NOT(BaselineSet),N(Tasks[[#This Row],[Baseline Start]])&gt;0))</f>
        <v>0</v>
      </c>
      <c r="GZ18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92" t="str">
        <f aca="false">IF(Tasks[[#This Row],[_IsLeaf]]=1,Tasks[[#This Row],[_Row]],"")</f>
        <v/>
      </c>
      <c r="HD188" s="92" t="str">
        <f aca="false">IFERROR(INDEX(Tasks[UID],SMALL(Tasks[_PickKey],Tasks[[#This Row],[_Row]]))&amp;" "&amp;INDEX(Tasks[Task Name],SMALL(Tasks[_PickKey],Tasks[[#This Row],[_Row]])),"")</f>
        <v/>
      </c>
      <c r="HE188" s="43" t="str">
        <f aca="false">IF(Tasks[[#This Row],[Task Name]]="","",IF(Tasks[[#This Row],[_IsSummary]],NETWORKDAYS.INTL(Tasks[[#This Row],[Start]],Tasks[[#This Row],[Finish]],WorkWeek,Holidays),N(Tasks[[#This Row],[_Days]])))</f>
        <v/>
      </c>
      <c r="HF188" s="43" t="n">
        <f aca="false">IF(Tasks[[#This Row],[Expected]]="",0,((Tasks[[#This Row],[Pessimistic]]-Tasks[[#This Row],[Optimistic]])/6)^2)</f>
        <v>0</v>
      </c>
      <c r="HG188" s="43" t="n">
        <f aca="false">IF(Tasks[[#This Row],[Expected]]="",0,Tasks[[#This Row],[Expected]]-N(Tasks[[#This Row],[_Days]]))</f>
        <v>0</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4"/>
      <c r="U189" s="23"/>
      <c r="V189" s="84"/>
      <c r="W189" s="23"/>
      <c r="X189" s="84"/>
      <c r="Y189" s="23"/>
      <c r="Z189" s="84"/>
      <c r="AA189" s="23"/>
      <c r="AB189" s="23"/>
      <c r="AC189" s="7"/>
      <c r="AD189" s="7"/>
      <c r="AE189" s="63" t="str">
        <f aca="false">IF(Tasks[[#This Row],[Task Name]]="","",IF(Tasks[[#This Row],[_IsSummary]],MIN(INDEX(Tasks[_ShownFcstStart],Tasks[[#This Row],[_Row]]+1):INDEX(Tasks[_ShownFcstStart],Tasks[[#This Row],[_Row]]+Tasks[[#This Row],[_Descendants]])),Tasks[[#This Row],[_ShownFcstStart]]))</f>
        <v/>
      </c>
      <c r="AF189" s="63"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9" s="7"/>
      <c r="AK189" s="22"/>
      <c r="AL189" s="23"/>
      <c r="AM189" s="7"/>
      <c r="AN189" s="47"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3" t="str">
        <f aca="false">IF(Tasks[[#This Row],[Task Name]]="","",IF(N(Tasks[[#This Row],[Baseline Start]])&gt;0,Tasks[[#This Row],[Baseline Start]],Tasks[[#This Row],[_CalcStart]]))</f>
        <v/>
      </c>
      <c r="AR189" s="63" t="str">
        <f aca="false">IF(Tasks[[#This Row],[Task Name]]="","",IF(N(Tasks[[#This Row],[Baseline Finish]])&gt;0,Tasks[[#This Row],[Baseline Finish]],Tasks[[#This Row],[_CalcFinish]]))</f>
        <v/>
      </c>
      <c r="AS189" s="47" t="str">
        <f aca="false">IF(Tasks[[#This Row],[Task Name]]="","",IF(Tasks[[#This Row],[Start]]&gt;=Tasks[[#This Row],[Planned Start]],NETWORKDAYS.INTL(Tasks[[#This Row],[Planned Start]],Tasks[[#This Row],[Start]],WorkWeek,Holidays)-1,1-NETWORKDAYS.INTL(Tasks[[#This Row],[Start]],Tasks[[#This Row],[Planned Start]],WorkWeek,Holidays)))</f>
        <v/>
      </c>
      <c r="AT189" s="63" t="str">
        <f aca="false">IF(Tasks[[#This Row],[Task Name]]="","",IF(Tasks[[#This Row],[_IsSummary]],MIN(INDEX(Tasks[_LeafLateStart],Tasks[[#This Row],[_Row]]+1):INDEX(Tasks[_LeafLateStart],Tasks[[#This Row],[_Row]]+Tasks[[#This Row],[_Descendants]])),Tasks[[#This Row],[_LeafLateStart]]))</f>
        <v/>
      </c>
      <c r="AU189" s="63" t="str">
        <f aca="false">IF(Tasks[[#This Row],[Task Name]]="","",IF(Tasks[[#This Row],[_IsSummary]],MAX(INDEX(Tasks[_LeafLateFinish],Tasks[[#This Row],[_Row]]+1):INDEX(Tasks[_LeafLateFinish],Tasks[[#This Row],[_Row]]+Tasks[[#This Row],[_Descendants]])),Tasks[[#This Row],[_LeafLateFinish]]))</f>
        <v/>
      </c>
      <c r="AV189" s="47"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5"/>
      <c r="BA1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6"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7"/>
      <c r="BJ189" s="22"/>
      <c r="BK189" s="47" t="str">
        <f aca="false">IF(OR(Tasks[[#This Row],[Task Name]]="",Tasks[[#This Row],[Baseline Duration]]=""),"",Tasks[[#This Row],[_SpanDays]]-N(Tasks[[#This Row],[Baseline Duration]]))</f>
        <v/>
      </c>
      <c r="BL189" s="86" t="str">
        <f aca="false">IF(OR(Tasks[[#This Row],[Task Name]]="",Tasks[[#This Row],[Baseline Work]]=""),"",Tasks[[#This Row],[Work]]-N(Tasks[[#This Row],[Baseline Work]]))</f>
        <v/>
      </c>
      <c r="BM189" s="63" t="str">
        <f aca="false">IF(Tasks[[#This Row],[Task Name]]="","",IF(OR(TakeBaseline="Yes",N(Tasks[[#This Row],[Baseline Start]])=0),Tasks[[#This Row],[Start]],Tasks[[#This Row],[Baseline Start]]))</f>
        <v/>
      </c>
      <c r="BN189" s="63" t="str">
        <f aca="false">IF(Tasks[[#This Row],[Task Name]]="","",IF(OR(TakeBaseline="Yes",N(Tasks[[#This Row],[Baseline Finish]])=0),Tasks[[#This Row],[Finish]],Tasks[[#This Row],[Baseline Finish]]))</f>
        <v/>
      </c>
      <c r="BO189" s="21" t="str">
        <f aca="false">IF(Tasks[[#This Row],[Task Name]]="","",IF(OR(TakeBaseline="Yes",N(Tasks[[#This Row],[Baseline Duration]])=0),Tasks[[#This Row],[_SpanDays]],Tasks[[#This Row],[Baseline Duration]]))</f>
        <v/>
      </c>
      <c r="BP189" s="86" t="str">
        <f aca="false">IF(Tasks[[#This Row],[Task Name]]="","",IF(OR(TakeBaseline="Yes",N(Tasks[[#This Row],[Baseline Work]])=0),Tasks[[#This Row],[Work]],Tasks[[#This Row],[Baseline Work]]))</f>
        <v/>
      </c>
      <c r="BQ189" s="7"/>
      <c r="BR189" s="7"/>
      <c r="BS189" s="22"/>
      <c r="BT189" s="88"/>
      <c r="BU189" s="23"/>
      <c r="BV189" s="23"/>
      <c r="BW189" s="23"/>
      <c r="BX189" s="89" t="str">
        <f aca="false">IF(AND(Tasks[[#This Row],[_IsLeaf]]=1,ISNUMBER(Tasks[[#This Row],[Optimistic]]),ISNUMBER(Tasks[[#This Row],[Pessimistic]])),ROUND((Tasks[[#This Row],[Optimistic]]+4*N(Tasks[[#This Row],[_Days]])+Tasks[[#This Row],[Pessimistic]])/6,1),"")</f>
        <v/>
      </c>
      <c r="BY189" s="87"/>
      <c r="BZ189" s="87"/>
      <c r="CA189" s="22"/>
      <c r="CB189" s="43" t="str">
        <f aca="false">IF(Tasks[[#This Row],[Task Name]]="","",MAX(1,N(Tasks[[#This Row],[Level]])))</f>
        <v/>
      </c>
      <c r="CC189" s="43" t="n">
        <f aca="false">ROW()-ROW(Tasks[[#Headers],[ID]])</f>
        <v>184</v>
      </c>
      <c r="CD189" s="43" t="n">
        <f aca="false">IF(OR(Tasks[[#This Row],[Task Name]]="",Tasks[[#This Row],[_Level]]&lt;=1),0,IFERROR(LOOKUP(2,1/(Tasks[[#Headers],[_Level]]:Tasks[[#This Row],[_Level]]=Tasks[[#This Row],[_Level]]-1),ROW(Tasks[[#Headers],[_Level]]:Tasks[[#This Row],[_Level]])),0))</f>
        <v>0</v>
      </c>
      <c r="CE189" s="43" t="n">
        <f aca="false">IFERROR(N(INDEX(Tasks[_Level],Tasks[[#This Row],[_Row]]+1)),0)</f>
        <v>0</v>
      </c>
      <c r="CF189" s="90" t="b">
        <f aca="false">AND(Tasks[[#This Row],[Task Name]]&lt;&gt;"",Tasks[[#This Row],[_NextLevel]]&gt;Tasks[[#This Row],[_Level]])</f>
        <v>0</v>
      </c>
      <c r="CG189" s="43" t="n">
        <f aca="false">IF(Tasks[[#This Row],[_IsSummary]],COUNTIF(Tasks[WBS],Tasks[[#This Row],[WBS]]&amp;".*"),0)</f>
        <v>0</v>
      </c>
      <c r="CH189" s="43" t="n">
        <f aca="false">IF(AND(Tasks[[#This Row],[Task Name]]&lt;&gt;"",NOT(Tasks[[#This Row],[_IsSummary]])),1,0)</f>
        <v>0</v>
      </c>
      <c r="CI189" s="43" t="n">
        <f aca="false">IF(N(Tasks[[#This Row],[_Pred1UID]])=0,0,IFERROR(MATCH(Tasks[[#This Row],[_Pred1UID]],Tasks[UID],0),-1))</f>
        <v>0</v>
      </c>
      <c r="CJ189" s="43" t="n">
        <f aca="false">IF(N(Tasks[[#This Row],[_Pred2UID]])=0,0,IFERROR(MATCH(Tasks[[#This Row],[_Pred2UID]],Tasks[UID],0),-1))</f>
        <v>0</v>
      </c>
      <c r="CK189" s="43" t="n">
        <f aca="false">IF(N(Tasks[[#This Row],[_Pred3UID]])=0,0,IFERROR(MATCH(Tasks[[#This Row],[_Pred3UID]],Tasks[UID],0),-1))</f>
        <v>0</v>
      </c>
      <c r="CL189" s="43" t="n">
        <f aca="false">IF(N(Tasks[[#This Row],[_Pred4UID]])=0,0,IFERROR(MATCH(Tasks[[#This Row],[_Pred4UID]],Tasks[UID],0),-1))</f>
        <v>0</v>
      </c>
      <c r="CM1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9" s="91" t="n">
        <f aca="false">IF(OR(Tasks[[#This Row],[_ConstraintCode]]=2,Tasks[[#This Row],[_ConstraintCode]]=3,Tasks[[#This Row],[_ConstraintCode]]=4,Tasks[[#This Row],[_ConstraintCode]]=6),Tasks[[#This Row],[_ConstraintStart]],0)</f>
        <v>0</v>
      </c>
      <c r="CP189" s="91" t="n">
        <f aca="false">IF(OR(Tasks[[#This Row],[_ConstraintCode]]=2,Tasks[[#This Row],[_ConstraintCode]]=3,Tasks[[#This Row],[_ConstraintCode]]=5,Tasks[[#This Row],[_ConstraintCode]]=7),Tasks[[#This Row],[_ConstraintStart]],2958465)</f>
        <v>2958465</v>
      </c>
      <c r="CQ1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91" t="str">
        <f aca="false">IF(NOT(Tasks[[#This Row],[_IsLeaf]]=1),"",IF(N(Tasks[[#This Row],[_Days]])&lt;=0,Tasks[[#This Row],[_LeafCalcStart]],WORKDAY.INTL(Tasks[[#This Row],[_LeafCalcStart]],Tasks[[#This Row],[_Days]]-1,WorkWeek,Holidays)))</f>
        <v/>
      </c>
      <c r="CS1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3" t="str">
        <f aca="false">IF(Tasks[[#This Row],[_Predecessors]]="","",TRIM(MID(SUBSTITUTE(SUBSTITUTE(SUBSTITUTE(UPPER(Tasks[[#This Row],[_Predecessors]]),";",",")," ",""),",",REPT(" ",99)),1,99)))</f>
        <v/>
      </c>
      <c r="CV189" s="43" t="str">
        <f aca="false">IF(Tasks[[#This Row],[_Pred1Text]]="","",IFERROR(VALUE(LEFT(Tasks[[#This Row],[_Pred1Text]],MIN(FIND("F",Tasks[[#This Row],[_Pred1Text]]&amp;"F"),FIND("S",Tasks[[#This Row],[_Pred1Text]]&amp;"S"),FIND("+",Tasks[[#This Row],[_Pred1Text]]&amp;"+"),FIND("-",Tasks[[#This Row],[_Pred1Text]]&amp;"-"))-1)),""))</f>
        <v/>
      </c>
      <c r="CW1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3" t="str">
        <f aca="false">IF(Tasks[[#This Row],[_Pred1Text]]="","",TRIM(MID(SUBSTITUTE(SUBSTITUTE(SUBSTITUTE(UPPER(Tasks[[#This Row],[_Predecessors]]),";",",")," ",""),",",REPT(" ",99)),100,99)))</f>
        <v/>
      </c>
      <c r="CZ189" s="43" t="str">
        <f aca="false">IF(Tasks[[#This Row],[_Pred2Text]]="","",IFERROR(VALUE(LEFT(Tasks[[#This Row],[_Pred2Text]],MIN(FIND("F",Tasks[[#This Row],[_Pred2Text]]&amp;"F"),FIND("S",Tasks[[#This Row],[_Pred2Text]]&amp;"S"),FIND("+",Tasks[[#This Row],[_Pred2Text]]&amp;"+"),FIND("-",Tasks[[#This Row],[_Pred2Text]]&amp;"-"))-1)),""))</f>
        <v/>
      </c>
      <c r="DA1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3" t="str">
        <f aca="false">IF(Tasks[[#This Row],[_Pred2Text]]="","",TRIM(MID(SUBSTITUTE(SUBSTITUTE(SUBSTITUTE(UPPER(Tasks[[#This Row],[_Predecessors]]),";",",")," ",""),",",REPT(" ",99)),199,99)))</f>
        <v/>
      </c>
      <c r="DD189" s="43" t="str">
        <f aca="false">IF(Tasks[[#This Row],[_Pred3Text]]="","",IFERROR(VALUE(LEFT(Tasks[[#This Row],[_Pred3Text]],MIN(FIND("F",Tasks[[#This Row],[_Pred3Text]]&amp;"F"),FIND("S",Tasks[[#This Row],[_Pred3Text]]&amp;"S"),FIND("+",Tasks[[#This Row],[_Pred3Text]]&amp;"+"),FIND("-",Tasks[[#This Row],[_Pred3Text]]&amp;"-"))-1)),""))</f>
        <v/>
      </c>
      <c r="DE1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3" t="str">
        <f aca="false">IF(Tasks[[#This Row],[_Pred3Text]]="","",TRIM(MID(SUBSTITUTE(SUBSTITUTE(SUBSTITUTE(UPPER(Tasks[[#This Row],[_Predecessors]]),";",",")," ",""),",",REPT(" ",99)),298,99)))</f>
        <v/>
      </c>
      <c r="DH189" s="43" t="str">
        <f aca="false">IF(Tasks[[#This Row],[_Pred4Text]]="","",IFERROR(VALUE(LEFT(Tasks[[#This Row],[_Pred4Text]],MIN(FIND("F",Tasks[[#This Row],[_Pred4Text]]&amp;"F"),FIND("S",Tasks[[#This Row],[_Pred4Text]]&amp;"S"),FIND("+",Tasks[[#This Row],[_Pred4Text]]&amp;"+"),FIND("-",Tasks[[#This Row],[_Pred4Text]]&amp;"-"))-1)),""))</f>
        <v/>
      </c>
      <c r="DI1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3" t="str">
        <f aca="false">IF(OR(Tasks[[#This Row],[Task Name]]="",Tasks[[#This Row],[_Resources]]=""),"",TRIM(MID(SUBSTITUTE(Tasks[[#This Row],[_Resources]],",",REPT(" ",99)),1,99)))</f>
        <v/>
      </c>
      <c r="DL189" s="43" t="str">
        <f aca="false">IF(Tasks[[#This Row],[_Res1Text]]="","",TRIM(MID(SUBSTITUTE(Tasks[[#This Row],[_Resources]],",",REPT(" ",99)),100,99)))</f>
        <v/>
      </c>
      <c r="DM189" s="43" t="str">
        <f aca="false">IF(Tasks[[#This Row],[_Res2Text]]="","",TRIM(MID(SUBSTITUTE(Tasks[[#This Row],[_Resources]],",",REPT(" ",99)),199,99)))</f>
        <v/>
      </c>
      <c r="DN189" s="43" t="str">
        <f aca="false">IF(Tasks[[#This Row],[_Res3Text]]="","",TRIM(MID(SUBSTITUTE(Tasks[[#This Row],[_Resources]],",",REPT(" ",99)),298,99)))</f>
        <v/>
      </c>
      <c r="DO189" s="43" t="n">
        <f aca="false">IF(Tasks[[#This Row],[_Res1Text]]="",0,IFERROR(MATCH(TRIM(LEFT(Tasks[[#This Row],[_Res1Text]],FIND("[",Tasks[[#This Row],[_Res1Text]]&amp;"[")-1)),res_Name,0),IFERROR(MATCH(TRIM(LEFT(Tasks[[#This Row],[_Res1Text]],FIND("[",Tasks[[#This Row],[_Res1Text]]&amp;"[")-1)),res_Initials,0),0)))</f>
        <v>0</v>
      </c>
      <c r="DP189" s="43" t="n">
        <f aca="false">IF(Tasks[[#This Row],[_Res2Text]]="",0,IFERROR(MATCH(TRIM(LEFT(Tasks[[#This Row],[_Res2Text]],FIND("[",Tasks[[#This Row],[_Res2Text]]&amp;"[")-1)),res_Name,0),IFERROR(MATCH(TRIM(LEFT(Tasks[[#This Row],[_Res2Text]],FIND("[",Tasks[[#This Row],[_Res2Text]]&amp;"[")-1)),res_Initials,0),0)))</f>
        <v>0</v>
      </c>
      <c r="DQ189" s="43" t="n">
        <f aca="false">IF(Tasks[[#This Row],[_Res3Text]]="",0,IFERROR(MATCH(TRIM(LEFT(Tasks[[#This Row],[_Res3Text]],FIND("[",Tasks[[#This Row],[_Res3Text]]&amp;"[")-1)),res_Name,0),IFERROR(MATCH(TRIM(LEFT(Tasks[[#This Row],[_Res3Text]],FIND("[",Tasks[[#This Row],[_Res3Text]]&amp;"[")-1)),res_Initials,0),0)))</f>
        <v>0</v>
      </c>
      <c r="DR189" s="43" t="n">
        <f aca="false">IF(Tasks[[#This Row],[_Res4Text]]="",0,IFERROR(MATCH(TRIM(LEFT(Tasks[[#This Row],[_Res4Text]],FIND("[",Tasks[[#This Row],[_Res4Text]]&amp;"[")-1)),res_Name,0),IFERROR(MATCH(TRIM(LEFT(Tasks[[#This Row],[_Res4Text]],FIND("[",Tasks[[#This Row],[_Res4Text]]&amp;"[")-1)),res_Initials,0),0)))</f>
        <v>0</v>
      </c>
      <c r="DS189" s="43" t="str">
        <f aca="false">IF(Tasks[[#This Row],[_Res1Text]]="","",IF(Tasks[[#This Row],[_Res1Row]]&gt;0,INDEX(res_Name,Tasks[[#This Row],[_Res1Row]]),TRIM(LEFT(Tasks[[#This Row],[_Res1Text]],FIND("[",Tasks[[#This Row],[_Res1Text]]&amp;"[")-1))))</f>
        <v/>
      </c>
      <c r="DT1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3" t="n">
        <f aca="false">IF(NOT(Tasks[[#This Row],[_IsLeaf]]=1),0,(Tasks[[#This Row],[_Resource1]]&lt;&gt;"")+(Tasks[[#This Row],[_Res2]]&lt;&gt;"")+(Tasks[[#This Row],[_Res3]]&lt;&gt;"")+(Tasks[[#This Row],[_Res4]]&lt;&gt;""))</f>
        <v>0</v>
      </c>
      <c r="DV189" s="43" t="str">
        <f aca="false">IF(Tasks[[#This Row],[_Res2Text]]="","",IF(Tasks[[#This Row],[_Res2Row]]&gt;0,INDEX(res_Name,Tasks[[#This Row],[_Res2Row]]),TRIM(LEFT(Tasks[[#This Row],[_Res2Text]],FIND("[",Tasks[[#This Row],[_Res2Text]]&amp;"[")-1))))</f>
        <v/>
      </c>
      <c r="DW1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3" t="n">
        <f aca="false">IF(OR(NOT(Tasks[[#This Row],[_IsLeaf]]=1),Tasks[[#This Row],[_Res2Row]]=0),0,N(Tasks[[#This Row],[_Days]])*HoursPerDay*IF(Tasks[[#This Row],[_Res2Units]]="",DefaultUnits,Tasks[[#This Row],[_Res2Units]]))</f>
        <v>0</v>
      </c>
      <c r="DY189" s="43" t="n">
        <f aca="false">IF(AND(AND(Tasks[[#This Row],[_IsLeaf]]=1,Tasks[[#This Row],[_LeafTotalWork]]&gt;0),Tasks[[#This Row],[_Res2Work]]&gt;0),Tasks[[#This Row],[_Res2Work]]/(Tasks[[#This Row],[_FinishWorkday]]-Tasks[[#This Row],[_StartWorkday]]+1),0)</f>
        <v>0</v>
      </c>
      <c r="DZ189" s="43" t="n">
        <f aca="false">Tasks[[#This Row],[_Res2WorkPerWD]]*MAX(0,Tasks[[#This Row],[_StartWorkday]]-1)</f>
        <v>0</v>
      </c>
      <c r="EA189" s="43" t="n">
        <f aca="false">Tasks[[#This Row],[_Res2Work]]*Tasks[[#This Row],[_LeafProgress]]</f>
        <v>0</v>
      </c>
      <c r="EB189" s="43" t="str">
        <f aca="false">IF(Tasks[[#This Row],[_Res3Text]]="","",IF(Tasks[[#This Row],[_Res3Row]]&gt;0,INDEX(res_Name,Tasks[[#This Row],[_Res3Row]]),TRIM(LEFT(Tasks[[#This Row],[_Res3Text]],FIND("[",Tasks[[#This Row],[_Res3Text]]&amp;"[")-1))))</f>
        <v/>
      </c>
      <c r="EC1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3" t="n">
        <f aca="false">IF(OR(NOT(Tasks[[#This Row],[_IsLeaf]]=1),Tasks[[#This Row],[_Res3Row]]=0),0,N(Tasks[[#This Row],[_Days]])*HoursPerDay*IF(Tasks[[#This Row],[_Res3Units]]="",DefaultUnits,Tasks[[#This Row],[_Res3Units]]))</f>
        <v>0</v>
      </c>
      <c r="EE189" s="43" t="n">
        <f aca="false">IF(AND(AND(Tasks[[#This Row],[_IsLeaf]]=1,Tasks[[#This Row],[_LeafTotalWork]]&gt;0),Tasks[[#This Row],[_Res3Work]]&gt;0),Tasks[[#This Row],[_Res3Work]]/(Tasks[[#This Row],[_FinishWorkday]]-Tasks[[#This Row],[_StartWorkday]]+1),0)</f>
        <v>0</v>
      </c>
      <c r="EF189" s="43" t="n">
        <f aca="false">Tasks[[#This Row],[_Res3WorkPerWD]]*MAX(0,Tasks[[#This Row],[_StartWorkday]]-1)</f>
        <v>0</v>
      </c>
      <c r="EG189" s="43" t="n">
        <f aca="false">Tasks[[#This Row],[_Res3Work]]*Tasks[[#This Row],[_LeafProgress]]</f>
        <v>0</v>
      </c>
      <c r="EH189" s="43" t="str">
        <f aca="false">IF(Tasks[[#This Row],[_Res4Text]]="","",IF(Tasks[[#This Row],[_Res4Row]]&gt;0,INDEX(res_Name,Tasks[[#This Row],[_Res4Row]]),TRIM(LEFT(Tasks[[#This Row],[_Res4Text]],FIND("[",Tasks[[#This Row],[_Res4Text]]&amp;"[")-1))))</f>
        <v/>
      </c>
      <c r="EI1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3" t="n">
        <f aca="false">IF(OR(NOT(Tasks[[#This Row],[_IsLeaf]]=1),Tasks[[#This Row],[_Res4Row]]=0),0,N(Tasks[[#This Row],[_Days]])*HoursPerDay*IF(Tasks[[#This Row],[_Res4Units]]="",DefaultUnits,Tasks[[#This Row],[_Res4Units]]))</f>
        <v>0</v>
      </c>
      <c r="EK189" s="43" t="n">
        <f aca="false">IF(AND(AND(Tasks[[#This Row],[_IsLeaf]]=1,Tasks[[#This Row],[_LeafTotalWork]]&gt;0),Tasks[[#This Row],[_Res4Work]]&gt;0),Tasks[[#This Row],[_Res4Work]]/(Tasks[[#This Row],[_FinishWorkday]]-Tasks[[#This Row],[_StartWorkday]]+1),0)</f>
        <v>0</v>
      </c>
      <c r="EL189" s="43" t="n">
        <f aca="false">Tasks[[#This Row],[_Res4WorkPerWD]]*MAX(0,Tasks[[#This Row],[_StartWorkday]]-1)</f>
        <v>0</v>
      </c>
      <c r="EM189" s="43" t="n">
        <f aca="false">Tasks[[#This Row],[_Res4Work]]*Tasks[[#This Row],[_LeafProgress]]</f>
        <v>0</v>
      </c>
      <c r="EN189" s="43" t="n">
        <f aca="false">IF(ISNUMBER(Tasks[[#This Row],[% Complete]]),Tasks[[#This Row],[% Complete]],IF(Tasks[[#This Row],[Stage]]="",0,IFERROR(INDEX(stg_Pct,MATCH(Tasks[[#This Row],[Stage]],stg_Name,0)),0)))</f>
        <v>0</v>
      </c>
      <c r="EO189" s="43" t="n">
        <f aca="false">IF(NOT(Tasks[[#This Row],[_IsLeaf]]=1),0,IF(N(Tasks[[#This Row],[Actual Finish]])&gt;0,1,MIN(1,Tasks[[#This Row],[_Pct]])))</f>
        <v>0</v>
      </c>
      <c r="EP189" s="43" t="n">
        <f aca="false">IF(OR(NOT(Tasks[[#This Row],[_IsLeaf]]=1),Tasks[[#This Row],[_Res1Row]]=0),0,N(Tasks[[#This Row],[_Days]])*HoursPerDay*IF(Tasks[[#This Row],[_Units1]]="",DefaultUnits,Tasks[[#This Row],[_Units1]]))</f>
        <v>0</v>
      </c>
      <c r="EQ189" s="43" t="n">
        <f aca="false">Tasks[[#This Row],[_LeafWork]]+Tasks[[#This Row],[_Res2Work]]+Tasks[[#This Row],[_Res3Work]]+Tasks[[#This Row],[_Res4Work]]</f>
        <v>0</v>
      </c>
      <c r="ER1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3" t="n">
        <f aca="false">IF(NOT(Tasks[[#This Row],[_IsLeaf]]=1),0,MAX(_xlfn.MAXIFS(Tasks[_Row],Tasks[_Pred1UID],Tasks[[#This Row],[UID]]),_xlfn.MAXIFS(Tasks[_Row],Tasks[_Pred2UID],Tasks[[#This Row],[UID]]),_xlfn.MAXIFS(Tasks[_Row],Tasks[_Pred3UID],Tasks[[#This Row],[UID]]),_xlfn.MAXIFS(Tasks[_Row],Tasks[_Pred4UID],Tasks[[#This Row],[UID]])))</f>
        <v>0</v>
      </c>
      <c r="FA1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91" t="str">
        <f aca="false">IF(NOT(Tasks[[#This Row],[_IsLeaf]]=1),"",IF(N(Tasks[[#This Row],[_Days]])&lt;=0,Tasks[[#This Row],[_LeafLateFinish]],WORKDAY.INTL(Tasks[[#This Row],[_LeafLateFinish]],-(Tasks[[#This Row],[_Days]]-1),WorkWeek,Holidays)))</f>
        <v/>
      </c>
      <c r="FD1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9" s="90" t="b">
        <f aca="false">AND(Tasks[[#This Row],[_IsLeaf]]=1,Tasks[[#This Row],[_LeafProgress]]&lt;1,N(Tasks[[#This Row],[_LeafTotalSlack]])&lt;=CriticalSlackDays)</f>
        <v>0</v>
      </c>
      <c r="FF189" s="43" t="n">
        <f aca="false">IF(AND(Tasks[[#This Row],[_IsLeaf]]=1,Tasks[[#This Row],[_ConstraintCode]]=1,Tasks[[#This Row],[Mode]]&lt;&gt;"Manual",N(Tasks[[#This Row],[Actual Start]])=0),MAX(0,N(Tasks[[#This Row],[Free Slack]])),0)</f>
        <v>0</v>
      </c>
      <c r="FG189" s="91" t="str">
        <f aca="false">IF(NOT(Tasks[[#This Row],[_IsLeaf]]=1),"",IF(Tasks[[#This Row],[_AlapShift]]=0,Tasks[[#This Row],[_LeafCalcStart]],WORKDAY.INTL(Tasks[[#This Row],[_LeafCalcStart]],Tasks[[#This Row],[_AlapShift]],WorkWeek,Holidays)))</f>
        <v/>
      </c>
      <c r="FH189" s="91" t="str">
        <f aca="false">IF(NOT(Tasks[[#This Row],[_IsLeaf]]=1),"",IF(Tasks[[#This Row],[_AlapShift]]=0,Tasks[[#This Row],[_LeafCalcFinish]],WORKDAY.INTL(Tasks[[#This Row],[_LeafCalcFinish]],Tasks[[#This Row],[_AlapShift]],WorkWeek,Holidays)))</f>
        <v/>
      </c>
      <c r="FI189" s="91" t="str">
        <f aca="false">IF(NOT(Tasks[[#This Row],[_IsLeaf]]=1),"",IF(Tasks[[#This Row],[_AlapShift]]=0,Tasks[[#This Row],[_LeafFcstStart]],WORKDAY.INTL(Tasks[[#This Row],[_LeafFcstStart]],Tasks[[#This Row],[_AlapShift]],WorkWeek,Holidays)))</f>
        <v/>
      </c>
      <c r="FJ189" s="91" t="str">
        <f aca="false">IF(NOT(Tasks[[#This Row],[_IsLeaf]]=1),"",IF(Tasks[[#This Row],[_AlapShift]]=0,Tasks[[#This Row],[_LeafFcstFinish]],WORKDAY.INTL(Tasks[[#This Row],[_LeafFcstFinish]],Tasks[[#This Row],[_AlapShift]],WorkWeek,Holidays)))</f>
        <v/>
      </c>
      <c r="FK189" s="91" t="str">
        <f aca="false">IF(Tasks[[#This Row],[Task Name]]="","",IF(Tasks[[#This Row],[_IsSummary]],MIN(INDEX(Tasks[_ShownCalcStart],Tasks[[#This Row],[_Row]]+1):INDEX(Tasks[_ShownCalcStart],Tasks[[#This Row],[_Row]]+Tasks[[#This Row],[_Descendants]])),Tasks[[#This Row],[_ShownCalcStart]]))</f>
        <v/>
      </c>
      <c r="FL189" s="91" t="str">
        <f aca="false">IF(Tasks[[#This Row],[Task Name]]="","",IF(Tasks[[#This Row],[_IsSummary]],MAX(INDEX(Tasks[_ShownCalcFinish],Tasks[[#This Row],[_Row]]+1):INDEX(Tasks[_ShownCalcFinish],Tasks[[#This Row],[_Row]]+Tasks[[#This Row],[_Descendants]])),Tasks[[#This Row],[_ShownCalcFinish]]))</f>
        <v/>
      </c>
      <c r="FM1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9" s="43" t="n">
        <f aca="false">IF(AND(Tasks[[#This Row],[_IsLeaf]]=1,Tasks[[#This Row],[_LeafTotalWork]]&gt;0),NETWORKDAYS.INTL(ProjectStart,Tasks[[#This Row],[_ShownFcstStart]],WorkWeek,Holidays),0)</f>
        <v>0</v>
      </c>
      <c r="FZ189" s="43" t="n">
        <f aca="false">IF(AND(Tasks[[#This Row],[_IsLeaf]]=1,Tasks[[#This Row],[_LeafTotalWork]]&gt;0),MAX(Tasks[[#This Row],[_StartWorkday]],NETWORKDAYS.INTL(ProjectStart,Tasks[[#This Row],[_ShownFcstFinish]],WorkWeek,Holidays)),0)</f>
        <v>0</v>
      </c>
      <c r="GA189" s="43" t="n">
        <f aca="false">IF(AND(Tasks[[#This Row],[_IsLeaf]]=1,Tasks[[#This Row],[_LeafTotalWork]]&gt;0),Tasks[[#This Row],[_LeafWork]]/(Tasks[[#This Row],[_FinishWorkday]]-Tasks[[#This Row],[_StartWorkday]]+1),0)</f>
        <v>0</v>
      </c>
      <c r="GB189" s="43" t="n">
        <f aca="false">Tasks[[#This Row],[_WorkPerWorkday]]*(Tasks[[#This Row],[_StartWorkday]]-1)</f>
        <v>-0</v>
      </c>
      <c r="GC189" s="43" t="n">
        <f aca="false">IF(Tasks[[#This Row],[_IsLeaf]]=1,MAX(N(Tasks[[#This Row],[_Days]]),0.1),0)</f>
        <v>0</v>
      </c>
      <c r="GD189" s="43" t="n">
        <f aca="false">Tasks[[#This Row],[_WeightDur]]*Tasks[[#This Row],[_LeafProgress]]</f>
        <v>0</v>
      </c>
      <c r="GE189" s="43" t="n">
        <f aca="false">Tasks[[#This Row],[_WeightDur]]*Tasks[[#This Row],[_PlannedPct]]</f>
        <v>0</v>
      </c>
      <c r="GF1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3" t="str">
        <f aca="false">IF(AND(Tasks[[#This Row],[_IsLeaf]]=1,N(Tasks[[#This Row],[_Days]])=0,Tasks[[#This Row],[_LeafProgress]]&lt;1),Tasks[[#This Row],[_ShownFcstFinish]]+Tasks[[#This Row],[_Row]]/100000,"")</f>
        <v/>
      </c>
      <c r="GH1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9" s="43" t="str">
        <f aca="false">IF(Tasks[[#This Row],[Task Name]]="","",LEFT(Tasks[[#This Row],[WBS]],FIND(".",Tasks[[#This Row],[WBS]]&amp;".")-1))</f>
        <v/>
      </c>
      <c r="GJ189" s="43" t="str">
        <f aca="false">IF(AND(Tasks[[#This Row],[Task Name]]&lt;&gt;"",Tasks[[#This Row],[_Level]]=1),Tasks[[#This Row],[_Row]],"")</f>
        <v/>
      </c>
      <c r="GK189" s="43" t="str">
        <f aca="false">IF(AND(Tasks[[#This Row],[_IsLeaf]]=1,N(Tasks[[#This Row],[_Days]])=0),Tasks[[#This Row],[Planned Finish]]+Tasks[[#This Row],[_Row]]/100000,"")</f>
        <v/>
      </c>
      <c r="GL189" s="43" t="str">
        <f aca="false">IF(AND(Tasks[[#This Row],[_IsLeaf]]=1,Tasks[[#This Row],[_LeafProgress]]&lt;1,OR(N(Tasks[[#This Row],[Finish Var]])&gt;0,Tasks[[#This Row],[Status]]="Late Start")),MAX(0,Tasks[[#This Row],[Finish Var]])+1-Tasks[[#This Row],[_Row]]/1000000,"")</f>
        <v/>
      </c>
      <c r="GM189" s="43" t="str">
        <f aca="false">IF(AND(Tasks[[#This Row],[_IsLeaf]]=1,N(Tasks[[#This Row],[Actual Start]])=0,Tasks[[#This Row],[_ShownFcstStart]]&gt;=StatusDate,Tasks[[#This Row],[_ShownFcstStart]]&lt;=LookaheadEnd),Tasks[[#This Row],[_ShownFcstStart]]+Tasks[[#This Row],[_Row]]/100000,"")</f>
        <v/>
      </c>
      <c r="GN189" s="43" t="str">
        <f aca="false">IF(AND(Tasks[[#This Row],[_IsLeaf]]=1,Tasks[[#This Row],[_LeafProgress]]&lt;1,Tasks[[#This Row],[_ShownFcstFinish]]&gt;=StatusDate,Tasks[[#This Row],[_ShownFcstFinish]]&lt;=LookaheadEnd),Tasks[[#This Row],[_ShownFcstFinish]]+Tasks[[#This Row],[_Row]]/100000,"")</f>
        <v/>
      </c>
      <c r="GO189" s="43" t="str">
        <f aca="false">IF(Tasks[[#This Row],[_LeafCritical]],Tasks[[#This Row],[_ShownFcstStart]]+Tasks[[#This Row],[_Row]]/100000,"")</f>
        <v/>
      </c>
      <c r="GP189" s="43" t="n">
        <f aca="false">Tasks[[#This Row],[_LeafWork]]*Tasks[[#This Row],[_LeafProgress]]</f>
        <v>0</v>
      </c>
      <c r="GQ189" s="91" t="str">
        <f aca="false">IF(AND(Tasks[[#This Row],[_IsLeaf]]=1,Tasks[[#This Row],[_LeafProgress]]&gt;=1),IF(N(Tasks[[#This Row],[Actual Finish]])&gt;0,Tasks[[#This Row],[Actual Finish]],Tasks[[#This Row],[_ShownFcstFinish]]),"")</f>
        <v/>
      </c>
      <c r="GR189" s="43" t="n">
        <f aca="false">IF(Tasks[[#This Row],[_IsLeaf]]=1,N(Tasks[[#This Row],[Story Points]]),0)</f>
        <v>0</v>
      </c>
      <c r="GS189" s="43" t="str">
        <f aca="false">""</f>
        <v/>
      </c>
      <c r="GT189" s="90" t="b">
        <f aca="false">IF(Tasks[[#This Row],[Task Name]]="",FALSE(),AND(Tasks[[#This Row],[_IsLeaf]]=1,N(Tasks[[#This Row],[_Days]])=0))</f>
        <v>0</v>
      </c>
      <c r="GU189" s="91" t="n">
        <f aca="false">IF(Tasks[[#This Row],[Task Name]]="",0,IF(AND(Tasks[[#This Row],[_IsLeaf]]=1,NOT(Tasks[[#This Row],[_IsMilestone]]),N(Tasks[[#This Row],[Progress]])&gt;0),Tasks[[#This Row],[Start]],0))</f>
        <v>0</v>
      </c>
      <c r="GV189" s="91" t="n">
        <f aca="false">IF(Tasks[[#This Row],[_DoneFrom]]=0,0,IF(Tasks[[#This Row],[Progress]]&gt;=1,Tasks[[#This Row],[Finish]],MAX(Tasks[[#This Row],[_DoneFrom]],Tasks[[#This Row],[Start]]+ROUND((Tasks[[#This Row],[Finish]]-Tasks[[#This Row],[Start]]+1)*Tasks[[#This Row],[Progress]],0)-1)))</f>
        <v>0</v>
      </c>
      <c r="GW189" s="91" t="n">
        <f aca="false">IF(Tasks[[#This Row],[Task Name]]="",0,IF(OR(NOT(Tasks[[#This Row],[_IsLeaf]]=1),Tasks[[#This Row],[_IsMilestone]],N(Tasks[[#This Row],[Progress]])&gt;=1),0,IF(Tasks[[#This Row],[_DoneTo]]&gt;0,Tasks[[#This Row],[_DoneTo]]+1,Tasks[[#This Row],[Start]])))</f>
        <v>0</v>
      </c>
      <c r="GX189" s="91" t="n">
        <f aca="false">IF(Tasks[[#This Row],[_RemFrom]]=0,0,Tasks[[#This Row],[Finish]])</f>
        <v>0</v>
      </c>
      <c r="GY189" s="90" t="b">
        <f aca="false">IF(Tasks[[#This Row],[Task Name]]="",FALSE(),OR(NOT(BaselineSet),N(Tasks[[#This Row],[Baseline Start]])&gt;0))</f>
        <v>0</v>
      </c>
      <c r="GZ18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92" t="str">
        <f aca="false">IF(Tasks[[#This Row],[_IsLeaf]]=1,Tasks[[#This Row],[_Row]],"")</f>
        <v/>
      </c>
      <c r="HD189" s="92" t="str">
        <f aca="false">IFERROR(INDEX(Tasks[UID],SMALL(Tasks[_PickKey],Tasks[[#This Row],[_Row]]))&amp;" "&amp;INDEX(Tasks[Task Name],SMALL(Tasks[_PickKey],Tasks[[#This Row],[_Row]])),"")</f>
        <v/>
      </c>
      <c r="HE189" s="43" t="str">
        <f aca="false">IF(Tasks[[#This Row],[Task Name]]="","",IF(Tasks[[#This Row],[_IsSummary]],NETWORKDAYS.INTL(Tasks[[#This Row],[Start]],Tasks[[#This Row],[Finish]],WorkWeek,Holidays),N(Tasks[[#This Row],[_Days]])))</f>
        <v/>
      </c>
      <c r="HF189" s="43" t="n">
        <f aca="false">IF(Tasks[[#This Row],[Expected]]="",0,((Tasks[[#This Row],[Pessimistic]]-Tasks[[#This Row],[Optimistic]])/6)^2)</f>
        <v>0</v>
      </c>
      <c r="HG189" s="43" t="n">
        <f aca="false">IF(Tasks[[#This Row],[Expected]]="",0,Tasks[[#This Row],[Expected]]-N(Tasks[[#This Row],[_Days]]))</f>
        <v>0</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4"/>
      <c r="U190" s="23"/>
      <c r="V190" s="84"/>
      <c r="W190" s="23"/>
      <c r="X190" s="84"/>
      <c r="Y190" s="23"/>
      <c r="Z190" s="84"/>
      <c r="AA190" s="23"/>
      <c r="AB190" s="23"/>
      <c r="AC190" s="7"/>
      <c r="AD190" s="7"/>
      <c r="AE190" s="63" t="str">
        <f aca="false">IF(Tasks[[#This Row],[Task Name]]="","",IF(Tasks[[#This Row],[_IsSummary]],MIN(INDEX(Tasks[_ShownFcstStart],Tasks[[#This Row],[_Row]]+1):INDEX(Tasks[_ShownFcstStart],Tasks[[#This Row],[_Row]]+Tasks[[#This Row],[_Descendants]])),Tasks[[#This Row],[_ShownFcstStart]]))</f>
        <v/>
      </c>
      <c r="AF190" s="63"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0" s="7"/>
      <c r="AK190" s="22"/>
      <c r="AL190" s="23"/>
      <c r="AM190" s="7"/>
      <c r="AN190" s="47"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3" t="str">
        <f aca="false">IF(Tasks[[#This Row],[Task Name]]="","",IF(N(Tasks[[#This Row],[Baseline Start]])&gt;0,Tasks[[#This Row],[Baseline Start]],Tasks[[#This Row],[_CalcStart]]))</f>
        <v/>
      </c>
      <c r="AR190" s="63" t="str">
        <f aca="false">IF(Tasks[[#This Row],[Task Name]]="","",IF(N(Tasks[[#This Row],[Baseline Finish]])&gt;0,Tasks[[#This Row],[Baseline Finish]],Tasks[[#This Row],[_CalcFinish]]))</f>
        <v/>
      </c>
      <c r="AS190" s="47" t="str">
        <f aca="false">IF(Tasks[[#This Row],[Task Name]]="","",IF(Tasks[[#This Row],[Start]]&gt;=Tasks[[#This Row],[Planned Start]],NETWORKDAYS.INTL(Tasks[[#This Row],[Planned Start]],Tasks[[#This Row],[Start]],WorkWeek,Holidays)-1,1-NETWORKDAYS.INTL(Tasks[[#This Row],[Start]],Tasks[[#This Row],[Planned Start]],WorkWeek,Holidays)))</f>
        <v/>
      </c>
      <c r="AT190" s="63" t="str">
        <f aca="false">IF(Tasks[[#This Row],[Task Name]]="","",IF(Tasks[[#This Row],[_IsSummary]],MIN(INDEX(Tasks[_LeafLateStart],Tasks[[#This Row],[_Row]]+1):INDEX(Tasks[_LeafLateStart],Tasks[[#This Row],[_Row]]+Tasks[[#This Row],[_Descendants]])),Tasks[[#This Row],[_LeafLateStart]]))</f>
        <v/>
      </c>
      <c r="AU190" s="63" t="str">
        <f aca="false">IF(Tasks[[#This Row],[Task Name]]="","",IF(Tasks[[#This Row],[_IsSummary]],MAX(INDEX(Tasks[_LeafLateFinish],Tasks[[#This Row],[_Row]]+1):INDEX(Tasks[_LeafLateFinish],Tasks[[#This Row],[_Row]]+Tasks[[#This Row],[_Descendants]])),Tasks[[#This Row],[_LeafLateFinish]]))</f>
        <v/>
      </c>
      <c r="AV190" s="47"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5"/>
      <c r="BA1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6"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7"/>
      <c r="BJ190" s="22"/>
      <c r="BK190" s="47" t="str">
        <f aca="false">IF(OR(Tasks[[#This Row],[Task Name]]="",Tasks[[#This Row],[Baseline Duration]]=""),"",Tasks[[#This Row],[_SpanDays]]-N(Tasks[[#This Row],[Baseline Duration]]))</f>
        <v/>
      </c>
      <c r="BL190" s="86" t="str">
        <f aca="false">IF(OR(Tasks[[#This Row],[Task Name]]="",Tasks[[#This Row],[Baseline Work]]=""),"",Tasks[[#This Row],[Work]]-N(Tasks[[#This Row],[Baseline Work]]))</f>
        <v/>
      </c>
      <c r="BM190" s="63" t="str">
        <f aca="false">IF(Tasks[[#This Row],[Task Name]]="","",IF(OR(TakeBaseline="Yes",N(Tasks[[#This Row],[Baseline Start]])=0),Tasks[[#This Row],[Start]],Tasks[[#This Row],[Baseline Start]]))</f>
        <v/>
      </c>
      <c r="BN190" s="63" t="str">
        <f aca="false">IF(Tasks[[#This Row],[Task Name]]="","",IF(OR(TakeBaseline="Yes",N(Tasks[[#This Row],[Baseline Finish]])=0),Tasks[[#This Row],[Finish]],Tasks[[#This Row],[Baseline Finish]]))</f>
        <v/>
      </c>
      <c r="BO190" s="21" t="str">
        <f aca="false">IF(Tasks[[#This Row],[Task Name]]="","",IF(OR(TakeBaseline="Yes",N(Tasks[[#This Row],[Baseline Duration]])=0),Tasks[[#This Row],[_SpanDays]],Tasks[[#This Row],[Baseline Duration]]))</f>
        <v/>
      </c>
      <c r="BP190" s="86" t="str">
        <f aca="false">IF(Tasks[[#This Row],[Task Name]]="","",IF(OR(TakeBaseline="Yes",N(Tasks[[#This Row],[Baseline Work]])=0),Tasks[[#This Row],[Work]],Tasks[[#This Row],[Baseline Work]]))</f>
        <v/>
      </c>
      <c r="BQ190" s="7"/>
      <c r="BR190" s="7"/>
      <c r="BS190" s="22"/>
      <c r="BT190" s="88"/>
      <c r="BU190" s="23"/>
      <c r="BV190" s="23"/>
      <c r="BW190" s="23"/>
      <c r="BX190" s="89" t="str">
        <f aca="false">IF(AND(Tasks[[#This Row],[_IsLeaf]]=1,ISNUMBER(Tasks[[#This Row],[Optimistic]]),ISNUMBER(Tasks[[#This Row],[Pessimistic]])),ROUND((Tasks[[#This Row],[Optimistic]]+4*N(Tasks[[#This Row],[_Days]])+Tasks[[#This Row],[Pessimistic]])/6,1),"")</f>
        <v/>
      </c>
      <c r="BY190" s="87"/>
      <c r="BZ190" s="87"/>
      <c r="CA190" s="22"/>
      <c r="CB190" s="43" t="str">
        <f aca="false">IF(Tasks[[#This Row],[Task Name]]="","",MAX(1,N(Tasks[[#This Row],[Level]])))</f>
        <v/>
      </c>
      <c r="CC190" s="43" t="n">
        <f aca="false">ROW()-ROW(Tasks[[#Headers],[ID]])</f>
        <v>185</v>
      </c>
      <c r="CD190" s="43" t="n">
        <f aca="false">IF(OR(Tasks[[#This Row],[Task Name]]="",Tasks[[#This Row],[_Level]]&lt;=1),0,IFERROR(LOOKUP(2,1/(Tasks[[#Headers],[_Level]]:Tasks[[#This Row],[_Level]]=Tasks[[#This Row],[_Level]]-1),ROW(Tasks[[#Headers],[_Level]]:Tasks[[#This Row],[_Level]])),0))</f>
        <v>0</v>
      </c>
      <c r="CE190" s="43" t="n">
        <f aca="false">IFERROR(N(INDEX(Tasks[_Level],Tasks[[#This Row],[_Row]]+1)),0)</f>
        <v>0</v>
      </c>
      <c r="CF190" s="90" t="b">
        <f aca="false">AND(Tasks[[#This Row],[Task Name]]&lt;&gt;"",Tasks[[#This Row],[_NextLevel]]&gt;Tasks[[#This Row],[_Level]])</f>
        <v>0</v>
      </c>
      <c r="CG190" s="43" t="n">
        <f aca="false">IF(Tasks[[#This Row],[_IsSummary]],COUNTIF(Tasks[WBS],Tasks[[#This Row],[WBS]]&amp;".*"),0)</f>
        <v>0</v>
      </c>
      <c r="CH190" s="43" t="n">
        <f aca="false">IF(AND(Tasks[[#This Row],[Task Name]]&lt;&gt;"",NOT(Tasks[[#This Row],[_IsSummary]])),1,0)</f>
        <v>0</v>
      </c>
      <c r="CI190" s="43" t="n">
        <f aca="false">IF(N(Tasks[[#This Row],[_Pred1UID]])=0,0,IFERROR(MATCH(Tasks[[#This Row],[_Pred1UID]],Tasks[UID],0),-1))</f>
        <v>0</v>
      </c>
      <c r="CJ190" s="43" t="n">
        <f aca="false">IF(N(Tasks[[#This Row],[_Pred2UID]])=0,0,IFERROR(MATCH(Tasks[[#This Row],[_Pred2UID]],Tasks[UID],0),-1))</f>
        <v>0</v>
      </c>
      <c r="CK190" s="43" t="n">
        <f aca="false">IF(N(Tasks[[#This Row],[_Pred3UID]])=0,0,IFERROR(MATCH(Tasks[[#This Row],[_Pred3UID]],Tasks[UID],0),-1))</f>
        <v>0</v>
      </c>
      <c r="CL190" s="43" t="n">
        <f aca="false">IF(N(Tasks[[#This Row],[_Pred4UID]])=0,0,IFERROR(MATCH(Tasks[[#This Row],[_Pred4UID]],Tasks[UID],0),-1))</f>
        <v>0</v>
      </c>
      <c r="CM1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0" s="91" t="n">
        <f aca="false">IF(OR(Tasks[[#This Row],[_ConstraintCode]]=2,Tasks[[#This Row],[_ConstraintCode]]=3,Tasks[[#This Row],[_ConstraintCode]]=4,Tasks[[#This Row],[_ConstraintCode]]=6),Tasks[[#This Row],[_ConstraintStart]],0)</f>
        <v>0</v>
      </c>
      <c r="CP190" s="91" t="n">
        <f aca="false">IF(OR(Tasks[[#This Row],[_ConstraintCode]]=2,Tasks[[#This Row],[_ConstraintCode]]=3,Tasks[[#This Row],[_ConstraintCode]]=5,Tasks[[#This Row],[_ConstraintCode]]=7),Tasks[[#This Row],[_ConstraintStart]],2958465)</f>
        <v>2958465</v>
      </c>
      <c r="CQ1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91" t="str">
        <f aca="false">IF(NOT(Tasks[[#This Row],[_IsLeaf]]=1),"",IF(N(Tasks[[#This Row],[_Days]])&lt;=0,Tasks[[#This Row],[_LeafCalcStart]],WORKDAY.INTL(Tasks[[#This Row],[_LeafCalcStart]],Tasks[[#This Row],[_Days]]-1,WorkWeek,Holidays)))</f>
        <v/>
      </c>
      <c r="CS1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3" t="str">
        <f aca="false">IF(Tasks[[#This Row],[_Predecessors]]="","",TRIM(MID(SUBSTITUTE(SUBSTITUTE(SUBSTITUTE(UPPER(Tasks[[#This Row],[_Predecessors]]),";",",")," ",""),",",REPT(" ",99)),1,99)))</f>
        <v/>
      </c>
      <c r="CV190" s="43" t="str">
        <f aca="false">IF(Tasks[[#This Row],[_Pred1Text]]="","",IFERROR(VALUE(LEFT(Tasks[[#This Row],[_Pred1Text]],MIN(FIND("F",Tasks[[#This Row],[_Pred1Text]]&amp;"F"),FIND("S",Tasks[[#This Row],[_Pred1Text]]&amp;"S"),FIND("+",Tasks[[#This Row],[_Pred1Text]]&amp;"+"),FIND("-",Tasks[[#This Row],[_Pred1Text]]&amp;"-"))-1)),""))</f>
        <v/>
      </c>
      <c r="CW1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3" t="str">
        <f aca="false">IF(Tasks[[#This Row],[_Pred1Text]]="","",TRIM(MID(SUBSTITUTE(SUBSTITUTE(SUBSTITUTE(UPPER(Tasks[[#This Row],[_Predecessors]]),";",",")," ",""),",",REPT(" ",99)),100,99)))</f>
        <v/>
      </c>
      <c r="CZ190" s="43" t="str">
        <f aca="false">IF(Tasks[[#This Row],[_Pred2Text]]="","",IFERROR(VALUE(LEFT(Tasks[[#This Row],[_Pred2Text]],MIN(FIND("F",Tasks[[#This Row],[_Pred2Text]]&amp;"F"),FIND("S",Tasks[[#This Row],[_Pred2Text]]&amp;"S"),FIND("+",Tasks[[#This Row],[_Pred2Text]]&amp;"+"),FIND("-",Tasks[[#This Row],[_Pred2Text]]&amp;"-"))-1)),""))</f>
        <v/>
      </c>
      <c r="DA1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3" t="str">
        <f aca="false">IF(Tasks[[#This Row],[_Pred2Text]]="","",TRIM(MID(SUBSTITUTE(SUBSTITUTE(SUBSTITUTE(UPPER(Tasks[[#This Row],[_Predecessors]]),";",",")," ",""),",",REPT(" ",99)),199,99)))</f>
        <v/>
      </c>
      <c r="DD190" s="43" t="str">
        <f aca="false">IF(Tasks[[#This Row],[_Pred3Text]]="","",IFERROR(VALUE(LEFT(Tasks[[#This Row],[_Pred3Text]],MIN(FIND("F",Tasks[[#This Row],[_Pred3Text]]&amp;"F"),FIND("S",Tasks[[#This Row],[_Pred3Text]]&amp;"S"),FIND("+",Tasks[[#This Row],[_Pred3Text]]&amp;"+"),FIND("-",Tasks[[#This Row],[_Pred3Text]]&amp;"-"))-1)),""))</f>
        <v/>
      </c>
      <c r="DE1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3" t="str">
        <f aca="false">IF(Tasks[[#This Row],[_Pred3Text]]="","",TRIM(MID(SUBSTITUTE(SUBSTITUTE(SUBSTITUTE(UPPER(Tasks[[#This Row],[_Predecessors]]),";",",")," ",""),",",REPT(" ",99)),298,99)))</f>
        <v/>
      </c>
      <c r="DH190" s="43" t="str">
        <f aca="false">IF(Tasks[[#This Row],[_Pred4Text]]="","",IFERROR(VALUE(LEFT(Tasks[[#This Row],[_Pred4Text]],MIN(FIND("F",Tasks[[#This Row],[_Pred4Text]]&amp;"F"),FIND("S",Tasks[[#This Row],[_Pred4Text]]&amp;"S"),FIND("+",Tasks[[#This Row],[_Pred4Text]]&amp;"+"),FIND("-",Tasks[[#This Row],[_Pred4Text]]&amp;"-"))-1)),""))</f>
        <v/>
      </c>
      <c r="DI1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3" t="str">
        <f aca="false">IF(OR(Tasks[[#This Row],[Task Name]]="",Tasks[[#This Row],[_Resources]]=""),"",TRIM(MID(SUBSTITUTE(Tasks[[#This Row],[_Resources]],",",REPT(" ",99)),1,99)))</f>
        <v/>
      </c>
      <c r="DL190" s="43" t="str">
        <f aca="false">IF(Tasks[[#This Row],[_Res1Text]]="","",TRIM(MID(SUBSTITUTE(Tasks[[#This Row],[_Resources]],",",REPT(" ",99)),100,99)))</f>
        <v/>
      </c>
      <c r="DM190" s="43" t="str">
        <f aca="false">IF(Tasks[[#This Row],[_Res2Text]]="","",TRIM(MID(SUBSTITUTE(Tasks[[#This Row],[_Resources]],",",REPT(" ",99)),199,99)))</f>
        <v/>
      </c>
      <c r="DN190" s="43" t="str">
        <f aca="false">IF(Tasks[[#This Row],[_Res3Text]]="","",TRIM(MID(SUBSTITUTE(Tasks[[#This Row],[_Resources]],",",REPT(" ",99)),298,99)))</f>
        <v/>
      </c>
      <c r="DO190" s="43" t="n">
        <f aca="false">IF(Tasks[[#This Row],[_Res1Text]]="",0,IFERROR(MATCH(TRIM(LEFT(Tasks[[#This Row],[_Res1Text]],FIND("[",Tasks[[#This Row],[_Res1Text]]&amp;"[")-1)),res_Name,0),IFERROR(MATCH(TRIM(LEFT(Tasks[[#This Row],[_Res1Text]],FIND("[",Tasks[[#This Row],[_Res1Text]]&amp;"[")-1)),res_Initials,0),0)))</f>
        <v>0</v>
      </c>
      <c r="DP190" s="43" t="n">
        <f aca="false">IF(Tasks[[#This Row],[_Res2Text]]="",0,IFERROR(MATCH(TRIM(LEFT(Tasks[[#This Row],[_Res2Text]],FIND("[",Tasks[[#This Row],[_Res2Text]]&amp;"[")-1)),res_Name,0),IFERROR(MATCH(TRIM(LEFT(Tasks[[#This Row],[_Res2Text]],FIND("[",Tasks[[#This Row],[_Res2Text]]&amp;"[")-1)),res_Initials,0),0)))</f>
        <v>0</v>
      </c>
      <c r="DQ190" s="43" t="n">
        <f aca="false">IF(Tasks[[#This Row],[_Res3Text]]="",0,IFERROR(MATCH(TRIM(LEFT(Tasks[[#This Row],[_Res3Text]],FIND("[",Tasks[[#This Row],[_Res3Text]]&amp;"[")-1)),res_Name,0),IFERROR(MATCH(TRIM(LEFT(Tasks[[#This Row],[_Res3Text]],FIND("[",Tasks[[#This Row],[_Res3Text]]&amp;"[")-1)),res_Initials,0),0)))</f>
        <v>0</v>
      </c>
      <c r="DR190" s="43" t="n">
        <f aca="false">IF(Tasks[[#This Row],[_Res4Text]]="",0,IFERROR(MATCH(TRIM(LEFT(Tasks[[#This Row],[_Res4Text]],FIND("[",Tasks[[#This Row],[_Res4Text]]&amp;"[")-1)),res_Name,0),IFERROR(MATCH(TRIM(LEFT(Tasks[[#This Row],[_Res4Text]],FIND("[",Tasks[[#This Row],[_Res4Text]]&amp;"[")-1)),res_Initials,0),0)))</f>
        <v>0</v>
      </c>
      <c r="DS190" s="43" t="str">
        <f aca="false">IF(Tasks[[#This Row],[_Res1Text]]="","",IF(Tasks[[#This Row],[_Res1Row]]&gt;0,INDEX(res_Name,Tasks[[#This Row],[_Res1Row]]),TRIM(LEFT(Tasks[[#This Row],[_Res1Text]],FIND("[",Tasks[[#This Row],[_Res1Text]]&amp;"[")-1))))</f>
        <v/>
      </c>
      <c r="DT1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3" t="n">
        <f aca="false">IF(NOT(Tasks[[#This Row],[_IsLeaf]]=1),0,(Tasks[[#This Row],[_Resource1]]&lt;&gt;"")+(Tasks[[#This Row],[_Res2]]&lt;&gt;"")+(Tasks[[#This Row],[_Res3]]&lt;&gt;"")+(Tasks[[#This Row],[_Res4]]&lt;&gt;""))</f>
        <v>0</v>
      </c>
      <c r="DV190" s="43" t="str">
        <f aca="false">IF(Tasks[[#This Row],[_Res2Text]]="","",IF(Tasks[[#This Row],[_Res2Row]]&gt;0,INDEX(res_Name,Tasks[[#This Row],[_Res2Row]]),TRIM(LEFT(Tasks[[#This Row],[_Res2Text]],FIND("[",Tasks[[#This Row],[_Res2Text]]&amp;"[")-1))))</f>
        <v/>
      </c>
      <c r="DW1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3" t="n">
        <f aca="false">IF(OR(NOT(Tasks[[#This Row],[_IsLeaf]]=1),Tasks[[#This Row],[_Res2Row]]=0),0,N(Tasks[[#This Row],[_Days]])*HoursPerDay*IF(Tasks[[#This Row],[_Res2Units]]="",DefaultUnits,Tasks[[#This Row],[_Res2Units]]))</f>
        <v>0</v>
      </c>
      <c r="DY190" s="43" t="n">
        <f aca="false">IF(AND(AND(Tasks[[#This Row],[_IsLeaf]]=1,Tasks[[#This Row],[_LeafTotalWork]]&gt;0),Tasks[[#This Row],[_Res2Work]]&gt;0),Tasks[[#This Row],[_Res2Work]]/(Tasks[[#This Row],[_FinishWorkday]]-Tasks[[#This Row],[_StartWorkday]]+1),0)</f>
        <v>0</v>
      </c>
      <c r="DZ190" s="43" t="n">
        <f aca="false">Tasks[[#This Row],[_Res2WorkPerWD]]*MAX(0,Tasks[[#This Row],[_StartWorkday]]-1)</f>
        <v>0</v>
      </c>
      <c r="EA190" s="43" t="n">
        <f aca="false">Tasks[[#This Row],[_Res2Work]]*Tasks[[#This Row],[_LeafProgress]]</f>
        <v>0</v>
      </c>
      <c r="EB190" s="43" t="str">
        <f aca="false">IF(Tasks[[#This Row],[_Res3Text]]="","",IF(Tasks[[#This Row],[_Res3Row]]&gt;0,INDEX(res_Name,Tasks[[#This Row],[_Res3Row]]),TRIM(LEFT(Tasks[[#This Row],[_Res3Text]],FIND("[",Tasks[[#This Row],[_Res3Text]]&amp;"[")-1))))</f>
        <v/>
      </c>
      <c r="EC1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3" t="n">
        <f aca="false">IF(OR(NOT(Tasks[[#This Row],[_IsLeaf]]=1),Tasks[[#This Row],[_Res3Row]]=0),0,N(Tasks[[#This Row],[_Days]])*HoursPerDay*IF(Tasks[[#This Row],[_Res3Units]]="",DefaultUnits,Tasks[[#This Row],[_Res3Units]]))</f>
        <v>0</v>
      </c>
      <c r="EE190" s="43" t="n">
        <f aca="false">IF(AND(AND(Tasks[[#This Row],[_IsLeaf]]=1,Tasks[[#This Row],[_LeafTotalWork]]&gt;0),Tasks[[#This Row],[_Res3Work]]&gt;0),Tasks[[#This Row],[_Res3Work]]/(Tasks[[#This Row],[_FinishWorkday]]-Tasks[[#This Row],[_StartWorkday]]+1),0)</f>
        <v>0</v>
      </c>
      <c r="EF190" s="43" t="n">
        <f aca="false">Tasks[[#This Row],[_Res3WorkPerWD]]*MAX(0,Tasks[[#This Row],[_StartWorkday]]-1)</f>
        <v>0</v>
      </c>
      <c r="EG190" s="43" t="n">
        <f aca="false">Tasks[[#This Row],[_Res3Work]]*Tasks[[#This Row],[_LeafProgress]]</f>
        <v>0</v>
      </c>
      <c r="EH190" s="43" t="str">
        <f aca="false">IF(Tasks[[#This Row],[_Res4Text]]="","",IF(Tasks[[#This Row],[_Res4Row]]&gt;0,INDEX(res_Name,Tasks[[#This Row],[_Res4Row]]),TRIM(LEFT(Tasks[[#This Row],[_Res4Text]],FIND("[",Tasks[[#This Row],[_Res4Text]]&amp;"[")-1))))</f>
        <v/>
      </c>
      <c r="EI1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3" t="n">
        <f aca="false">IF(OR(NOT(Tasks[[#This Row],[_IsLeaf]]=1),Tasks[[#This Row],[_Res4Row]]=0),0,N(Tasks[[#This Row],[_Days]])*HoursPerDay*IF(Tasks[[#This Row],[_Res4Units]]="",DefaultUnits,Tasks[[#This Row],[_Res4Units]]))</f>
        <v>0</v>
      </c>
      <c r="EK190" s="43" t="n">
        <f aca="false">IF(AND(AND(Tasks[[#This Row],[_IsLeaf]]=1,Tasks[[#This Row],[_LeafTotalWork]]&gt;0),Tasks[[#This Row],[_Res4Work]]&gt;0),Tasks[[#This Row],[_Res4Work]]/(Tasks[[#This Row],[_FinishWorkday]]-Tasks[[#This Row],[_StartWorkday]]+1),0)</f>
        <v>0</v>
      </c>
      <c r="EL190" s="43" t="n">
        <f aca="false">Tasks[[#This Row],[_Res4WorkPerWD]]*MAX(0,Tasks[[#This Row],[_StartWorkday]]-1)</f>
        <v>0</v>
      </c>
      <c r="EM190" s="43" t="n">
        <f aca="false">Tasks[[#This Row],[_Res4Work]]*Tasks[[#This Row],[_LeafProgress]]</f>
        <v>0</v>
      </c>
      <c r="EN190" s="43" t="n">
        <f aca="false">IF(ISNUMBER(Tasks[[#This Row],[% Complete]]),Tasks[[#This Row],[% Complete]],IF(Tasks[[#This Row],[Stage]]="",0,IFERROR(INDEX(stg_Pct,MATCH(Tasks[[#This Row],[Stage]],stg_Name,0)),0)))</f>
        <v>0</v>
      </c>
      <c r="EO190" s="43" t="n">
        <f aca="false">IF(NOT(Tasks[[#This Row],[_IsLeaf]]=1),0,IF(N(Tasks[[#This Row],[Actual Finish]])&gt;0,1,MIN(1,Tasks[[#This Row],[_Pct]])))</f>
        <v>0</v>
      </c>
      <c r="EP190" s="43" t="n">
        <f aca="false">IF(OR(NOT(Tasks[[#This Row],[_IsLeaf]]=1),Tasks[[#This Row],[_Res1Row]]=0),0,N(Tasks[[#This Row],[_Days]])*HoursPerDay*IF(Tasks[[#This Row],[_Units1]]="",DefaultUnits,Tasks[[#This Row],[_Units1]]))</f>
        <v>0</v>
      </c>
      <c r="EQ190" s="43" t="n">
        <f aca="false">Tasks[[#This Row],[_LeafWork]]+Tasks[[#This Row],[_Res2Work]]+Tasks[[#This Row],[_Res3Work]]+Tasks[[#This Row],[_Res4Work]]</f>
        <v>0</v>
      </c>
      <c r="ER1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3" t="n">
        <f aca="false">IF(NOT(Tasks[[#This Row],[_IsLeaf]]=1),0,MAX(_xlfn.MAXIFS(Tasks[_Row],Tasks[_Pred1UID],Tasks[[#This Row],[UID]]),_xlfn.MAXIFS(Tasks[_Row],Tasks[_Pred2UID],Tasks[[#This Row],[UID]]),_xlfn.MAXIFS(Tasks[_Row],Tasks[_Pred3UID],Tasks[[#This Row],[UID]]),_xlfn.MAXIFS(Tasks[_Row],Tasks[_Pred4UID],Tasks[[#This Row],[UID]])))</f>
        <v>0</v>
      </c>
      <c r="FA1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91" t="str">
        <f aca="false">IF(NOT(Tasks[[#This Row],[_IsLeaf]]=1),"",IF(N(Tasks[[#This Row],[_Days]])&lt;=0,Tasks[[#This Row],[_LeafLateFinish]],WORKDAY.INTL(Tasks[[#This Row],[_LeafLateFinish]],-(Tasks[[#This Row],[_Days]]-1),WorkWeek,Holidays)))</f>
        <v/>
      </c>
      <c r="FD1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0" s="90" t="b">
        <f aca="false">AND(Tasks[[#This Row],[_IsLeaf]]=1,Tasks[[#This Row],[_LeafProgress]]&lt;1,N(Tasks[[#This Row],[_LeafTotalSlack]])&lt;=CriticalSlackDays)</f>
        <v>0</v>
      </c>
      <c r="FF190" s="43" t="n">
        <f aca="false">IF(AND(Tasks[[#This Row],[_IsLeaf]]=1,Tasks[[#This Row],[_ConstraintCode]]=1,Tasks[[#This Row],[Mode]]&lt;&gt;"Manual",N(Tasks[[#This Row],[Actual Start]])=0),MAX(0,N(Tasks[[#This Row],[Free Slack]])),0)</f>
        <v>0</v>
      </c>
      <c r="FG190" s="91" t="str">
        <f aca="false">IF(NOT(Tasks[[#This Row],[_IsLeaf]]=1),"",IF(Tasks[[#This Row],[_AlapShift]]=0,Tasks[[#This Row],[_LeafCalcStart]],WORKDAY.INTL(Tasks[[#This Row],[_LeafCalcStart]],Tasks[[#This Row],[_AlapShift]],WorkWeek,Holidays)))</f>
        <v/>
      </c>
      <c r="FH190" s="91" t="str">
        <f aca="false">IF(NOT(Tasks[[#This Row],[_IsLeaf]]=1),"",IF(Tasks[[#This Row],[_AlapShift]]=0,Tasks[[#This Row],[_LeafCalcFinish]],WORKDAY.INTL(Tasks[[#This Row],[_LeafCalcFinish]],Tasks[[#This Row],[_AlapShift]],WorkWeek,Holidays)))</f>
        <v/>
      </c>
      <c r="FI190" s="91" t="str">
        <f aca="false">IF(NOT(Tasks[[#This Row],[_IsLeaf]]=1),"",IF(Tasks[[#This Row],[_AlapShift]]=0,Tasks[[#This Row],[_LeafFcstStart]],WORKDAY.INTL(Tasks[[#This Row],[_LeafFcstStart]],Tasks[[#This Row],[_AlapShift]],WorkWeek,Holidays)))</f>
        <v/>
      </c>
      <c r="FJ190" s="91" t="str">
        <f aca="false">IF(NOT(Tasks[[#This Row],[_IsLeaf]]=1),"",IF(Tasks[[#This Row],[_AlapShift]]=0,Tasks[[#This Row],[_LeafFcstFinish]],WORKDAY.INTL(Tasks[[#This Row],[_LeafFcstFinish]],Tasks[[#This Row],[_AlapShift]],WorkWeek,Holidays)))</f>
        <v/>
      </c>
      <c r="FK190" s="91" t="str">
        <f aca="false">IF(Tasks[[#This Row],[Task Name]]="","",IF(Tasks[[#This Row],[_IsSummary]],MIN(INDEX(Tasks[_ShownCalcStart],Tasks[[#This Row],[_Row]]+1):INDEX(Tasks[_ShownCalcStart],Tasks[[#This Row],[_Row]]+Tasks[[#This Row],[_Descendants]])),Tasks[[#This Row],[_ShownCalcStart]]))</f>
        <v/>
      </c>
      <c r="FL190" s="91" t="str">
        <f aca="false">IF(Tasks[[#This Row],[Task Name]]="","",IF(Tasks[[#This Row],[_IsSummary]],MAX(INDEX(Tasks[_ShownCalcFinish],Tasks[[#This Row],[_Row]]+1):INDEX(Tasks[_ShownCalcFinish],Tasks[[#This Row],[_Row]]+Tasks[[#This Row],[_Descendants]])),Tasks[[#This Row],[_ShownCalcFinish]]))</f>
        <v/>
      </c>
      <c r="FM1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0" s="43" t="n">
        <f aca="false">IF(AND(Tasks[[#This Row],[_IsLeaf]]=1,Tasks[[#This Row],[_LeafTotalWork]]&gt;0),NETWORKDAYS.INTL(ProjectStart,Tasks[[#This Row],[_ShownFcstStart]],WorkWeek,Holidays),0)</f>
        <v>0</v>
      </c>
      <c r="FZ190" s="43" t="n">
        <f aca="false">IF(AND(Tasks[[#This Row],[_IsLeaf]]=1,Tasks[[#This Row],[_LeafTotalWork]]&gt;0),MAX(Tasks[[#This Row],[_StartWorkday]],NETWORKDAYS.INTL(ProjectStart,Tasks[[#This Row],[_ShownFcstFinish]],WorkWeek,Holidays)),0)</f>
        <v>0</v>
      </c>
      <c r="GA190" s="43" t="n">
        <f aca="false">IF(AND(Tasks[[#This Row],[_IsLeaf]]=1,Tasks[[#This Row],[_LeafTotalWork]]&gt;0),Tasks[[#This Row],[_LeafWork]]/(Tasks[[#This Row],[_FinishWorkday]]-Tasks[[#This Row],[_StartWorkday]]+1),0)</f>
        <v>0</v>
      </c>
      <c r="GB190" s="43" t="n">
        <f aca="false">Tasks[[#This Row],[_WorkPerWorkday]]*(Tasks[[#This Row],[_StartWorkday]]-1)</f>
        <v>-0</v>
      </c>
      <c r="GC190" s="43" t="n">
        <f aca="false">IF(Tasks[[#This Row],[_IsLeaf]]=1,MAX(N(Tasks[[#This Row],[_Days]]),0.1),0)</f>
        <v>0</v>
      </c>
      <c r="GD190" s="43" t="n">
        <f aca="false">Tasks[[#This Row],[_WeightDur]]*Tasks[[#This Row],[_LeafProgress]]</f>
        <v>0</v>
      </c>
      <c r="GE190" s="43" t="n">
        <f aca="false">Tasks[[#This Row],[_WeightDur]]*Tasks[[#This Row],[_PlannedPct]]</f>
        <v>0</v>
      </c>
      <c r="GF1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3" t="str">
        <f aca="false">IF(AND(Tasks[[#This Row],[_IsLeaf]]=1,N(Tasks[[#This Row],[_Days]])=0,Tasks[[#This Row],[_LeafProgress]]&lt;1),Tasks[[#This Row],[_ShownFcstFinish]]+Tasks[[#This Row],[_Row]]/100000,"")</f>
        <v/>
      </c>
      <c r="GH1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0" s="43" t="str">
        <f aca="false">IF(Tasks[[#This Row],[Task Name]]="","",LEFT(Tasks[[#This Row],[WBS]],FIND(".",Tasks[[#This Row],[WBS]]&amp;".")-1))</f>
        <v/>
      </c>
      <c r="GJ190" s="43" t="str">
        <f aca="false">IF(AND(Tasks[[#This Row],[Task Name]]&lt;&gt;"",Tasks[[#This Row],[_Level]]=1),Tasks[[#This Row],[_Row]],"")</f>
        <v/>
      </c>
      <c r="GK190" s="43" t="str">
        <f aca="false">IF(AND(Tasks[[#This Row],[_IsLeaf]]=1,N(Tasks[[#This Row],[_Days]])=0),Tasks[[#This Row],[Planned Finish]]+Tasks[[#This Row],[_Row]]/100000,"")</f>
        <v/>
      </c>
      <c r="GL190" s="43" t="str">
        <f aca="false">IF(AND(Tasks[[#This Row],[_IsLeaf]]=1,Tasks[[#This Row],[_LeafProgress]]&lt;1,OR(N(Tasks[[#This Row],[Finish Var]])&gt;0,Tasks[[#This Row],[Status]]="Late Start")),MAX(0,Tasks[[#This Row],[Finish Var]])+1-Tasks[[#This Row],[_Row]]/1000000,"")</f>
        <v/>
      </c>
      <c r="GM190" s="43" t="str">
        <f aca="false">IF(AND(Tasks[[#This Row],[_IsLeaf]]=1,N(Tasks[[#This Row],[Actual Start]])=0,Tasks[[#This Row],[_ShownFcstStart]]&gt;=StatusDate,Tasks[[#This Row],[_ShownFcstStart]]&lt;=LookaheadEnd),Tasks[[#This Row],[_ShownFcstStart]]+Tasks[[#This Row],[_Row]]/100000,"")</f>
        <v/>
      </c>
      <c r="GN190" s="43" t="str">
        <f aca="false">IF(AND(Tasks[[#This Row],[_IsLeaf]]=1,Tasks[[#This Row],[_LeafProgress]]&lt;1,Tasks[[#This Row],[_ShownFcstFinish]]&gt;=StatusDate,Tasks[[#This Row],[_ShownFcstFinish]]&lt;=LookaheadEnd),Tasks[[#This Row],[_ShownFcstFinish]]+Tasks[[#This Row],[_Row]]/100000,"")</f>
        <v/>
      </c>
      <c r="GO190" s="43" t="str">
        <f aca="false">IF(Tasks[[#This Row],[_LeafCritical]],Tasks[[#This Row],[_ShownFcstStart]]+Tasks[[#This Row],[_Row]]/100000,"")</f>
        <v/>
      </c>
      <c r="GP190" s="43" t="n">
        <f aca="false">Tasks[[#This Row],[_LeafWork]]*Tasks[[#This Row],[_LeafProgress]]</f>
        <v>0</v>
      </c>
      <c r="GQ190" s="91" t="str">
        <f aca="false">IF(AND(Tasks[[#This Row],[_IsLeaf]]=1,Tasks[[#This Row],[_LeafProgress]]&gt;=1),IF(N(Tasks[[#This Row],[Actual Finish]])&gt;0,Tasks[[#This Row],[Actual Finish]],Tasks[[#This Row],[_ShownFcstFinish]]),"")</f>
        <v/>
      </c>
      <c r="GR190" s="43" t="n">
        <f aca="false">IF(Tasks[[#This Row],[_IsLeaf]]=1,N(Tasks[[#This Row],[Story Points]]),0)</f>
        <v>0</v>
      </c>
      <c r="GS190" s="43" t="str">
        <f aca="false">""</f>
        <v/>
      </c>
      <c r="GT190" s="90" t="b">
        <f aca="false">IF(Tasks[[#This Row],[Task Name]]="",FALSE(),AND(Tasks[[#This Row],[_IsLeaf]]=1,N(Tasks[[#This Row],[_Days]])=0))</f>
        <v>0</v>
      </c>
      <c r="GU190" s="91" t="n">
        <f aca="false">IF(Tasks[[#This Row],[Task Name]]="",0,IF(AND(Tasks[[#This Row],[_IsLeaf]]=1,NOT(Tasks[[#This Row],[_IsMilestone]]),N(Tasks[[#This Row],[Progress]])&gt;0),Tasks[[#This Row],[Start]],0))</f>
        <v>0</v>
      </c>
      <c r="GV190" s="91" t="n">
        <f aca="false">IF(Tasks[[#This Row],[_DoneFrom]]=0,0,IF(Tasks[[#This Row],[Progress]]&gt;=1,Tasks[[#This Row],[Finish]],MAX(Tasks[[#This Row],[_DoneFrom]],Tasks[[#This Row],[Start]]+ROUND((Tasks[[#This Row],[Finish]]-Tasks[[#This Row],[Start]]+1)*Tasks[[#This Row],[Progress]],0)-1)))</f>
        <v>0</v>
      </c>
      <c r="GW190" s="91" t="n">
        <f aca="false">IF(Tasks[[#This Row],[Task Name]]="",0,IF(OR(NOT(Tasks[[#This Row],[_IsLeaf]]=1),Tasks[[#This Row],[_IsMilestone]],N(Tasks[[#This Row],[Progress]])&gt;=1),0,IF(Tasks[[#This Row],[_DoneTo]]&gt;0,Tasks[[#This Row],[_DoneTo]]+1,Tasks[[#This Row],[Start]])))</f>
        <v>0</v>
      </c>
      <c r="GX190" s="91" t="n">
        <f aca="false">IF(Tasks[[#This Row],[_RemFrom]]=0,0,Tasks[[#This Row],[Finish]])</f>
        <v>0</v>
      </c>
      <c r="GY190" s="90" t="b">
        <f aca="false">IF(Tasks[[#This Row],[Task Name]]="",FALSE(),OR(NOT(BaselineSet),N(Tasks[[#This Row],[Baseline Start]])&gt;0))</f>
        <v>0</v>
      </c>
      <c r="GZ19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92" t="str">
        <f aca="false">IF(Tasks[[#This Row],[_IsLeaf]]=1,Tasks[[#This Row],[_Row]],"")</f>
        <v/>
      </c>
      <c r="HD190" s="92" t="str">
        <f aca="false">IFERROR(INDEX(Tasks[UID],SMALL(Tasks[_PickKey],Tasks[[#This Row],[_Row]]))&amp;" "&amp;INDEX(Tasks[Task Name],SMALL(Tasks[_PickKey],Tasks[[#This Row],[_Row]])),"")</f>
        <v/>
      </c>
      <c r="HE190" s="43" t="str">
        <f aca="false">IF(Tasks[[#This Row],[Task Name]]="","",IF(Tasks[[#This Row],[_IsSummary]],NETWORKDAYS.INTL(Tasks[[#This Row],[Start]],Tasks[[#This Row],[Finish]],WorkWeek,Holidays),N(Tasks[[#This Row],[_Days]])))</f>
        <v/>
      </c>
      <c r="HF190" s="43" t="n">
        <f aca="false">IF(Tasks[[#This Row],[Expected]]="",0,((Tasks[[#This Row],[Pessimistic]]-Tasks[[#This Row],[Optimistic]])/6)^2)</f>
        <v>0</v>
      </c>
      <c r="HG190" s="43" t="n">
        <f aca="false">IF(Tasks[[#This Row],[Expected]]="",0,Tasks[[#This Row],[Expected]]-N(Tasks[[#This Row],[_Days]]))</f>
        <v>0</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4"/>
      <c r="U191" s="23"/>
      <c r="V191" s="84"/>
      <c r="W191" s="23"/>
      <c r="X191" s="84"/>
      <c r="Y191" s="23"/>
      <c r="Z191" s="84"/>
      <c r="AA191" s="23"/>
      <c r="AB191" s="23"/>
      <c r="AC191" s="7"/>
      <c r="AD191" s="7"/>
      <c r="AE191" s="63" t="str">
        <f aca="false">IF(Tasks[[#This Row],[Task Name]]="","",IF(Tasks[[#This Row],[_IsSummary]],MIN(INDEX(Tasks[_ShownFcstStart],Tasks[[#This Row],[_Row]]+1):INDEX(Tasks[_ShownFcstStart],Tasks[[#This Row],[_Row]]+Tasks[[#This Row],[_Descendants]])),Tasks[[#This Row],[_ShownFcstStart]]))</f>
        <v/>
      </c>
      <c r="AF191" s="63"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1" s="7"/>
      <c r="AK191" s="22"/>
      <c r="AL191" s="23"/>
      <c r="AM191" s="7"/>
      <c r="AN191" s="47"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3" t="str">
        <f aca="false">IF(Tasks[[#This Row],[Task Name]]="","",IF(N(Tasks[[#This Row],[Baseline Start]])&gt;0,Tasks[[#This Row],[Baseline Start]],Tasks[[#This Row],[_CalcStart]]))</f>
        <v/>
      </c>
      <c r="AR191" s="63" t="str">
        <f aca="false">IF(Tasks[[#This Row],[Task Name]]="","",IF(N(Tasks[[#This Row],[Baseline Finish]])&gt;0,Tasks[[#This Row],[Baseline Finish]],Tasks[[#This Row],[_CalcFinish]]))</f>
        <v/>
      </c>
      <c r="AS191" s="47" t="str">
        <f aca="false">IF(Tasks[[#This Row],[Task Name]]="","",IF(Tasks[[#This Row],[Start]]&gt;=Tasks[[#This Row],[Planned Start]],NETWORKDAYS.INTL(Tasks[[#This Row],[Planned Start]],Tasks[[#This Row],[Start]],WorkWeek,Holidays)-1,1-NETWORKDAYS.INTL(Tasks[[#This Row],[Start]],Tasks[[#This Row],[Planned Start]],WorkWeek,Holidays)))</f>
        <v/>
      </c>
      <c r="AT191" s="63" t="str">
        <f aca="false">IF(Tasks[[#This Row],[Task Name]]="","",IF(Tasks[[#This Row],[_IsSummary]],MIN(INDEX(Tasks[_LeafLateStart],Tasks[[#This Row],[_Row]]+1):INDEX(Tasks[_LeafLateStart],Tasks[[#This Row],[_Row]]+Tasks[[#This Row],[_Descendants]])),Tasks[[#This Row],[_LeafLateStart]]))</f>
        <v/>
      </c>
      <c r="AU191" s="63" t="str">
        <f aca="false">IF(Tasks[[#This Row],[Task Name]]="","",IF(Tasks[[#This Row],[_IsSummary]],MAX(INDEX(Tasks[_LeafLateFinish],Tasks[[#This Row],[_Row]]+1):INDEX(Tasks[_LeafLateFinish],Tasks[[#This Row],[_Row]]+Tasks[[#This Row],[_Descendants]])),Tasks[[#This Row],[_LeafLateFinish]]))</f>
        <v/>
      </c>
      <c r="AV191" s="47"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5"/>
      <c r="BA1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6"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7"/>
      <c r="BJ191" s="22"/>
      <c r="BK191" s="47" t="str">
        <f aca="false">IF(OR(Tasks[[#This Row],[Task Name]]="",Tasks[[#This Row],[Baseline Duration]]=""),"",Tasks[[#This Row],[_SpanDays]]-N(Tasks[[#This Row],[Baseline Duration]]))</f>
        <v/>
      </c>
      <c r="BL191" s="86" t="str">
        <f aca="false">IF(OR(Tasks[[#This Row],[Task Name]]="",Tasks[[#This Row],[Baseline Work]]=""),"",Tasks[[#This Row],[Work]]-N(Tasks[[#This Row],[Baseline Work]]))</f>
        <v/>
      </c>
      <c r="BM191" s="63" t="str">
        <f aca="false">IF(Tasks[[#This Row],[Task Name]]="","",IF(OR(TakeBaseline="Yes",N(Tasks[[#This Row],[Baseline Start]])=0),Tasks[[#This Row],[Start]],Tasks[[#This Row],[Baseline Start]]))</f>
        <v/>
      </c>
      <c r="BN191" s="63" t="str">
        <f aca="false">IF(Tasks[[#This Row],[Task Name]]="","",IF(OR(TakeBaseline="Yes",N(Tasks[[#This Row],[Baseline Finish]])=0),Tasks[[#This Row],[Finish]],Tasks[[#This Row],[Baseline Finish]]))</f>
        <v/>
      </c>
      <c r="BO191" s="21" t="str">
        <f aca="false">IF(Tasks[[#This Row],[Task Name]]="","",IF(OR(TakeBaseline="Yes",N(Tasks[[#This Row],[Baseline Duration]])=0),Tasks[[#This Row],[_SpanDays]],Tasks[[#This Row],[Baseline Duration]]))</f>
        <v/>
      </c>
      <c r="BP191" s="86" t="str">
        <f aca="false">IF(Tasks[[#This Row],[Task Name]]="","",IF(OR(TakeBaseline="Yes",N(Tasks[[#This Row],[Baseline Work]])=0),Tasks[[#This Row],[Work]],Tasks[[#This Row],[Baseline Work]]))</f>
        <v/>
      </c>
      <c r="BQ191" s="7"/>
      <c r="BR191" s="7"/>
      <c r="BS191" s="22"/>
      <c r="BT191" s="88"/>
      <c r="BU191" s="23"/>
      <c r="BV191" s="23"/>
      <c r="BW191" s="23"/>
      <c r="BX191" s="89" t="str">
        <f aca="false">IF(AND(Tasks[[#This Row],[_IsLeaf]]=1,ISNUMBER(Tasks[[#This Row],[Optimistic]]),ISNUMBER(Tasks[[#This Row],[Pessimistic]])),ROUND((Tasks[[#This Row],[Optimistic]]+4*N(Tasks[[#This Row],[_Days]])+Tasks[[#This Row],[Pessimistic]])/6,1),"")</f>
        <v/>
      </c>
      <c r="BY191" s="87"/>
      <c r="BZ191" s="87"/>
      <c r="CA191" s="22"/>
      <c r="CB191" s="43" t="str">
        <f aca="false">IF(Tasks[[#This Row],[Task Name]]="","",MAX(1,N(Tasks[[#This Row],[Level]])))</f>
        <v/>
      </c>
      <c r="CC191" s="43" t="n">
        <f aca="false">ROW()-ROW(Tasks[[#Headers],[ID]])</f>
        <v>186</v>
      </c>
      <c r="CD191" s="43" t="n">
        <f aca="false">IF(OR(Tasks[[#This Row],[Task Name]]="",Tasks[[#This Row],[_Level]]&lt;=1),0,IFERROR(LOOKUP(2,1/(Tasks[[#Headers],[_Level]]:Tasks[[#This Row],[_Level]]=Tasks[[#This Row],[_Level]]-1),ROW(Tasks[[#Headers],[_Level]]:Tasks[[#This Row],[_Level]])),0))</f>
        <v>0</v>
      </c>
      <c r="CE191" s="43" t="n">
        <f aca="false">IFERROR(N(INDEX(Tasks[_Level],Tasks[[#This Row],[_Row]]+1)),0)</f>
        <v>0</v>
      </c>
      <c r="CF191" s="90" t="b">
        <f aca="false">AND(Tasks[[#This Row],[Task Name]]&lt;&gt;"",Tasks[[#This Row],[_NextLevel]]&gt;Tasks[[#This Row],[_Level]])</f>
        <v>0</v>
      </c>
      <c r="CG191" s="43" t="n">
        <f aca="false">IF(Tasks[[#This Row],[_IsSummary]],COUNTIF(Tasks[WBS],Tasks[[#This Row],[WBS]]&amp;".*"),0)</f>
        <v>0</v>
      </c>
      <c r="CH191" s="43" t="n">
        <f aca="false">IF(AND(Tasks[[#This Row],[Task Name]]&lt;&gt;"",NOT(Tasks[[#This Row],[_IsSummary]])),1,0)</f>
        <v>0</v>
      </c>
      <c r="CI191" s="43" t="n">
        <f aca="false">IF(N(Tasks[[#This Row],[_Pred1UID]])=0,0,IFERROR(MATCH(Tasks[[#This Row],[_Pred1UID]],Tasks[UID],0),-1))</f>
        <v>0</v>
      </c>
      <c r="CJ191" s="43" t="n">
        <f aca="false">IF(N(Tasks[[#This Row],[_Pred2UID]])=0,0,IFERROR(MATCH(Tasks[[#This Row],[_Pred2UID]],Tasks[UID],0),-1))</f>
        <v>0</v>
      </c>
      <c r="CK191" s="43" t="n">
        <f aca="false">IF(N(Tasks[[#This Row],[_Pred3UID]])=0,0,IFERROR(MATCH(Tasks[[#This Row],[_Pred3UID]],Tasks[UID],0),-1))</f>
        <v>0</v>
      </c>
      <c r="CL191" s="43" t="n">
        <f aca="false">IF(N(Tasks[[#This Row],[_Pred4UID]])=0,0,IFERROR(MATCH(Tasks[[#This Row],[_Pred4UID]],Tasks[UID],0),-1))</f>
        <v>0</v>
      </c>
      <c r="CM1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1" s="91" t="n">
        <f aca="false">IF(OR(Tasks[[#This Row],[_ConstraintCode]]=2,Tasks[[#This Row],[_ConstraintCode]]=3,Tasks[[#This Row],[_ConstraintCode]]=4,Tasks[[#This Row],[_ConstraintCode]]=6),Tasks[[#This Row],[_ConstraintStart]],0)</f>
        <v>0</v>
      </c>
      <c r="CP191" s="91" t="n">
        <f aca="false">IF(OR(Tasks[[#This Row],[_ConstraintCode]]=2,Tasks[[#This Row],[_ConstraintCode]]=3,Tasks[[#This Row],[_ConstraintCode]]=5,Tasks[[#This Row],[_ConstraintCode]]=7),Tasks[[#This Row],[_ConstraintStart]],2958465)</f>
        <v>2958465</v>
      </c>
      <c r="CQ1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91" t="str">
        <f aca="false">IF(NOT(Tasks[[#This Row],[_IsLeaf]]=1),"",IF(N(Tasks[[#This Row],[_Days]])&lt;=0,Tasks[[#This Row],[_LeafCalcStart]],WORKDAY.INTL(Tasks[[#This Row],[_LeafCalcStart]],Tasks[[#This Row],[_Days]]-1,WorkWeek,Holidays)))</f>
        <v/>
      </c>
      <c r="CS1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3" t="str">
        <f aca="false">IF(Tasks[[#This Row],[_Predecessors]]="","",TRIM(MID(SUBSTITUTE(SUBSTITUTE(SUBSTITUTE(UPPER(Tasks[[#This Row],[_Predecessors]]),";",",")," ",""),",",REPT(" ",99)),1,99)))</f>
        <v/>
      </c>
      <c r="CV191" s="43" t="str">
        <f aca="false">IF(Tasks[[#This Row],[_Pred1Text]]="","",IFERROR(VALUE(LEFT(Tasks[[#This Row],[_Pred1Text]],MIN(FIND("F",Tasks[[#This Row],[_Pred1Text]]&amp;"F"),FIND("S",Tasks[[#This Row],[_Pred1Text]]&amp;"S"),FIND("+",Tasks[[#This Row],[_Pred1Text]]&amp;"+"),FIND("-",Tasks[[#This Row],[_Pred1Text]]&amp;"-"))-1)),""))</f>
        <v/>
      </c>
      <c r="CW1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3" t="str">
        <f aca="false">IF(Tasks[[#This Row],[_Pred1Text]]="","",TRIM(MID(SUBSTITUTE(SUBSTITUTE(SUBSTITUTE(UPPER(Tasks[[#This Row],[_Predecessors]]),";",",")," ",""),",",REPT(" ",99)),100,99)))</f>
        <v/>
      </c>
      <c r="CZ191" s="43" t="str">
        <f aca="false">IF(Tasks[[#This Row],[_Pred2Text]]="","",IFERROR(VALUE(LEFT(Tasks[[#This Row],[_Pred2Text]],MIN(FIND("F",Tasks[[#This Row],[_Pred2Text]]&amp;"F"),FIND("S",Tasks[[#This Row],[_Pred2Text]]&amp;"S"),FIND("+",Tasks[[#This Row],[_Pred2Text]]&amp;"+"),FIND("-",Tasks[[#This Row],[_Pred2Text]]&amp;"-"))-1)),""))</f>
        <v/>
      </c>
      <c r="DA1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3" t="str">
        <f aca="false">IF(Tasks[[#This Row],[_Pred2Text]]="","",TRIM(MID(SUBSTITUTE(SUBSTITUTE(SUBSTITUTE(UPPER(Tasks[[#This Row],[_Predecessors]]),";",",")," ",""),",",REPT(" ",99)),199,99)))</f>
        <v/>
      </c>
      <c r="DD191" s="43" t="str">
        <f aca="false">IF(Tasks[[#This Row],[_Pred3Text]]="","",IFERROR(VALUE(LEFT(Tasks[[#This Row],[_Pred3Text]],MIN(FIND("F",Tasks[[#This Row],[_Pred3Text]]&amp;"F"),FIND("S",Tasks[[#This Row],[_Pred3Text]]&amp;"S"),FIND("+",Tasks[[#This Row],[_Pred3Text]]&amp;"+"),FIND("-",Tasks[[#This Row],[_Pred3Text]]&amp;"-"))-1)),""))</f>
        <v/>
      </c>
      <c r="DE1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3" t="str">
        <f aca="false">IF(Tasks[[#This Row],[_Pred3Text]]="","",TRIM(MID(SUBSTITUTE(SUBSTITUTE(SUBSTITUTE(UPPER(Tasks[[#This Row],[_Predecessors]]),";",",")," ",""),",",REPT(" ",99)),298,99)))</f>
        <v/>
      </c>
      <c r="DH191" s="43" t="str">
        <f aca="false">IF(Tasks[[#This Row],[_Pred4Text]]="","",IFERROR(VALUE(LEFT(Tasks[[#This Row],[_Pred4Text]],MIN(FIND("F",Tasks[[#This Row],[_Pred4Text]]&amp;"F"),FIND("S",Tasks[[#This Row],[_Pred4Text]]&amp;"S"),FIND("+",Tasks[[#This Row],[_Pred4Text]]&amp;"+"),FIND("-",Tasks[[#This Row],[_Pred4Text]]&amp;"-"))-1)),""))</f>
        <v/>
      </c>
      <c r="DI1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3" t="str">
        <f aca="false">IF(OR(Tasks[[#This Row],[Task Name]]="",Tasks[[#This Row],[_Resources]]=""),"",TRIM(MID(SUBSTITUTE(Tasks[[#This Row],[_Resources]],",",REPT(" ",99)),1,99)))</f>
        <v/>
      </c>
      <c r="DL191" s="43" t="str">
        <f aca="false">IF(Tasks[[#This Row],[_Res1Text]]="","",TRIM(MID(SUBSTITUTE(Tasks[[#This Row],[_Resources]],",",REPT(" ",99)),100,99)))</f>
        <v/>
      </c>
      <c r="DM191" s="43" t="str">
        <f aca="false">IF(Tasks[[#This Row],[_Res2Text]]="","",TRIM(MID(SUBSTITUTE(Tasks[[#This Row],[_Resources]],",",REPT(" ",99)),199,99)))</f>
        <v/>
      </c>
      <c r="DN191" s="43" t="str">
        <f aca="false">IF(Tasks[[#This Row],[_Res3Text]]="","",TRIM(MID(SUBSTITUTE(Tasks[[#This Row],[_Resources]],",",REPT(" ",99)),298,99)))</f>
        <v/>
      </c>
      <c r="DO191" s="43" t="n">
        <f aca="false">IF(Tasks[[#This Row],[_Res1Text]]="",0,IFERROR(MATCH(TRIM(LEFT(Tasks[[#This Row],[_Res1Text]],FIND("[",Tasks[[#This Row],[_Res1Text]]&amp;"[")-1)),res_Name,0),IFERROR(MATCH(TRIM(LEFT(Tasks[[#This Row],[_Res1Text]],FIND("[",Tasks[[#This Row],[_Res1Text]]&amp;"[")-1)),res_Initials,0),0)))</f>
        <v>0</v>
      </c>
      <c r="DP191" s="43" t="n">
        <f aca="false">IF(Tasks[[#This Row],[_Res2Text]]="",0,IFERROR(MATCH(TRIM(LEFT(Tasks[[#This Row],[_Res2Text]],FIND("[",Tasks[[#This Row],[_Res2Text]]&amp;"[")-1)),res_Name,0),IFERROR(MATCH(TRIM(LEFT(Tasks[[#This Row],[_Res2Text]],FIND("[",Tasks[[#This Row],[_Res2Text]]&amp;"[")-1)),res_Initials,0),0)))</f>
        <v>0</v>
      </c>
      <c r="DQ191" s="43" t="n">
        <f aca="false">IF(Tasks[[#This Row],[_Res3Text]]="",0,IFERROR(MATCH(TRIM(LEFT(Tasks[[#This Row],[_Res3Text]],FIND("[",Tasks[[#This Row],[_Res3Text]]&amp;"[")-1)),res_Name,0),IFERROR(MATCH(TRIM(LEFT(Tasks[[#This Row],[_Res3Text]],FIND("[",Tasks[[#This Row],[_Res3Text]]&amp;"[")-1)),res_Initials,0),0)))</f>
        <v>0</v>
      </c>
      <c r="DR191" s="43" t="n">
        <f aca="false">IF(Tasks[[#This Row],[_Res4Text]]="",0,IFERROR(MATCH(TRIM(LEFT(Tasks[[#This Row],[_Res4Text]],FIND("[",Tasks[[#This Row],[_Res4Text]]&amp;"[")-1)),res_Name,0),IFERROR(MATCH(TRIM(LEFT(Tasks[[#This Row],[_Res4Text]],FIND("[",Tasks[[#This Row],[_Res4Text]]&amp;"[")-1)),res_Initials,0),0)))</f>
        <v>0</v>
      </c>
      <c r="DS191" s="43" t="str">
        <f aca="false">IF(Tasks[[#This Row],[_Res1Text]]="","",IF(Tasks[[#This Row],[_Res1Row]]&gt;0,INDEX(res_Name,Tasks[[#This Row],[_Res1Row]]),TRIM(LEFT(Tasks[[#This Row],[_Res1Text]],FIND("[",Tasks[[#This Row],[_Res1Text]]&amp;"[")-1))))</f>
        <v/>
      </c>
      <c r="DT1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3" t="n">
        <f aca="false">IF(NOT(Tasks[[#This Row],[_IsLeaf]]=1),0,(Tasks[[#This Row],[_Resource1]]&lt;&gt;"")+(Tasks[[#This Row],[_Res2]]&lt;&gt;"")+(Tasks[[#This Row],[_Res3]]&lt;&gt;"")+(Tasks[[#This Row],[_Res4]]&lt;&gt;""))</f>
        <v>0</v>
      </c>
      <c r="DV191" s="43" t="str">
        <f aca="false">IF(Tasks[[#This Row],[_Res2Text]]="","",IF(Tasks[[#This Row],[_Res2Row]]&gt;0,INDEX(res_Name,Tasks[[#This Row],[_Res2Row]]),TRIM(LEFT(Tasks[[#This Row],[_Res2Text]],FIND("[",Tasks[[#This Row],[_Res2Text]]&amp;"[")-1))))</f>
        <v/>
      </c>
      <c r="DW1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3" t="n">
        <f aca="false">IF(OR(NOT(Tasks[[#This Row],[_IsLeaf]]=1),Tasks[[#This Row],[_Res2Row]]=0),0,N(Tasks[[#This Row],[_Days]])*HoursPerDay*IF(Tasks[[#This Row],[_Res2Units]]="",DefaultUnits,Tasks[[#This Row],[_Res2Units]]))</f>
        <v>0</v>
      </c>
      <c r="DY191" s="43" t="n">
        <f aca="false">IF(AND(AND(Tasks[[#This Row],[_IsLeaf]]=1,Tasks[[#This Row],[_LeafTotalWork]]&gt;0),Tasks[[#This Row],[_Res2Work]]&gt;0),Tasks[[#This Row],[_Res2Work]]/(Tasks[[#This Row],[_FinishWorkday]]-Tasks[[#This Row],[_StartWorkday]]+1),0)</f>
        <v>0</v>
      </c>
      <c r="DZ191" s="43" t="n">
        <f aca="false">Tasks[[#This Row],[_Res2WorkPerWD]]*MAX(0,Tasks[[#This Row],[_StartWorkday]]-1)</f>
        <v>0</v>
      </c>
      <c r="EA191" s="43" t="n">
        <f aca="false">Tasks[[#This Row],[_Res2Work]]*Tasks[[#This Row],[_LeafProgress]]</f>
        <v>0</v>
      </c>
      <c r="EB191" s="43" t="str">
        <f aca="false">IF(Tasks[[#This Row],[_Res3Text]]="","",IF(Tasks[[#This Row],[_Res3Row]]&gt;0,INDEX(res_Name,Tasks[[#This Row],[_Res3Row]]),TRIM(LEFT(Tasks[[#This Row],[_Res3Text]],FIND("[",Tasks[[#This Row],[_Res3Text]]&amp;"[")-1))))</f>
        <v/>
      </c>
      <c r="EC1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3" t="n">
        <f aca="false">IF(OR(NOT(Tasks[[#This Row],[_IsLeaf]]=1),Tasks[[#This Row],[_Res3Row]]=0),0,N(Tasks[[#This Row],[_Days]])*HoursPerDay*IF(Tasks[[#This Row],[_Res3Units]]="",DefaultUnits,Tasks[[#This Row],[_Res3Units]]))</f>
        <v>0</v>
      </c>
      <c r="EE191" s="43" t="n">
        <f aca="false">IF(AND(AND(Tasks[[#This Row],[_IsLeaf]]=1,Tasks[[#This Row],[_LeafTotalWork]]&gt;0),Tasks[[#This Row],[_Res3Work]]&gt;0),Tasks[[#This Row],[_Res3Work]]/(Tasks[[#This Row],[_FinishWorkday]]-Tasks[[#This Row],[_StartWorkday]]+1),0)</f>
        <v>0</v>
      </c>
      <c r="EF191" s="43" t="n">
        <f aca="false">Tasks[[#This Row],[_Res3WorkPerWD]]*MAX(0,Tasks[[#This Row],[_StartWorkday]]-1)</f>
        <v>0</v>
      </c>
      <c r="EG191" s="43" t="n">
        <f aca="false">Tasks[[#This Row],[_Res3Work]]*Tasks[[#This Row],[_LeafProgress]]</f>
        <v>0</v>
      </c>
      <c r="EH191" s="43" t="str">
        <f aca="false">IF(Tasks[[#This Row],[_Res4Text]]="","",IF(Tasks[[#This Row],[_Res4Row]]&gt;0,INDEX(res_Name,Tasks[[#This Row],[_Res4Row]]),TRIM(LEFT(Tasks[[#This Row],[_Res4Text]],FIND("[",Tasks[[#This Row],[_Res4Text]]&amp;"[")-1))))</f>
        <v/>
      </c>
      <c r="EI1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3" t="n">
        <f aca="false">IF(OR(NOT(Tasks[[#This Row],[_IsLeaf]]=1),Tasks[[#This Row],[_Res4Row]]=0),0,N(Tasks[[#This Row],[_Days]])*HoursPerDay*IF(Tasks[[#This Row],[_Res4Units]]="",DefaultUnits,Tasks[[#This Row],[_Res4Units]]))</f>
        <v>0</v>
      </c>
      <c r="EK191" s="43" t="n">
        <f aca="false">IF(AND(AND(Tasks[[#This Row],[_IsLeaf]]=1,Tasks[[#This Row],[_LeafTotalWork]]&gt;0),Tasks[[#This Row],[_Res4Work]]&gt;0),Tasks[[#This Row],[_Res4Work]]/(Tasks[[#This Row],[_FinishWorkday]]-Tasks[[#This Row],[_StartWorkday]]+1),0)</f>
        <v>0</v>
      </c>
      <c r="EL191" s="43" t="n">
        <f aca="false">Tasks[[#This Row],[_Res4WorkPerWD]]*MAX(0,Tasks[[#This Row],[_StartWorkday]]-1)</f>
        <v>0</v>
      </c>
      <c r="EM191" s="43" t="n">
        <f aca="false">Tasks[[#This Row],[_Res4Work]]*Tasks[[#This Row],[_LeafProgress]]</f>
        <v>0</v>
      </c>
      <c r="EN191" s="43" t="n">
        <f aca="false">IF(ISNUMBER(Tasks[[#This Row],[% Complete]]),Tasks[[#This Row],[% Complete]],IF(Tasks[[#This Row],[Stage]]="",0,IFERROR(INDEX(stg_Pct,MATCH(Tasks[[#This Row],[Stage]],stg_Name,0)),0)))</f>
        <v>0</v>
      </c>
      <c r="EO191" s="43" t="n">
        <f aca="false">IF(NOT(Tasks[[#This Row],[_IsLeaf]]=1),0,IF(N(Tasks[[#This Row],[Actual Finish]])&gt;0,1,MIN(1,Tasks[[#This Row],[_Pct]])))</f>
        <v>0</v>
      </c>
      <c r="EP191" s="43" t="n">
        <f aca="false">IF(OR(NOT(Tasks[[#This Row],[_IsLeaf]]=1),Tasks[[#This Row],[_Res1Row]]=0),0,N(Tasks[[#This Row],[_Days]])*HoursPerDay*IF(Tasks[[#This Row],[_Units1]]="",DefaultUnits,Tasks[[#This Row],[_Units1]]))</f>
        <v>0</v>
      </c>
      <c r="EQ191" s="43" t="n">
        <f aca="false">Tasks[[#This Row],[_LeafWork]]+Tasks[[#This Row],[_Res2Work]]+Tasks[[#This Row],[_Res3Work]]+Tasks[[#This Row],[_Res4Work]]</f>
        <v>0</v>
      </c>
      <c r="ER1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3" t="n">
        <f aca="false">IF(NOT(Tasks[[#This Row],[_IsLeaf]]=1),0,MAX(_xlfn.MAXIFS(Tasks[_Row],Tasks[_Pred1UID],Tasks[[#This Row],[UID]]),_xlfn.MAXIFS(Tasks[_Row],Tasks[_Pred2UID],Tasks[[#This Row],[UID]]),_xlfn.MAXIFS(Tasks[_Row],Tasks[_Pred3UID],Tasks[[#This Row],[UID]]),_xlfn.MAXIFS(Tasks[_Row],Tasks[_Pred4UID],Tasks[[#This Row],[UID]])))</f>
        <v>0</v>
      </c>
      <c r="FA1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91" t="str">
        <f aca="false">IF(NOT(Tasks[[#This Row],[_IsLeaf]]=1),"",IF(N(Tasks[[#This Row],[_Days]])&lt;=0,Tasks[[#This Row],[_LeafLateFinish]],WORKDAY.INTL(Tasks[[#This Row],[_LeafLateFinish]],-(Tasks[[#This Row],[_Days]]-1),WorkWeek,Holidays)))</f>
        <v/>
      </c>
      <c r="FD1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1" s="90" t="b">
        <f aca="false">AND(Tasks[[#This Row],[_IsLeaf]]=1,Tasks[[#This Row],[_LeafProgress]]&lt;1,N(Tasks[[#This Row],[_LeafTotalSlack]])&lt;=CriticalSlackDays)</f>
        <v>0</v>
      </c>
      <c r="FF191" s="43" t="n">
        <f aca="false">IF(AND(Tasks[[#This Row],[_IsLeaf]]=1,Tasks[[#This Row],[_ConstraintCode]]=1,Tasks[[#This Row],[Mode]]&lt;&gt;"Manual",N(Tasks[[#This Row],[Actual Start]])=0),MAX(0,N(Tasks[[#This Row],[Free Slack]])),0)</f>
        <v>0</v>
      </c>
      <c r="FG191" s="91" t="str">
        <f aca="false">IF(NOT(Tasks[[#This Row],[_IsLeaf]]=1),"",IF(Tasks[[#This Row],[_AlapShift]]=0,Tasks[[#This Row],[_LeafCalcStart]],WORKDAY.INTL(Tasks[[#This Row],[_LeafCalcStart]],Tasks[[#This Row],[_AlapShift]],WorkWeek,Holidays)))</f>
        <v/>
      </c>
      <c r="FH191" s="91" t="str">
        <f aca="false">IF(NOT(Tasks[[#This Row],[_IsLeaf]]=1),"",IF(Tasks[[#This Row],[_AlapShift]]=0,Tasks[[#This Row],[_LeafCalcFinish]],WORKDAY.INTL(Tasks[[#This Row],[_LeafCalcFinish]],Tasks[[#This Row],[_AlapShift]],WorkWeek,Holidays)))</f>
        <v/>
      </c>
      <c r="FI191" s="91" t="str">
        <f aca="false">IF(NOT(Tasks[[#This Row],[_IsLeaf]]=1),"",IF(Tasks[[#This Row],[_AlapShift]]=0,Tasks[[#This Row],[_LeafFcstStart]],WORKDAY.INTL(Tasks[[#This Row],[_LeafFcstStart]],Tasks[[#This Row],[_AlapShift]],WorkWeek,Holidays)))</f>
        <v/>
      </c>
      <c r="FJ191" s="91" t="str">
        <f aca="false">IF(NOT(Tasks[[#This Row],[_IsLeaf]]=1),"",IF(Tasks[[#This Row],[_AlapShift]]=0,Tasks[[#This Row],[_LeafFcstFinish]],WORKDAY.INTL(Tasks[[#This Row],[_LeafFcstFinish]],Tasks[[#This Row],[_AlapShift]],WorkWeek,Holidays)))</f>
        <v/>
      </c>
      <c r="FK191" s="91" t="str">
        <f aca="false">IF(Tasks[[#This Row],[Task Name]]="","",IF(Tasks[[#This Row],[_IsSummary]],MIN(INDEX(Tasks[_ShownCalcStart],Tasks[[#This Row],[_Row]]+1):INDEX(Tasks[_ShownCalcStart],Tasks[[#This Row],[_Row]]+Tasks[[#This Row],[_Descendants]])),Tasks[[#This Row],[_ShownCalcStart]]))</f>
        <v/>
      </c>
      <c r="FL191" s="91" t="str">
        <f aca="false">IF(Tasks[[#This Row],[Task Name]]="","",IF(Tasks[[#This Row],[_IsSummary]],MAX(INDEX(Tasks[_ShownCalcFinish],Tasks[[#This Row],[_Row]]+1):INDEX(Tasks[_ShownCalcFinish],Tasks[[#This Row],[_Row]]+Tasks[[#This Row],[_Descendants]])),Tasks[[#This Row],[_ShownCalcFinish]]))</f>
        <v/>
      </c>
      <c r="FM1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1" s="43" t="n">
        <f aca="false">IF(AND(Tasks[[#This Row],[_IsLeaf]]=1,Tasks[[#This Row],[_LeafTotalWork]]&gt;0),NETWORKDAYS.INTL(ProjectStart,Tasks[[#This Row],[_ShownFcstStart]],WorkWeek,Holidays),0)</f>
        <v>0</v>
      </c>
      <c r="FZ191" s="43" t="n">
        <f aca="false">IF(AND(Tasks[[#This Row],[_IsLeaf]]=1,Tasks[[#This Row],[_LeafTotalWork]]&gt;0),MAX(Tasks[[#This Row],[_StartWorkday]],NETWORKDAYS.INTL(ProjectStart,Tasks[[#This Row],[_ShownFcstFinish]],WorkWeek,Holidays)),0)</f>
        <v>0</v>
      </c>
      <c r="GA191" s="43" t="n">
        <f aca="false">IF(AND(Tasks[[#This Row],[_IsLeaf]]=1,Tasks[[#This Row],[_LeafTotalWork]]&gt;0),Tasks[[#This Row],[_LeafWork]]/(Tasks[[#This Row],[_FinishWorkday]]-Tasks[[#This Row],[_StartWorkday]]+1),0)</f>
        <v>0</v>
      </c>
      <c r="GB191" s="43" t="n">
        <f aca="false">Tasks[[#This Row],[_WorkPerWorkday]]*(Tasks[[#This Row],[_StartWorkday]]-1)</f>
        <v>-0</v>
      </c>
      <c r="GC191" s="43" t="n">
        <f aca="false">IF(Tasks[[#This Row],[_IsLeaf]]=1,MAX(N(Tasks[[#This Row],[_Days]]),0.1),0)</f>
        <v>0</v>
      </c>
      <c r="GD191" s="43" t="n">
        <f aca="false">Tasks[[#This Row],[_WeightDur]]*Tasks[[#This Row],[_LeafProgress]]</f>
        <v>0</v>
      </c>
      <c r="GE191" s="43" t="n">
        <f aca="false">Tasks[[#This Row],[_WeightDur]]*Tasks[[#This Row],[_PlannedPct]]</f>
        <v>0</v>
      </c>
      <c r="GF1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3" t="str">
        <f aca="false">IF(AND(Tasks[[#This Row],[_IsLeaf]]=1,N(Tasks[[#This Row],[_Days]])=0,Tasks[[#This Row],[_LeafProgress]]&lt;1),Tasks[[#This Row],[_ShownFcstFinish]]+Tasks[[#This Row],[_Row]]/100000,"")</f>
        <v/>
      </c>
      <c r="GH1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1" s="43" t="str">
        <f aca="false">IF(Tasks[[#This Row],[Task Name]]="","",LEFT(Tasks[[#This Row],[WBS]],FIND(".",Tasks[[#This Row],[WBS]]&amp;".")-1))</f>
        <v/>
      </c>
      <c r="GJ191" s="43" t="str">
        <f aca="false">IF(AND(Tasks[[#This Row],[Task Name]]&lt;&gt;"",Tasks[[#This Row],[_Level]]=1),Tasks[[#This Row],[_Row]],"")</f>
        <v/>
      </c>
      <c r="GK191" s="43" t="str">
        <f aca="false">IF(AND(Tasks[[#This Row],[_IsLeaf]]=1,N(Tasks[[#This Row],[_Days]])=0),Tasks[[#This Row],[Planned Finish]]+Tasks[[#This Row],[_Row]]/100000,"")</f>
        <v/>
      </c>
      <c r="GL191" s="43" t="str">
        <f aca="false">IF(AND(Tasks[[#This Row],[_IsLeaf]]=1,Tasks[[#This Row],[_LeafProgress]]&lt;1,OR(N(Tasks[[#This Row],[Finish Var]])&gt;0,Tasks[[#This Row],[Status]]="Late Start")),MAX(0,Tasks[[#This Row],[Finish Var]])+1-Tasks[[#This Row],[_Row]]/1000000,"")</f>
        <v/>
      </c>
      <c r="GM191" s="43" t="str">
        <f aca="false">IF(AND(Tasks[[#This Row],[_IsLeaf]]=1,N(Tasks[[#This Row],[Actual Start]])=0,Tasks[[#This Row],[_ShownFcstStart]]&gt;=StatusDate,Tasks[[#This Row],[_ShownFcstStart]]&lt;=LookaheadEnd),Tasks[[#This Row],[_ShownFcstStart]]+Tasks[[#This Row],[_Row]]/100000,"")</f>
        <v/>
      </c>
      <c r="GN191" s="43" t="str">
        <f aca="false">IF(AND(Tasks[[#This Row],[_IsLeaf]]=1,Tasks[[#This Row],[_LeafProgress]]&lt;1,Tasks[[#This Row],[_ShownFcstFinish]]&gt;=StatusDate,Tasks[[#This Row],[_ShownFcstFinish]]&lt;=LookaheadEnd),Tasks[[#This Row],[_ShownFcstFinish]]+Tasks[[#This Row],[_Row]]/100000,"")</f>
        <v/>
      </c>
      <c r="GO191" s="43" t="str">
        <f aca="false">IF(Tasks[[#This Row],[_LeafCritical]],Tasks[[#This Row],[_ShownFcstStart]]+Tasks[[#This Row],[_Row]]/100000,"")</f>
        <v/>
      </c>
      <c r="GP191" s="43" t="n">
        <f aca="false">Tasks[[#This Row],[_LeafWork]]*Tasks[[#This Row],[_LeafProgress]]</f>
        <v>0</v>
      </c>
      <c r="GQ191" s="91" t="str">
        <f aca="false">IF(AND(Tasks[[#This Row],[_IsLeaf]]=1,Tasks[[#This Row],[_LeafProgress]]&gt;=1),IF(N(Tasks[[#This Row],[Actual Finish]])&gt;0,Tasks[[#This Row],[Actual Finish]],Tasks[[#This Row],[_ShownFcstFinish]]),"")</f>
        <v/>
      </c>
      <c r="GR191" s="43" t="n">
        <f aca="false">IF(Tasks[[#This Row],[_IsLeaf]]=1,N(Tasks[[#This Row],[Story Points]]),0)</f>
        <v>0</v>
      </c>
      <c r="GS191" s="43" t="str">
        <f aca="false">""</f>
        <v/>
      </c>
      <c r="GT191" s="90" t="b">
        <f aca="false">IF(Tasks[[#This Row],[Task Name]]="",FALSE(),AND(Tasks[[#This Row],[_IsLeaf]]=1,N(Tasks[[#This Row],[_Days]])=0))</f>
        <v>0</v>
      </c>
      <c r="GU191" s="91" t="n">
        <f aca="false">IF(Tasks[[#This Row],[Task Name]]="",0,IF(AND(Tasks[[#This Row],[_IsLeaf]]=1,NOT(Tasks[[#This Row],[_IsMilestone]]),N(Tasks[[#This Row],[Progress]])&gt;0),Tasks[[#This Row],[Start]],0))</f>
        <v>0</v>
      </c>
      <c r="GV191" s="91" t="n">
        <f aca="false">IF(Tasks[[#This Row],[_DoneFrom]]=0,0,IF(Tasks[[#This Row],[Progress]]&gt;=1,Tasks[[#This Row],[Finish]],MAX(Tasks[[#This Row],[_DoneFrom]],Tasks[[#This Row],[Start]]+ROUND((Tasks[[#This Row],[Finish]]-Tasks[[#This Row],[Start]]+1)*Tasks[[#This Row],[Progress]],0)-1)))</f>
        <v>0</v>
      </c>
      <c r="GW191" s="91" t="n">
        <f aca="false">IF(Tasks[[#This Row],[Task Name]]="",0,IF(OR(NOT(Tasks[[#This Row],[_IsLeaf]]=1),Tasks[[#This Row],[_IsMilestone]],N(Tasks[[#This Row],[Progress]])&gt;=1),0,IF(Tasks[[#This Row],[_DoneTo]]&gt;0,Tasks[[#This Row],[_DoneTo]]+1,Tasks[[#This Row],[Start]])))</f>
        <v>0</v>
      </c>
      <c r="GX191" s="91" t="n">
        <f aca="false">IF(Tasks[[#This Row],[_RemFrom]]=0,0,Tasks[[#This Row],[Finish]])</f>
        <v>0</v>
      </c>
      <c r="GY191" s="90" t="b">
        <f aca="false">IF(Tasks[[#This Row],[Task Name]]="",FALSE(),OR(NOT(BaselineSet),N(Tasks[[#This Row],[Baseline Start]])&gt;0))</f>
        <v>0</v>
      </c>
      <c r="GZ19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92" t="str">
        <f aca="false">IF(Tasks[[#This Row],[_IsLeaf]]=1,Tasks[[#This Row],[_Row]],"")</f>
        <v/>
      </c>
      <c r="HD191" s="92" t="str">
        <f aca="false">IFERROR(INDEX(Tasks[UID],SMALL(Tasks[_PickKey],Tasks[[#This Row],[_Row]]))&amp;" "&amp;INDEX(Tasks[Task Name],SMALL(Tasks[_PickKey],Tasks[[#This Row],[_Row]])),"")</f>
        <v/>
      </c>
      <c r="HE191" s="43" t="str">
        <f aca="false">IF(Tasks[[#This Row],[Task Name]]="","",IF(Tasks[[#This Row],[_IsSummary]],NETWORKDAYS.INTL(Tasks[[#This Row],[Start]],Tasks[[#This Row],[Finish]],WorkWeek,Holidays),N(Tasks[[#This Row],[_Days]])))</f>
        <v/>
      </c>
      <c r="HF191" s="43" t="n">
        <f aca="false">IF(Tasks[[#This Row],[Expected]]="",0,((Tasks[[#This Row],[Pessimistic]]-Tasks[[#This Row],[Optimistic]])/6)^2)</f>
        <v>0</v>
      </c>
      <c r="HG191" s="43" t="n">
        <f aca="false">IF(Tasks[[#This Row],[Expected]]="",0,Tasks[[#This Row],[Expected]]-N(Tasks[[#This Row],[_Days]]))</f>
        <v>0</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4"/>
      <c r="U192" s="23"/>
      <c r="V192" s="84"/>
      <c r="W192" s="23"/>
      <c r="X192" s="84"/>
      <c r="Y192" s="23"/>
      <c r="Z192" s="84"/>
      <c r="AA192" s="23"/>
      <c r="AB192" s="23"/>
      <c r="AC192" s="7"/>
      <c r="AD192" s="7"/>
      <c r="AE192" s="63" t="str">
        <f aca="false">IF(Tasks[[#This Row],[Task Name]]="","",IF(Tasks[[#This Row],[_IsSummary]],MIN(INDEX(Tasks[_ShownFcstStart],Tasks[[#This Row],[_Row]]+1):INDEX(Tasks[_ShownFcstStart],Tasks[[#This Row],[_Row]]+Tasks[[#This Row],[_Descendants]])),Tasks[[#This Row],[_ShownFcstStart]]))</f>
        <v/>
      </c>
      <c r="AF192" s="63"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2" s="7"/>
      <c r="AK192" s="22"/>
      <c r="AL192" s="23"/>
      <c r="AM192" s="7"/>
      <c r="AN192" s="47"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3" t="str">
        <f aca="false">IF(Tasks[[#This Row],[Task Name]]="","",IF(N(Tasks[[#This Row],[Baseline Start]])&gt;0,Tasks[[#This Row],[Baseline Start]],Tasks[[#This Row],[_CalcStart]]))</f>
        <v/>
      </c>
      <c r="AR192" s="63" t="str">
        <f aca="false">IF(Tasks[[#This Row],[Task Name]]="","",IF(N(Tasks[[#This Row],[Baseline Finish]])&gt;0,Tasks[[#This Row],[Baseline Finish]],Tasks[[#This Row],[_CalcFinish]]))</f>
        <v/>
      </c>
      <c r="AS192" s="47" t="str">
        <f aca="false">IF(Tasks[[#This Row],[Task Name]]="","",IF(Tasks[[#This Row],[Start]]&gt;=Tasks[[#This Row],[Planned Start]],NETWORKDAYS.INTL(Tasks[[#This Row],[Planned Start]],Tasks[[#This Row],[Start]],WorkWeek,Holidays)-1,1-NETWORKDAYS.INTL(Tasks[[#This Row],[Start]],Tasks[[#This Row],[Planned Start]],WorkWeek,Holidays)))</f>
        <v/>
      </c>
      <c r="AT192" s="63" t="str">
        <f aca="false">IF(Tasks[[#This Row],[Task Name]]="","",IF(Tasks[[#This Row],[_IsSummary]],MIN(INDEX(Tasks[_LeafLateStart],Tasks[[#This Row],[_Row]]+1):INDEX(Tasks[_LeafLateStart],Tasks[[#This Row],[_Row]]+Tasks[[#This Row],[_Descendants]])),Tasks[[#This Row],[_LeafLateStart]]))</f>
        <v/>
      </c>
      <c r="AU192" s="63" t="str">
        <f aca="false">IF(Tasks[[#This Row],[Task Name]]="","",IF(Tasks[[#This Row],[_IsSummary]],MAX(INDEX(Tasks[_LeafLateFinish],Tasks[[#This Row],[_Row]]+1):INDEX(Tasks[_LeafLateFinish],Tasks[[#This Row],[_Row]]+Tasks[[#This Row],[_Descendants]])),Tasks[[#This Row],[_LeafLateFinish]]))</f>
        <v/>
      </c>
      <c r="AV192" s="47"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5"/>
      <c r="BA1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6"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7"/>
      <c r="BJ192" s="22"/>
      <c r="BK192" s="47" t="str">
        <f aca="false">IF(OR(Tasks[[#This Row],[Task Name]]="",Tasks[[#This Row],[Baseline Duration]]=""),"",Tasks[[#This Row],[_SpanDays]]-N(Tasks[[#This Row],[Baseline Duration]]))</f>
        <v/>
      </c>
      <c r="BL192" s="86" t="str">
        <f aca="false">IF(OR(Tasks[[#This Row],[Task Name]]="",Tasks[[#This Row],[Baseline Work]]=""),"",Tasks[[#This Row],[Work]]-N(Tasks[[#This Row],[Baseline Work]]))</f>
        <v/>
      </c>
      <c r="BM192" s="63" t="str">
        <f aca="false">IF(Tasks[[#This Row],[Task Name]]="","",IF(OR(TakeBaseline="Yes",N(Tasks[[#This Row],[Baseline Start]])=0),Tasks[[#This Row],[Start]],Tasks[[#This Row],[Baseline Start]]))</f>
        <v/>
      </c>
      <c r="BN192" s="63" t="str">
        <f aca="false">IF(Tasks[[#This Row],[Task Name]]="","",IF(OR(TakeBaseline="Yes",N(Tasks[[#This Row],[Baseline Finish]])=0),Tasks[[#This Row],[Finish]],Tasks[[#This Row],[Baseline Finish]]))</f>
        <v/>
      </c>
      <c r="BO192" s="21" t="str">
        <f aca="false">IF(Tasks[[#This Row],[Task Name]]="","",IF(OR(TakeBaseline="Yes",N(Tasks[[#This Row],[Baseline Duration]])=0),Tasks[[#This Row],[_SpanDays]],Tasks[[#This Row],[Baseline Duration]]))</f>
        <v/>
      </c>
      <c r="BP192" s="86" t="str">
        <f aca="false">IF(Tasks[[#This Row],[Task Name]]="","",IF(OR(TakeBaseline="Yes",N(Tasks[[#This Row],[Baseline Work]])=0),Tasks[[#This Row],[Work]],Tasks[[#This Row],[Baseline Work]]))</f>
        <v/>
      </c>
      <c r="BQ192" s="7"/>
      <c r="BR192" s="7"/>
      <c r="BS192" s="22"/>
      <c r="BT192" s="88"/>
      <c r="BU192" s="23"/>
      <c r="BV192" s="23"/>
      <c r="BW192" s="23"/>
      <c r="BX192" s="89" t="str">
        <f aca="false">IF(AND(Tasks[[#This Row],[_IsLeaf]]=1,ISNUMBER(Tasks[[#This Row],[Optimistic]]),ISNUMBER(Tasks[[#This Row],[Pessimistic]])),ROUND((Tasks[[#This Row],[Optimistic]]+4*N(Tasks[[#This Row],[_Days]])+Tasks[[#This Row],[Pessimistic]])/6,1),"")</f>
        <v/>
      </c>
      <c r="BY192" s="87"/>
      <c r="BZ192" s="87"/>
      <c r="CA192" s="22"/>
      <c r="CB192" s="43" t="str">
        <f aca="false">IF(Tasks[[#This Row],[Task Name]]="","",MAX(1,N(Tasks[[#This Row],[Level]])))</f>
        <v/>
      </c>
      <c r="CC192" s="43" t="n">
        <f aca="false">ROW()-ROW(Tasks[[#Headers],[ID]])</f>
        <v>187</v>
      </c>
      <c r="CD192" s="43" t="n">
        <f aca="false">IF(OR(Tasks[[#This Row],[Task Name]]="",Tasks[[#This Row],[_Level]]&lt;=1),0,IFERROR(LOOKUP(2,1/(Tasks[[#Headers],[_Level]]:Tasks[[#This Row],[_Level]]=Tasks[[#This Row],[_Level]]-1),ROW(Tasks[[#Headers],[_Level]]:Tasks[[#This Row],[_Level]])),0))</f>
        <v>0</v>
      </c>
      <c r="CE192" s="43" t="n">
        <f aca="false">IFERROR(N(INDEX(Tasks[_Level],Tasks[[#This Row],[_Row]]+1)),0)</f>
        <v>0</v>
      </c>
      <c r="CF192" s="90" t="b">
        <f aca="false">AND(Tasks[[#This Row],[Task Name]]&lt;&gt;"",Tasks[[#This Row],[_NextLevel]]&gt;Tasks[[#This Row],[_Level]])</f>
        <v>0</v>
      </c>
      <c r="CG192" s="43" t="n">
        <f aca="false">IF(Tasks[[#This Row],[_IsSummary]],COUNTIF(Tasks[WBS],Tasks[[#This Row],[WBS]]&amp;".*"),0)</f>
        <v>0</v>
      </c>
      <c r="CH192" s="43" t="n">
        <f aca="false">IF(AND(Tasks[[#This Row],[Task Name]]&lt;&gt;"",NOT(Tasks[[#This Row],[_IsSummary]])),1,0)</f>
        <v>0</v>
      </c>
      <c r="CI192" s="43" t="n">
        <f aca="false">IF(N(Tasks[[#This Row],[_Pred1UID]])=0,0,IFERROR(MATCH(Tasks[[#This Row],[_Pred1UID]],Tasks[UID],0),-1))</f>
        <v>0</v>
      </c>
      <c r="CJ192" s="43" t="n">
        <f aca="false">IF(N(Tasks[[#This Row],[_Pred2UID]])=0,0,IFERROR(MATCH(Tasks[[#This Row],[_Pred2UID]],Tasks[UID],0),-1))</f>
        <v>0</v>
      </c>
      <c r="CK192" s="43" t="n">
        <f aca="false">IF(N(Tasks[[#This Row],[_Pred3UID]])=0,0,IFERROR(MATCH(Tasks[[#This Row],[_Pred3UID]],Tasks[UID],0),-1))</f>
        <v>0</v>
      </c>
      <c r="CL192" s="43" t="n">
        <f aca="false">IF(N(Tasks[[#This Row],[_Pred4UID]])=0,0,IFERROR(MATCH(Tasks[[#This Row],[_Pred4UID]],Tasks[UID],0),-1))</f>
        <v>0</v>
      </c>
      <c r="CM1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2" s="91" t="n">
        <f aca="false">IF(OR(Tasks[[#This Row],[_ConstraintCode]]=2,Tasks[[#This Row],[_ConstraintCode]]=3,Tasks[[#This Row],[_ConstraintCode]]=4,Tasks[[#This Row],[_ConstraintCode]]=6),Tasks[[#This Row],[_ConstraintStart]],0)</f>
        <v>0</v>
      </c>
      <c r="CP192" s="91" t="n">
        <f aca="false">IF(OR(Tasks[[#This Row],[_ConstraintCode]]=2,Tasks[[#This Row],[_ConstraintCode]]=3,Tasks[[#This Row],[_ConstraintCode]]=5,Tasks[[#This Row],[_ConstraintCode]]=7),Tasks[[#This Row],[_ConstraintStart]],2958465)</f>
        <v>2958465</v>
      </c>
      <c r="CQ1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91" t="str">
        <f aca="false">IF(NOT(Tasks[[#This Row],[_IsLeaf]]=1),"",IF(N(Tasks[[#This Row],[_Days]])&lt;=0,Tasks[[#This Row],[_LeafCalcStart]],WORKDAY.INTL(Tasks[[#This Row],[_LeafCalcStart]],Tasks[[#This Row],[_Days]]-1,WorkWeek,Holidays)))</f>
        <v/>
      </c>
      <c r="CS1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3" t="str">
        <f aca="false">IF(Tasks[[#This Row],[_Predecessors]]="","",TRIM(MID(SUBSTITUTE(SUBSTITUTE(SUBSTITUTE(UPPER(Tasks[[#This Row],[_Predecessors]]),";",",")," ",""),",",REPT(" ",99)),1,99)))</f>
        <v/>
      </c>
      <c r="CV192" s="43" t="str">
        <f aca="false">IF(Tasks[[#This Row],[_Pred1Text]]="","",IFERROR(VALUE(LEFT(Tasks[[#This Row],[_Pred1Text]],MIN(FIND("F",Tasks[[#This Row],[_Pred1Text]]&amp;"F"),FIND("S",Tasks[[#This Row],[_Pred1Text]]&amp;"S"),FIND("+",Tasks[[#This Row],[_Pred1Text]]&amp;"+"),FIND("-",Tasks[[#This Row],[_Pred1Text]]&amp;"-"))-1)),""))</f>
        <v/>
      </c>
      <c r="CW1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3" t="str">
        <f aca="false">IF(Tasks[[#This Row],[_Pred1Text]]="","",TRIM(MID(SUBSTITUTE(SUBSTITUTE(SUBSTITUTE(UPPER(Tasks[[#This Row],[_Predecessors]]),";",",")," ",""),",",REPT(" ",99)),100,99)))</f>
        <v/>
      </c>
      <c r="CZ192" s="43" t="str">
        <f aca="false">IF(Tasks[[#This Row],[_Pred2Text]]="","",IFERROR(VALUE(LEFT(Tasks[[#This Row],[_Pred2Text]],MIN(FIND("F",Tasks[[#This Row],[_Pred2Text]]&amp;"F"),FIND("S",Tasks[[#This Row],[_Pred2Text]]&amp;"S"),FIND("+",Tasks[[#This Row],[_Pred2Text]]&amp;"+"),FIND("-",Tasks[[#This Row],[_Pred2Text]]&amp;"-"))-1)),""))</f>
        <v/>
      </c>
      <c r="DA1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3" t="str">
        <f aca="false">IF(Tasks[[#This Row],[_Pred2Text]]="","",TRIM(MID(SUBSTITUTE(SUBSTITUTE(SUBSTITUTE(UPPER(Tasks[[#This Row],[_Predecessors]]),";",",")," ",""),",",REPT(" ",99)),199,99)))</f>
        <v/>
      </c>
      <c r="DD192" s="43" t="str">
        <f aca="false">IF(Tasks[[#This Row],[_Pred3Text]]="","",IFERROR(VALUE(LEFT(Tasks[[#This Row],[_Pred3Text]],MIN(FIND("F",Tasks[[#This Row],[_Pred3Text]]&amp;"F"),FIND("S",Tasks[[#This Row],[_Pred3Text]]&amp;"S"),FIND("+",Tasks[[#This Row],[_Pred3Text]]&amp;"+"),FIND("-",Tasks[[#This Row],[_Pred3Text]]&amp;"-"))-1)),""))</f>
        <v/>
      </c>
      <c r="DE1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3" t="str">
        <f aca="false">IF(Tasks[[#This Row],[_Pred3Text]]="","",TRIM(MID(SUBSTITUTE(SUBSTITUTE(SUBSTITUTE(UPPER(Tasks[[#This Row],[_Predecessors]]),";",",")," ",""),",",REPT(" ",99)),298,99)))</f>
        <v/>
      </c>
      <c r="DH192" s="43" t="str">
        <f aca="false">IF(Tasks[[#This Row],[_Pred4Text]]="","",IFERROR(VALUE(LEFT(Tasks[[#This Row],[_Pred4Text]],MIN(FIND("F",Tasks[[#This Row],[_Pred4Text]]&amp;"F"),FIND("S",Tasks[[#This Row],[_Pred4Text]]&amp;"S"),FIND("+",Tasks[[#This Row],[_Pred4Text]]&amp;"+"),FIND("-",Tasks[[#This Row],[_Pred4Text]]&amp;"-"))-1)),""))</f>
        <v/>
      </c>
      <c r="DI1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3" t="str">
        <f aca="false">IF(OR(Tasks[[#This Row],[Task Name]]="",Tasks[[#This Row],[_Resources]]=""),"",TRIM(MID(SUBSTITUTE(Tasks[[#This Row],[_Resources]],",",REPT(" ",99)),1,99)))</f>
        <v/>
      </c>
      <c r="DL192" s="43" t="str">
        <f aca="false">IF(Tasks[[#This Row],[_Res1Text]]="","",TRIM(MID(SUBSTITUTE(Tasks[[#This Row],[_Resources]],",",REPT(" ",99)),100,99)))</f>
        <v/>
      </c>
      <c r="DM192" s="43" t="str">
        <f aca="false">IF(Tasks[[#This Row],[_Res2Text]]="","",TRIM(MID(SUBSTITUTE(Tasks[[#This Row],[_Resources]],",",REPT(" ",99)),199,99)))</f>
        <v/>
      </c>
      <c r="DN192" s="43" t="str">
        <f aca="false">IF(Tasks[[#This Row],[_Res3Text]]="","",TRIM(MID(SUBSTITUTE(Tasks[[#This Row],[_Resources]],",",REPT(" ",99)),298,99)))</f>
        <v/>
      </c>
      <c r="DO192" s="43" t="n">
        <f aca="false">IF(Tasks[[#This Row],[_Res1Text]]="",0,IFERROR(MATCH(TRIM(LEFT(Tasks[[#This Row],[_Res1Text]],FIND("[",Tasks[[#This Row],[_Res1Text]]&amp;"[")-1)),res_Name,0),IFERROR(MATCH(TRIM(LEFT(Tasks[[#This Row],[_Res1Text]],FIND("[",Tasks[[#This Row],[_Res1Text]]&amp;"[")-1)),res_Initials,0),0)))</f>
        <v>0</v>
      </c>
      <c r="DP192" s="43" t="n">
        <f aca="false">IF(Tasks[[#This Row],[_Res2Text]]="",0,IFERROR(MATCH(TRIM(LEFT(Tasks[[#This Row],[_Res2Text]],FIND("[",Tasks[[#This Row],[_Res2Text]]&amp;"[")-1)),res_Name,0),IFERROR(MATCH(TRIM(LEFT(Tasks[[#This Row],[_Res2Text]],FIND("[",Tasks[[#This Row],[_Res2Text]]&amp;"[")-1)),res_Initials,0),0)))</f>
        <v>0</v>
      </c>
      <c r="DQ192" s="43" t="n">
        <f aca="false">IF(Tasks[[#This Row],[_Res3Text]]="",0,IFERROR(MATCH(TRIM(LEFT(Tasks[[#This Row],[_Res3Text]],FIND("[",Tasks[[#This Row],[_Res3Text]]&amp;"[")-1)),res_Name,0),IFERROR(MATCH(TRIM(LEFT(Tasks[[#This Row],[_Res3Text]],FIND("[",Tasks[[#This Row],[_Res3Text]]&amp;"[")-1)),res_Initials,0),0)))</f>
        <v>0</v>
      </c>
      <c r="DR192" s="43" t="n">
        <f aca="false">IF(Tasks[[#This Row],[_Res4Text]]="",0,IFERROR(MATCH(TRIM(LEFT(Tasks[[#This Row],[_Res4Text]],FIND("[",Tasks[[#This Row],[_Res4Text]]&amp;"[")-1)),res_Name,0),IFERROR(MATCH(TRIM(LEFT(Tasks[[#This Row],[_Res4Text]],FIND("[",Tasks[[#This Row],[_Res4Text]]&amp;"[")-1)),res_Initials,0),0)))</f>
        <v>0</v>
      </c>
      <c r="DS192" s="43" t="str">
        <f aca="false">IF(Tasks[[#This Row],[_Res1Text]]="","",IF(Tasks[[#This Row],[_Res1Row]]&gt;0,INDEX(res_Name,Tasks[[#This Row],[_Res1Row]]),TRIM(LEFT(Tasks[[#This Row],[_Res1Text]],FIND("[",Tasks[[#This Row],[_Res1Text]]&amp;"[")-1))))</f>
        <v/>
      </c>
      <c r="DT1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3" t="n">
        <f aca="false">IF(NOT(Tasks[[#This Row],[_IsLeaf]]=1),0,(Tasks[[#This Row],[_Resource1]]&lt;&gt;"")+(Tasks[[#This Row],[_Res2]]&lt;&gt;"")+(Tasks[[#This Row],[_Res3]]&lt;&gt;"")+(Tasks[[#This Row],[_Res4]]&lt;&gt;""))</f>
        <v>0</v>
      </c>
      <c r="DV192" s="43" t="str">
        <f aca="false">IF(Tasks[[#This Row],[_Res2Text]]="","",IF(Tasks[[#This Row],[_Res2Row]]&gt;0,INDEX(res_Name,Tasks[[#This Row],[_Res2Row]]),TRIM(LEFT(Tasks[[#This Row],[_Res2Text]],FIND("[",Tasks[[#This Row],[_Res2Text]]&amp;"[")-1))))</f>
        <v/>
      </c>
      <c r="DW1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3" t="n">
        <f aca="false">IF(OR(NOT(Tasks[[#This Row],[_IsLeaf]]=1),Tasks[[#This Row],[_Res2Row]]=0),0,N(Tasks[[#This Row],[_Days]])*HoursPerDay*IF(Tasks[[#This Row],[_Res2Units]]="",DefaultUnits,Tasks[[#This Row],[_Res2Units]]))</f>
        <v>0</v>
      </c>
      <c r="DY192" s="43" t="n">
        <f aca="false">IF(AND(AND(Tasks[[#This Row],[_IsLeaf]]=1,Tasks[[#This Row],[_LeafTotalWork]]&gt;0),Tasks[[#This Row],[_Res2Work]]&gt;0),Tasks[[#This Row],[_Res2Work]]/(Tasks[[#This Row],[_FinishWorkday]]-Tasks[[#This Row],[_StartWorkday]]+1),0)</f>
        <v>0</v>
      </c>
      <c r="DZ192" s="43" t="n">
        <f aca="false">Tasks[[#This Row],[_Res2WorkPerWD]]*MAX(0,Tasks[[#This Row],[_StartWorkday]]-1)</f>
        <v>0</v>
      </c>
      <c r="EA192" s="43" t="n">
        <f aca="false">Tasks[[#This Row],[_Res2Work]]*Tasks[[#This Row],[_LeafProgress]]</f>
        <v>0</v>
      </c>
      <c r="EB192" s="43" t="str">
        <f aca="false">IF(Tasks[[#This Row],[_Res3Text]]="","",IF(Tasks[[#This Row],[_Res3Row]]&gt;0,INDEX(res_Name,Tasks[[#This Row],[_Res3Row]]),TRIM(LEFT(Tasks[[#This Row],[_Res3Text]],FIND("[",Tasks[[#This Row],[_Res3Text]]&amp;"[")-1))))</f>
        <v/>
      </c>
      <c r="EC1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3" t="n">
        <f aca="false">IF(OR(NOT(Tasks[[#This Row],[_IsLeaf]]=1),Tasks[[#This Row],[_Res3Row]]=0),0,N(Tasks[[#This Row],[_Days]])*HoursPerDay*IF(Tasks[[#This Row],[_Res3Units]]="",DefaultUnits,Tasks[[#This Row],[_Res3Units]]))</f>
        <v>0</v>
      </c>
      <c r="EE192" s="43" t="n">
        <f aca="false">IF(AND(AND(Tasks[[#This Row],[_IsLeaf]]=1,Tasks[[#This Row],[_LeafTotalWork]]&gt;0),Tasks[[#This Row],[_Res3Work]]&gt;0),Tasks[[#This Row],[_Res3Work]]/(Tasks[[#This Row],[_FinishWorkday]]-Tasks[[#This Row],[_StartWorkday]]+1),0)</f>
        <v>0</v>
      </c>
      <c r="EF192" s="43" t="n">
        <f aca="false">Tasks[[#This Row],[_Res3WorkPerWD]]*MAX(0,Tasks[[#This Row],[_StartWorkday]]-1)</f>
        <v>0</v>
      </c>
      <c r="EG192" s="43" t="n">
        <f aca="false">Tasks[[#This Row],[_Res3Work]]*Tasks[[#This Row],[_LeafProgress]]</f>
        <v>0</v>
      </c>
      <c r="EH192" s="43" t="str">
        <f aca="false">IF(Tasks[[#This Row],[_Res4Text]]="","",IF(Tasks[[#This Row],[_Res4Row]]&gt;0,INDEX(res_Name,Tasks[[#This Row],[_Res4Row]]),TRIM(LEFT(Tasks[[#This Row],[_Res4Text]],FIND("[",Tasks[[#This Row],[_Res4Text]]&amp;"[")-1))))</f>
        <v/>
      </c>
      <c r="EI1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3" t="n">
        <f aca="false">IF(OR(NOT(Tasks[[#This Row],[_IsLeaf]]=1),Tasks[[#This Row],[_Res4Row]]=0),0,N(Tasks[[#This Row],[_Days]])*HoursPerDay*IF(Tasks[[#This Row],[_Res4Units]]="",DefaultUnits,Tasks[[#This Row],[_Res4Units]]))</f>
        <v>0</v>
      </c>
      <c r="EK192" s="43" t="n">
        <f aca="false">IF(AND(AND(Tasks[[#This Row],[_IsLeaf]]=1,Tasks[[#This Row],[_LeafTotalWork]]&gt;0),Tasks[[#This Row],[_Res4Work]]&gt;0),Tasks[[#This Row],[_Res4Work]]/(Tasks[[#This Row],[_FinishWorkday]]-Tasks[[#This Row],[_StartWorkday]]+1),0)</f>
        <v>0</v>
      </c>
      <c r="EL192" s="43" t="n">
        <f aca="false">Tasks[[#This Row],[_Res4WorkPerWD]]*MAX(0,Tasks[[#This Row],[_StartWorkday]]-1)</f>
        <v>0</v>
      </c>
      <c r="EM192" s="43" t="n">
        <f aca="false">Tasks[[#This Row],[_Res4Work]]*Tasks[[#This Row],[_LeafProgress]]</f>
        <v>0</v>
      </c>
      <c r="EN192" s="43" t="n">
        <f aca="false">IF(ISNUMBER(Tasks[[#This Row],[% Complete]]),Tasks[[#This Row],[% Complete]],IF(Tasks[[#This Row],[Stage]]="",0,IFERROR(INDEX(stg_Pct,MATCH(Tasks[[#This Row],[Stage]],stg_Name,0)),0)))</f>
        <v>0</v>
      </c>
      <c r="EO192" s="43" t="n">
        <f aca="false">IF(NOT(Tasks[[#This Row],[_IsLeaf]]=1),0,IF(N(Tasks[[#This Row],[Actual Finish]])&gt;0,1,MIN(1,Tasks[[#This Row],[_Pct]])))</f>
        <v>0</v>
      </c>
      <c r="EP192" s="43" t="n">
        <f aca="false">IF(OR(NOT(Tasks[[#This Row],[_IsLeaf]]=1),Tasks[[#This Row],[_Res1Row]]=0),0,N(Tasks[[#This Row],[_Days]])*HoursPerDay*IF(Tasks[[#This Row],[_Units1]]="",DefaultUnits,Tasks[[#This Row],[_Units1]]))</f>
        <v>0</v>
      </c>
      <c r="EQ192" s="43" t="n">
        <f aca="false">Tasks[[#This Row],[_LeafWork]]+Tasks[[#This Row],[_Res2Work]]+Tasks[[#This Row],[_Res3Work]]+Tasks[[#This Row],[_Res4Work]]</f>
        <v>0</v>
      </c>
      <c r="ER1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3" t="n">
        <f aca="false">IF(NOT(Tasks[[#This Row],[_IsLeaf]]=1),0,MAX(_xlfn.MAXIFS(Tasks[_Row],Tasks[_Pred1UID],Tasks[[#This Row],[UID]]),_xlfn.MAXIFS(Tasks[_Row],Tasks[_Pred2UID],Tasks[[#This Row],[UID]]),_xlfn.MAXIFS(Tasks[_Row],Tasks[_Pred3UID],Tasks[[#This Row],[UID]]),_xlfn.MAXIFS(Tasks[_Row],Tasks[_Pred4UID],Tasks[[#This Row],[UID]])))</f>
        <v>0</v>
      </c>
      <c r="FA1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91" t="str">
        <f aca="false">IF(NOT(Tasks[[#This Row],[_IsLeaf]]=1),"",IF(N(Tasks[[#This Row],[_Days]])&lt;=0,Tasks[[#This Row],[_LeafLateFinish]],WORKDAY.INTL(Tasks[[#This Row],[_LeafLateFinish]],-(Tasks[[#This Row],[_Days]]-1),WorkWeek,Holidays)))</f>
        <v/>
      </c>
      <c r="FD1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2" s="90" t="b">
        <f aca="false">AND(Tasks[[#This Row],[_IsLeaf]]=1,Tasks[[#This Row],[_LeafProgress]]&lt;1,N(Tasks[[#This Row],[_LeafTotalSlack]])&lt;=CriticalSlackDays)</f>
        <v>0</v>
      </c>
      <c r="FF192" s="43" t="n">
        <f aca="false">IF(AND(Tasks[[#This Row],[_IsLeaf]]=1,Tasks[[#This Row],[_ConstraintCode]]=1,Tasks[[#This Row],[Mode]]&lt;&gt;"Manual",N(Tasks[[#This Row],[Actual Start]])=0),MAX(0,N(Tasks[[#This Row],[Free Slack]])),0)</f>
        <v>0</v>
      </c>
      <c r="FG192" s="91" t="str">
        <f aca="false">IF(NOT(Tasks[[#This Row],[_IsLeaf]]=1),"",IF(Tasks[[#This Row],[_AlapShift]]=0,Tasks[[#This Row],[_LeafCalcStart]],WORKDAY.INTL(Tasks[[#This Row],[_LeafCalcStart]],Tasks[[#This Row],[_AlapShift]],WorkWeek,Holidays)))</f>
        <v/>
      </c>
      <c r="FH192" s="91" t="str">
        <f aca="false">IF(NOT(Tasks[[#This Row],[_IsLeaf]]=1),"",IF(Tasks[[#This Row],[_AlapShift]]=0,Tasks[[#This Row],[_LeafCalcFinish]],WORKDAY.INTL(Tasks[[#This Row],[_LeafCalcFinish]],Tasks[[#This Row],[_AlapShift]],WorkWeek,Holidays)))</f>
        <v/>
      </c>
      <c r="FI192" s="91" t="str">
        <f aca="false">IF(NOT(Tasks[[#This Row],[_IsLeaf]]=1),"",IF(Tasks[[#This Row],[_AlapShift]]=0,Tasks[[#This Row],[_LeafFcstStart]],WORKDAY.INTL(Tasks[[#This Row],[_LeafFcstStart]],Tasks[[#This Row],[_AlapShift]],WorkWeek,Holidays)))</f>
        <v/>
      </c>
      <c r="FJ192" s="91" t="str">
        <f aca="false">IF(NOT(Tasks[[#This Row],[_IsLeaf]]=1),"",IF(Tasks[[#This Row],[_AlapShift]]=0,Tasks[[#This Row],[_LeafFcstFinish]],WORKDAY.INTL(Tasks[[#This Row],[_LeafFcstFinish]],Tasks[[#This Row],[_AlapShift]],WorkWeek,Holidays)))</f>
        <v/>
      </c>
      <c r="FK192" s="91" t="str">
        <f aca="false">IF(Tasks[[#This Row],[Task Name]]="","",IF(Tasks[[#This Row],[_IsSummary]],MIN(INDEX(Tasks[_ShownCalcStart],Tasks[[#This Row],[_Row]]+1):INDEX(Tasks[_ShownCalcStart],Tasks[[#This Row],[_Row]]+Tasks[[#This Row],[_Descendants]])),Tasks[[#This Row],[_ShownCalcStart]]))</f>
        <v/>
      </c>
      <c r="FL192" s="91" t="str">
        <f aca="false">IF(Tasks[[#This Row],[Task Name]]="","",IF(Tasks[[#This Row],[_IsSummary]],MAX(INDEX(Tasks[_ShownCalcFinish],Tasks[[#This Row],[_Row]]+1):INDEX(Tasks[_ShownCalcFinish],Tasks[[#This Row],[_Row]]+Tasks[[#This Row],[_Descendants]])),Tasks[[#This Row],[_ShownCalcFinish]]))</f>
        <v/>
      </c>
      <c r="FM1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2" s="43" t="n">
        <f aca="false">IF(AND(Tasks[[#This Row],[_IsLeaf]]=1,Tasks[[#This Row],[_LeafTotalWork]]&gt;0),NETWORKDAYS.INTL(ProjectStart,Tasks[[#This Row],[_ShownFcstStart]],WorkWeek,Holidays),0)</f>
        <v>0</v>
      </c>
      <c r="FZ192" s="43" t="n">
        <f aca="false">IF(AND(Tasks[[#This Row],[_IsLeaf]]=1,Tasks[[#This Row],[_LeafTotalWork]]&gt;0),MAX(Tasks[[#This Row],[_StartWorkday]],NETWORKDAYS.INTL(ProjectStart,Tasks[[#This Row],[_ShownFcstFinish]],WorkWeek,Holidays)),0)</f>
        <v>0</v>
      </c>
      <c r="GA192" s="43" t="n">
        <f aca="false">IF(AND(Tasks[[#This Row],[_IsLeaf]]=1,Tasks[[#This Row],[_LeafTotalWork]]&gt;0),Tasks[[#This Row],[_LeafWork]]/(Tasks[[#This Row],[_FinishWorkday]]-Tasks[[#This Row],[_StartWorkday]]+1),0)</f>
        <v>0</v>
      </c>
      <c r="GB192" s="43" t="n">
        <f aca="false">Tasks[[#This Row],[_WorkPerWorkday]]*(Tasks[[#This Row],[_StartWorkday]]-1)</f>
        <v>-0</v>
      </c>
      <c r="GC192" s="43" t="n">
        <f aca="false">IF(Tasks[[#This Row],[_IsLeaf]]=1,MAX(N(Tasks[[#This Row],[_Days]]),0.1),0)</f>
        <v>0</v>
      </c>
      <c r="GD192" s="43" t="n">
        <f aca="false">Tasks[[#This Row],[_WeightDur]]*Tasks[[#This Row],[_LeafProgress]]</f>
        <v>0</v>
      </c>
      <c r="GE192" s="43" t="n">
        <f aca="false">Tasks[[#This Row],[_WeightDur]]*Tasks[[#This Row],[_PlannedPct]]</f>
        <v>0</v>
      </c>
      <c r="GF1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3" t="str">
        <f aca="false">IF(AND(Tasks[[#This Row],[_IsLeaf]]=1,N(Tasks[[#This Row],[_Days]])=0,Tasks[[#This Row],[_LeafProgress]]&lt;1),Tasks[[#This Row],[_ShownFcstFinish]]+Tasks[[#This Row],[_Row]]/100000,"")</f>
        <v/>
      </c>
      <c r="GH1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2" s="43" t="str">
        <f aca="false">IF(Tasks[[#This Row],[Task Name]]="","",LEFT(Tasks[[#This Row],[WBS]],FIND(".",Tasks[[#This Row],[WBS]]&amp;".")-1))</f>
        <v/>
      </c>
      <c r="GJ192" s="43" t="str">
        <f aca="false">IF(AND(Tasks[[#This Row],[Task Name]]&lt;&gt;"",Tasks[[#This Row],[_Level]]=1),Tasks[[#This Row],[_Row]],"")</f>
        <v/>
      </c>
      <c r="GK192" s="43" t="str">
        <f aca="false">IF(AND(Tasks[[#This Row],[_IsLeaf]]=1,N(Tasks[[#This Row],[_Days]])=0),Tasks[[#This Row],[Planned Finish]]+Tasks[[#This Row],[_Row]]/100000,"")</f>
        <v/>
      </c>
      <c r="GL192" s="43" t="str">
        <f aca="false">IF(AND(Tasks[[#This Row],[_IsLeaf]]=1,Tasks[[#This Row],[_LeafProgress]]&lt;1,OR(N(Tasks[[#This Row],[Finish Var]])&gt;0,Tasks[[#This Row],[Status]]="Late Start")),MAX(0,Tasks[[#This Row],[Finish Var]])+1-Tasks[[#This Row],[_Row]]/1000000,"")</f>
        <v/>
      </c>
      <c r="GM192" s="43" t="str">
        <f aca="false">IF(AND(Tasks[[#This Row],[_IsLeaf]]=1,N(Tasks[[#This Row],[Actual Start]])=0,Tasks[[#This Row],[_ShownFcstStart]]&gt;=StatusDate,Tasks[[#This Row],[_ShownFcstStart]]&lt;=LookaheadEnd),Tasks[[#This Row],[_ShownFcstStart]]+Tasks[[#This Row],[_Row]]/100000,"")</f>
        <v/>
      </c>
      <c r="GN192" s="43" t="str">
        <f aca="false">IF(AND(Tasks[[#This Row],[_IsLeaf]]=1,Tasks[[#This Row],[_LeafProgress]]&lt;1,Tasks[[#This Row],[_ShownFcstFinish]]&gt;=StatusDate,Tasks[[#This Row],[_ShownFcstFinish]]&lt;=LookaheadEnd),Tasks[[#This Row],[_ShownFcstFinish]]+Tasks[[#This Row],[_Row]]/100000,"")</f>
        <v/>
      </c>
      <c r="GO192" s="43" t="str">
        <f aca="false">IF(Tasks[[#This Row],[_LeafCritical]],Tasks[[#This Row],[_ShownFcstStart]]+Tasks[[#This Row],[_Row]]/100000,"")</f>
        <v/>
      </c>
      <c r="GP192" s="43" t="n">
        <f aca="false">Tasks[[#This Row],[_LeafWork]]*Tasks[[#This Row],[_LeafProgress]]</f>
        <v>0</v>
      </c>
      <c r="GQ192" s="91" t="str">
        <f aca="false">IF(AND(Tasks[[#This Row],[_IsLeaf]]=1,Tasks[[#This Row],[_LeafProgress]]&gt;=1),IF(N(Tasks[[#This Row],[Actual Finish]])&gt;0,Tasks[[#This Row],[Actual Finish]],Tasks[[#This Row],[_ShownFcstFinish]]),"")</f>
        <v/>
      </c>
      <c r="GR192" s="43" t="n">
        <f aca="false">IF(Tasks[[#This Row],[_IsLeaf]]=1,N(Tasks[[#This Row],[Story Points]]),0)</f>
        <v>0</v>
      </c>
      <c r="GS192" s="43" t="str">
        <f aca="false">""</f>
        <v/>
      </c>
      <c r="GT192" s="90" t="b">
        <f aca="false">IF(Tasks[[#This Row],[Task Name]]="",FALSE(),AND(Tasks[[#This Row],[_IsLeaf]]=1,N(Tasks[[#This Row],[_Days]])=0))</f>
        <v>0</v>
      </c>
      <c r="GU192" s="91" t="n">
        <f aca="false">IF(Tasks[[#This Row],[Task Name]]="",0,IF(AND(Tasks[[#This Row],[_IsLeaf]]=1,NOT(Tasks[[#This Row],[_IsMilestone]]),N(Tasks[[#This Row],[Progress]])&gt;0),Tasks[[#This Row],[Start]],0))</f>
        <v>0</v>
      </c>
      <c r="GV192" s="91" t="n">
        <f aca="false">IF(Tasks[[#This Row],[_DoneFrom]]=0,0,IF(Tasks[[#This Row],[Progress]]&gt;=1,Tasks[[#This Row],[Finish]],MAX(Tasks[[#This Row],[_DoneFrom]],Tasks[[#This Row],[Start]]+ROUND((Tasks[[#This Row],[Finish]]-Tasks[[#This Row],[Start]]+1)*Tasks[[#This Row],[Progress]],0)-1)))</f>
        <v>0</v>
      </c>
      <c r="GW192" s="91" t="n">
        <f aca="false">IF(Tasks[[#This Row],[Task Name]]="",0,IF(OR(NOT(Tasks[[#This Row],[_IsLeaf]]=1),Tasks[[#This Row],[_IsMilestone]],N(Tasks[[#This Row],[Progress]])&gt;=1),0,IF(Tasks[[#This Row],[_DoneTo]]&gt;0,Tasks[[#This Row],[_DoneTo]]+1,Tasks[[#This Row],[Start]])))</f>
        <v>0</v>
      </c>
      <c r="GX192" s="91" t="n">
        <f aca="false">IF(Tasks[[#This Row],[_RemFrom]]=0,0,Tasks[[#This Row],[Finish]])</f>
        <v>0</v>
      </c>
      <c r="GY192" s="90" t="b">
        <f aca="false">IF(Tasks[[#This Row],[Task Name]]="",FALSE(),OR(NOT(BaselineSet),N(Tasks[[#This Row],[Baseline Start]])&gt;0))</f>
        <v>0</v>
      </c>
      <c r="GZ19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92" t="str">
        <f aca="false">IF(Tasks[[#This Row],[_IsLeaf]]=1,Tasks[[#This Row],[_Row]],"")</f>
        <v/>
      </c>
      <c r="HD192" s="92" t="str">
        <f aca="false">IFERROR(INDEX(Tasks[UID],SMALL(Tasks[_PickKey],Tasks[[#This Row],[_Row]]))&amp;" "&amp;INDEX(Tasks[Task Name],SMALL(Tasks[_PickKey],Tasks[[#This Row],[_Row]])),"")</f>
        <v/>
      </c>
      <c r="HE192" s="43" t="str">
        <f aca="false">IF(Tasks[[#This Row],[Task Name]]="","",IF(Tasks[[#This Row],[_IsSummary]],NETWORKDAYS.INTL(Tasks[[#This Row],[Start]],Tasks[[#This Row],[Finish]],WorkWeek,Holidays),N(Tasks[[#This Row],[_Days]])))</f>
        <v/>
      </c>
      <c r="HF192" s="43" t="n">
        <f aca="false">IF(Tasks[[#This Row],[Expected]]="",0,((Tasks[[#This Row],[Pessimistic]]-Tasks[[#This Row],[Optimistic]])/6)^2)</f>
        <v>0</v>
      </c>
      <c r="HG192" s="43" t="n">
        <f aca="false">IF(Tasks[[#This Row],[Expected]]="",0,Tasks[[#This Row],[Expected]]-N(Tasks[[#This Row],[_Days]]))</f>
        <v>0</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4"/>
      <c r="U193" s="23"/>
      <c r="V193" s="84"/>
      <c r="W193" s="23"/>
      <c r="X193" s="84"/>
      <c r="Y193" s="23"/>
      <c r="Z193" s="84"/>
      <c r="AA193" s="23"/>
      <c r="AB193" s="23"/>
      <c r="AC193" s="7"/>
      <c r="AD193" s="7"/>
      <c r="AE193" s="63" t="str">
        <f aca="false">IF(Tasks[[#This Row],[Task Name]]="","",IF(Tasks[[#This Row],[_IsSummary]],MIN(INDEX(Tasks[_ShownFcstStart],Tasks[[#This Row],[_Row]]+1):INDEX(Tasks[_ShownFcstStart],Tasks[[#This Row],[_Row]]+Tasks[[#This Row],[_Descendants]])),Tasks[[#This Row],[_ShownFcstStart]]))</f>
        <v/>
      </c>
      <c r="AF193" s="63"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3" s="7"/>
      <c r="AK193" s="22"/>
      <c r="AL193" s="23"/>
      <c r="AM193" s="7"/>
      <c r="AN193" s="47"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3" t="str">
        <f aca="false">IF(Tasks[[#This Row],[Task Name]]="","",IF(N(Tasks[[#This Row],[Baseline Start]])&gt;0,Tasks[[#This Row],[Baseline Start]],Tasks[[#This Row],[_CalcStart]]))</f>
        <v/>
      </c>
      <c r="AR193" s="63" t="str">
        <f aca="false">IF(Tasks[[#This Row],[Task Name]]="","",IF(N(Tasks[[#This Row],[Baseline Finish]])&gt;0,Tasks[[#This Row],[Baseline Finish]],Tasks[[#This Row],[_CalcFinish]]))</f>
        <v/>
      </c>
      <c r="AS193" s="47" t="str">
        <f aca="false">IF(Tasks[[#This Row],[Task Name]]="","",IF(Tasks[[#This Row],[Start]]&gt;=Tasks[[#This Row],[Planned Start]],NETWORKDAYS.INTL(Tasks[[#This Row],[Planned Start]],Tasks[[#This Row],[Start]],WorkWeek,Holidays)-1,1-NETWORKDAYS.INTL(Tasks[[#This Row],[Start]],Tasks[[#This Row],[Planned Start]],WorkWeek,Holidays)))</f>
        <v/>
      </c>
      <c r="AT193" s="63" t="str">
        <f aca="false">IF(Tasks[[#This Row],[Task Name]]="","",IF(Tasks[[#This Row],[_IsSummary]],MIN(INDEX(Tasks[_LeafLateStart],Tasks[[#This Row],[_Row]]+1):INDEX(Tasks[_LeafLateStart],Tasks[[#This Row],[_Row]]+Tasks[[#This Row],[_Descendants]])),Tasks[[#This Row],[_LeafLateStart]]))</f>
        <v/>
      </c>
      <c r="AU193" s="63" t="str">
        <f aca="false">IF(Tasks[[#This Row],[Task Name]]="","",IF(Tasks[[#This Row],[_IsSummary]],MAX(INDEX(Tasks[_LeafLateFinish],Tasks[[#This Row],[_Row]]+1):INDEX(Tasks[_LeafLateFinish],Tasks[[#This Row],[_Row]]+Tasks[[#This Row],[_Descendants]])),Tasks[[#This Row],[_LeafLateFinish]]))</f>
        <v/>
      </c>
      <c r="AV193" s="47"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5"/>
      <c r="BA1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6"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7"/>
      <c r="BJ193" s="22"/>
      <c r="BK193" s="47" t="str">
        <f aca="false">IF(OR(Tasks[[#This Row],[Task Name]]="",Tasks[[#This Row],[Baseline Duration]]=""),"",Tasks[[#This Row],[_SpanDays]]-N(Tasks[[#This Row],[Baseline Duration]]))</f>
        <v/>
      </c>
      <c r="BL193" s="86" t="str">
        <f aca="false">IF(OR(Tasks[[#This Row],[Task Name]]="",Tasks[[#This Row],[Baseline Work]]=""),"",Tasks[[#This Row],[Work]]-N(Tasks[[#This Row],[Baseline Work]]))</f>
        <v/>
      </c>
      <c r="BM193" s="63" t="str">
        <f aca="false">IF(Tasks[[#This Row],[Task Name]]="","",IF(OR(TakeBaseline="Yes",N(Tasks[[#This Row],[Baseline Start]])=0),Tasks[[#This Row],[Start]],Tasks[[#This Row],[Baseline Start]]))</f>
        <v/>
      </c>
      <c r="BN193" s="63" t="str">
        <f aca="false">IF(Tasks[[#This Row],[Task Name]]="","",IF(OR(TakeBaseline="Yes",N(Tasks[[#This Row],[Baseline Finish]])=0),Tasks[[#This Row],[Finish]],Tasks[[#This Row],[Baseline Finish]]))</f>
        <v/>
      </c>
      <c r="BO193" s="21" t="str">
        <f aca="false">IF(Tasks[[#This Row],[Task Name]]="","",IF(OR(TakeBaseline="Yes",N(Tasks[[#This Row],[Baseline Duration]])=0),Tasks[[#This Row],[_SpanDays]],Tasks[[#This Row],[Baseline Duration]]))</f>
        <v/>
      </c>
      <c r="BP193" s="86" t="str">
        <f aca="false">IF(Tasks[[#This Row],[Task Name]]="","",IF(OR(TakeBaseline="Yes",N(Tasks[[#This Row],[Baseline Work]])=0),Tasks[[#This Row],[Work]],Tasks[[#This Row],[Baseline Work]]))</f>
        <v/>
      </c>
      <c r="BQ193" s="7"/>
      <c r="BR193" s="7"/>
      <c r="BS193" s="22"/>
      <c r="BT193" s="88"/>
      <c r="BU193" s="23"/>
      <c r="BV193" s="23"/>
      <c r="BW193" s="23"/>
      <c r="BX193" s="89" t="str">
        <f aca="false">IF(AND(Tasks[[#This Row],[_IsLeaf]]=1,ISNUMBER(Tasks[[#This Row],[Optimistic]]),ISNUMBER(Tasks[[#This Row],[Pessimistic]])),ROUND((Tasks[[#This Row],[Optimistic]]+4*N(Tasks[[#This Row],[_Days]])+Tasks[[#This Row],[Pessimistic]])/6,1),"")</f>
        <v/>
      </c>
      <c r="BY193" s="87"/>
      <c r="BZ193" s="87"/>
      <c r="CA193" s="22"/>
      <c r="CB193" s="43" t="str">
        <f aca="false">IF(Tasks[[#This Row],[Task Name]]="","",MAX(1,N(Tasks[[#This Row],[Level]])))</f>
        <v/>
      </c>
      <c r="CC193" s="43" t="n">
        <f aca="false">ROW()-ROW(Tasks[[#Headers],[ID]])</f>
        <v>188</v>
      </c>
      <c r="CD193" s="43" t="n">
        <f aca="false">IF(OR(Tasks[[#This Row],[Task Name]]="",Tasks[[#This Row],[_Level]]&lt;=1),0,IFERROR(LOOKUP(2,1/(Tasks[[#Headers],[_Level]]:Tasks[[#This Row],[_Level]]=Tasks[[#This Row],[_Level]]-1),ROW(Tasks[[#Headers],[_Level]]:Tasks[[#This Row],[_Level]])),0))</f>
        <v>0</v>
      </c>
      <c r="CE193" s="43" t="n">
        <f aca="false">IFERROR(N(INDEX(Tasks[_Level],Tasks[[#This Row],[_Row]]+1)),0)</f>
        <v>0</v>
      </c>
      <c r="CF193" s="90" t="b">
        <f aca="false">AND(Tasks[[#This Row],[Task Name]]&lt;&gt;"",Tasks[[#This Row],[_NextLevel]]&gt;Tasks[[#This Row],[_Level]])</f>
        <v>0</v>
      </c>
      <c r="CG193" s="43" t="n">
        <f aca="false">IF(Tasks[[#This Row],[_IsSummary]],COUNTIF(Tasks[WBS],Tasks[[#This Row],[WBS]]&amp;".*"),0)</f>
        <v>0</v>
      </c>
      <c r="CH193" s="43" t="n">
        <f aca="false">IF(AND(Tasks[[#This Row],[Task Name]]&lt;&gt;"",NOT(Tasks[[#This Row],[_IsSummary]])),1,0)</f>
        <v>0</v>
      </c>
      <c r="CI193" s="43" t="n">
        <f aca="false">IF(N(Tasks[[#This Row],[_Pred1UID]])=0,0,IFERROR(MATCH(Tasks[[#This Row],[_Pred1UID]],Tasks[UID],0),-1))</f>
        <v>0</v>
      </c>
      <c r="CJ193" s="43" t="n">
        <f aca="false">IF(N(Tasks[[#This Row],[_Pred2UID]])=0,0,IFERROR(MATCH(Tasks[[#This Row],[_Pred2UID]],Tasks[UID],0),-1))</f>
        <v>0</v>
      </c>
      <c r="CK193" s="43" t="n">
        <f aca="false">IF(N(Tasks[[#This Row],[_Pred3UID]])=0,0,IFERROR(MATCH(Tasks[[#This Row],[_Pred3UID]],Tasks[UID],0),-1))</f>
        <v>0</v>
      </c>
      <c r="CL193" s="43" t="n">
        <f aca="false">IF(N(Tasks[[#This Row],[_Pred4UID]])=0,0,IFERROR(MATCH(Tasks[[#This Row],[_Pred4UID]],Tasks[UID],0),-1))</f>
        <v>0</v>
      </c>
      <c r="CM1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3" s="91" t="n">
        <f aca="false">IF(OR(Tasks[[#This Row],[_ConstraintCode]]=2,Tasks[[#This Row],[_ConstraintCode]]=3,Tasks[[#This Row],[_ConstraintCode]]=4,Tasks[[#This Row],[_ConstraintCode]]=6),Tasks[[#This Row],[_ConstraintStart]],0)</f>
        <v>0</v>
      </c>
      <c r="CP193" s="91" t="n">
        <f aca="false">IF(OR(Tasks[[#This Row],[_ConstraintCode]]=2,Tasks[[#This Row],[_ConstraintCode]]=3,Tasks[[#This Row],[_ConstraintCode]]=5,Tasks[[#This Row],[_ConstraintCode]]=7),Tasks[[#This Row],[_ConstraintStart]],2958465)</f>
        <v>2958465</v>
      </c>
      <c r="CQ1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91" t="str">
        <f aca="false">IF(NOT(Tasks[[#This Row],[_IsLeaf]]=1),"",IF(N(Tasks[[#This Row],[_Days]])&lt;=0,Tasks[[#This Row],[_LeafCalcStart]],WORKDAY.INTL(Tasks[[#This Row],[_LeafCalcStart]],Tasks[[#This Row],[_Days]]-1,WorkWeek,Holidays)))</f>
        <v/>
      </c>
      <c r="CS1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3" t="str">
        <f aca="false">IF(Tasks[[#This Row],[_Predecessors]]="","",TRIM(MID(SUBSTITUTE(SUBSTITUTE(SUBSTITUTE(UPPER(Tasks[[#This Row],[_Predecessors]]),";",",")," ",""),",",REPT(" ",99)),1,99)))</f>
        <v/>
      </c>
      <c r="CV193" s="43" t="str">
        <f aca="false">IF(Tasks[[#This Row],[_Pred1Text]]="","",IFERROR(VALUE(LEFT(Tasks[[#This Row],[_Pred1Text]],MIN(FIND("F",Tasks[[#This Row],[_Pred1Text]]&amp;"F"),FIND("S",Tasks[[#This Row],[_Pred1Text]]&amp;"S"),FIND("+",Tasks[[#This Row],[_Pred1Text]]&amp;"+"),FIND("-",Tasks[[#This Row],[_Pred1Text]]&amp;"-"))-1)),""))</f>
        <v/>
      </c>
      <c r="CW1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3" t="str">
        <f aca="false">IF(Tasks[[#This Row],[_Pred1Text]]="","",TRIM(MID(SUBSTITUTE(SUBSTITUTE(SUBSTITUTE(UPPER(Tasks[[#This Row],[_Predecessors]]),";",",")," ",""),",",REPT(" ",99)),100,99)))</f>
        <v/>
      </c>
      <c r="CZ193" s="43" t="str">
        <f aca="false">IF(Tasks[[#This Row],[_Pred2Text]]="","",IFERROR(VALUE(LEFT(Tasks[[#This Row],[_Pred2Text]],MIN(FIND("F",Tasks[[#This Row],[_Pred2Text]]&amp;"F"),FIND("S",Tasks[[#This Row],[_Pred2Text]]&amp;"S"),FIND("+",Tasks[[#This Row],[_Pred2Text]]&amp;"+"),FIND("-",Tasks[[#This Row],[_Pred2Text]]&amp;"-"))-1)),""))</f>
        <v/>
      </c>
      <c r="DA1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3" t="str">
        <f aca="false">IF(Tasks[[#This Row],[_Pred2Text]]="","",TRIM(MID(SUBSTITUTE(SUBSTITUTE(SUBSTITUTE(UPPER(Tasks[[#This Row],[_Predecessors]]),";",",")," ",""),",",REPT(" ",99)),199,99)))</f>
        <v/>
      </c>
      <c r="DD193" s="43" t="str">
        <f aca="false">IF(Tasks[[#This Row],[_Pred3Text]]="","",IFERROR(VALUE(LEFT(Tasks[[#This Row],[_Pred3Text]],MIN(FIND("F",Tasks[[#This Row],[_Pred3Text]]&amp;"F"),FIND("S",Tasks[[#This Row],[_Pred3Text]]&amp;"S"),FIND("+",Tasks[[#This Row],[_Pred3Text]]&amp;"+"),FIND("-",Tasks[[#This Row],[_Pred3Text]]&amp;"-"))-1)),""))</f>
        <v/>
      </c>
      <c r="DE1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3" t="str">
        <f aca="false">IF(Tasks[[#This Row],[_Pred3Text]]="","",TRIM(MID(SUBSTITUTE(SUBSTITUTE(SUBSTITUTE(UPPER(Tasks[[#This Row],[_Predecessors]]),";",",")," ",""),",",REPT(" ",99)),298,99)))</f>
        <v/>
      </c>
      <c r="DH193" s="43" t="str">
        <f aca="false">IF(Tasks[[#This Row],[_Pred4Text]]="","",IFERROR(VALUE(LEFT(Tasks[[#This Row],[_Pred4Text]],MIN(FIND("F",Tasks[[#This Row],[_Pred4Text]]&amp;"F"),FIND("S",Tasks[[#This Row],[_Pred4Text]]&amp;"S"),FIND("+",Tasks[[#This Row],[_Pred4Text]]&amp;"+"),FIND("-",Tasks[[#This Row],[_Pred4Text]]&amp;"-"))-1)),""))</f>
        <v/>
      </c>
      <c r="DI1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3" t="str">
        <f aca="false">IF(OR(Tasks[[#This Row],[Task Name]]="",Tasks[[#This Row],[_Resources]]=""),"",TRIM(MID(SUBSTITUTE(Tasks[[#This Row],[_Resources]],",",REPT(" ",99)),1,99)))</f>
        <v/>
      </c>
      <c r="DL193" s="43" t="str">
        <f aca="false">IF(Tasks[[#This Row],[_Res1Text]]="","",TRIM(MID(SUBSTITUTE(Tasks[[#This Row],[_Resources]],",",REPT(" ",99)),100,99)))</f>
        <v/>
      </c>
      <c r="DM193" s="43" t="str">
        <f aca="false">IF(Tasks[[#This Row],[_Res2Text]]="","",TRIM(MID(SUBSTITUTE(Tasks[[#This Row],[_Resources]],",",REPT(" ",99)),199,99)))</f>
        <v/>
      </c>
      <c r="DN193" s="43" t="str">
        <f aca="false">IF(Tasks[[#This Row],[_Res3Text]]="","",TRIM(MID(SUBSTITUTE(Tasks[[#This Row],[_Resources]],",",REPT(" ",99)),298,99)))</f>
        <v/>
      </c>
      <c r="DO193" s="43" t="n">
        <f aca="false">IF(Tasks[[#This Row],[_Res1Text]]="",0,IFERROR(MATCH(TRIM(LEFT(Tasks[[#This Row],[_Res1Text]],FIND("[",Tasks[[#This Row],[_Res1Text]]&amp;"[")-1)),res_Name,0),IFERROR(MATCH(TRIM(LEFT(Tasks[[#This Row],[_Res1Text]],FIND("[",Tasks[[#This Row],[_Res1Text]]&amp;"[")-1)),res_Initials,0),0)))</f>
        <v>0</v>
      </c>
      <c r="DP193" s="43" t="n">
        <f aca="false">IF(Tasks[[#This Row],[_Res2Text]]="",0,IFERROR(MATCH(TRIM(LEFT(Tasks[[#This Row],[_Res2Text]],FIND("[",Tasks[[#This Row],[_Res2Text]]&amp;"[")-1)),res_Name,0),IFERROR(MATCH(TRIM(LEFT(Tasks[[#This Row],[_Res2Text]],FIND("[",Tasks[[#This Row],[_Res2Text]]&amp;"[")-1)),res_Initials,0),0)))</f>
        <v>0</v>
      </c>
      <c r="DQ193" s="43" t="n">
        <f aca="false">IF(Tasks[[#This Row],[_Res3Text]]="",0,IFERROR(MATCH(TRIM(LEFT(Tasks[[#This Row],[_Res3Text]],FIND("[",Tasks[[#This Row],[_Res3Text]]&amp;"[")-1)),res_Name,0),IFERROR(MATCH(TRIM(LEFT(Tasks[[#This Row],[_Res3Text]],FIND("[",Tasks[[#This Row],[_Res3Text]]&amp;"[")-1)),res_Initials,0),0)))</f>
        <v>0</v>
      </c>
      <c r="DR193" s="43" t="n">
        <f aca="false">IF(Tasks[[#This Row],[_Res4Text]]="",0,IFERROR(MATCH(TRIM(LEFT(Tasks[[#This Row],[_Res4Text]],FIND("[",Tasks[[#This Row],[_Res4Text]]&amp;"[")-1)),res_Name,0),IFERROR(MATCH(TRIM(LEFT(Tasks[[#This Row],[_Res4Text]],FIND("[",Tasks[[#This Row],[_Res4Text]]&amp;"[")-1)),res_Initials,0),0)))</f>
        <v>0</v>
      </c>
      <c r="DS193" s="43" t="str">
        <f aca="false">IF(Tasks[[#This Row],[_Res1Text]]="","",IF(Tasks[[#This Row],[_Res1Row]]&gt;0,INDEX(res_Name,Tasks[[#This Row],[_Res1Row]]),TRIM(LEFT(Tasks[[#This Row],[_Res1Text]],FIND("[",Tasks[[#This Row],[_Res1Text]]&amp;"[")-1))))</f>
        <v/>
      </c>
      <c r="DT1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3" t="n">
        <f aca="false">IF(NOT(Tasks[[#This Row],[_IsLeaf]]=1),0,(Tasks[[#This Row],[_Resource1]]&lt;&gt;"")+(Tasks[[#This Row],[_Res2]]&lt;&gt;"")+(Tasks[[#This Row],[_Res3]]&lt;&gt;"")+(Tasks[[#This Row],[_Res4]]&lt;&gt;""))</f>
        <v>0</v>
      </c>
      <c r="DV193" s="43" t="str">
        <f aca="false">IF(Tasks[[#This Row],[_Res2Text]]="","",IF(Tasks[[#This Row],[_Res2Row]]&gt;0,INDEX(res_Name,Tasks[[#This Row],[_Res2Row]]),TRIM(LEFT(Tasks[[#This Row],[_Res2Text]],FIND("[",Tasks[[#This Row],[_Res2Text]]&amp;"[")-1))))</f>
        <v/>
      </c>
      <c r="DW1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3" t="n">
        <f aca="false">IF(OR(NOT(Tasks[[#This Row],[_IsLeaf]]=1),Tasks[[#This Row],[_Res2Row]]=0),0,N(Tasks[[#This Row],[_Days]])*HoursPerDay*IF(Tasks[[#This Row],[_Res2Units]]="",DefaultUnits,Tasks[[#This Row],[_Res2Units]]))</f>
        <v>0</v>
      </c>
      <c r="DY193" s="43" t="n">
        <f aca="false">IF(AND(AND(Tasks[[#This Row],[_IsLeaf]]=1,Tasks[[#This Row],[_LeafTotalWork]]&gt;0),Tasks[[#This Row],[_Res2Work]]&gt;0),Tasks[[#This Row],[_Res2Work]]/(Tasks[[#This Row],[_FinishWorkday]]-Tasks[[#This Row],[_StartWorkday]]+1),0)</f>
        <v>0</v>
      </c>
      <c r="DZ193" s="43" t="n">
        <f aca="false">Tasks[[#This Row],[_Res2WorkPerWD]]*MAX(0,Tasks[[#This Row],[_StartWorkday]]-1)</f>
        <v>0</v>
      </c>
      <c r="EA193" s="43" t="n">
        <f aca="false">Tasks[[#This Row],[_Res2Work]]*Tasks[[#This Row],[_LeafProgress]]</f>
        <v>0</v>
      </c>
      <c r="EB193" s="43" t="str">
        <f aca="false">IF(Tasks[[#This Row],[_Res3Text]]="","",IF(Tasks[[#This Row],[_Res3Row]]&gt;0,INDEX(res_Name,Tasks[[#This Row],[_Res3Row]]),TRIM(LEFT(Tasks[[#This Row],[_Res3Text]],FIND("[",Tasks[[#This Row],[_Res3Text]]&amp;"[")-1))))</f>
        <v/>
      </c>
      <c r="EC1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3" t="n">
        <f aca="false">IF(OR(NOT(Tasks[[#This Row],[_IsLeaf]]=1),Tasks[[#This Row],[_Res3Row]]=0),0,N(Tasks[[#This Row],[_Days]])*HoursPerDay*IF(Tasks[[#This Row],[_Res3Units]]="",DefaultUnits,Tasks[[#This Row],[_Res3Units]]))</f>
        <v>0</v>
      </c>
      <c r="EE193" s="43" t="n">
        <f aca="false">IF(AND(AND(Tasks[[#This Row],[_IsLeaf]]=1,Tasks[[#This Row],[_LeafTotalWork]]&gt;0),Tasks[[#This Row],[_Res3Work]]&gt;0),Tasks[[#This Row],[_Res3Work]]/(Tasks[[#This Row],[_FinishWorkday]]-Tasks[[#This Row],[_StartWorkday]]+1),0)</f>
        <v>0</v>
      </c>
      <c r="EF193" s="43" t="n">
        <f aca="false">Tasks[[#This Row],[_Res3WorkPerWD]]*MAX(0,Tasks[[#This Row],[_StartWorkday]]-1)</f>
        <v>0</v>
      </c>
      <c r="EG193" s="43" t="n">
        <f aca="false">Tasks[[#This Row],[_Res3Work]]*Tasks[[#This Row],[_LeafProgress]]</f>
        <v>0</v>
      </c>
      <c r="EH193" s="43" t="str">
        <f aca="false">IF(Tasks[[#This Row],[_Res4Text]]="","",IF(Tasks[[#This Row],[_Res4Row]]&gt;0,INDEX(res_Name,Tasks[[#This Row],[_Res4Row]]),TRIM(LEFT(Tasks[[#This Row],[_Res4Text]],FIND("[",Tasks[[#This Row],[_Res4Text]]&amp;"[")-1))))</f>
        <v/>
      </c>
      <c r="EI1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3" t="n">
        <f aca="false">IF(OR(NOT(Tasks[[#This Row],[_IsLeaf]]=1),Tasks[[#This Row],[_Res4Row]]=0),0,N(Tasks[[#This Row],[_Days]])*HoursPerDay*IF(Tasks[[#This Row],[_Res4Units]]="",DefaultUnits,Tasks[[#This Row],[_Res4Units]]))</f>
        <v>0</v>
      </c>
      <c r="EK193" s="43" t="n">
        <f aca="false">IF(AND(AND(Tasks[[#This Row],[_IsLeaf]]=1,Tasks[[#This Row],[_LeafTotalWork]]&gt;0),Tasks[[#This Row],[_Res4Work]]&gt;0),Tasks[[#This Row],[_Res4Work]]/(Tasks[[#This Row],[_FinishWorkday]]-Tasks[[#This Row],[_StartWorkday]]+1),0)</f>
        <v>0</v>
      </c>
      <c r="EL193" s="43" t="n">
        <f aca="false">Tasks[[#This Row],[_Res4WorkPerWD]]*MAX(0,Tasks[[#This Row],[_StartWorkday]]-1)</f>
        <v>0</v>
      </c>
      <c r="EM193" s="43" t="n">
        <f aca="false">Tasks[[#This Row],[_Res4Work]]*Tasks[[#This Row],[_LeafProgress]]</f>
        <v>0</v>
      </c>
      <c r="EN193" s="43" t="n">
        <f aca="false">IF(ISNUMBER(Tasks[[#This Row],[% Complete]]),Tasks[[#This Row],[% Complete]],IF(Tasks[[#This Row],[Stage]]="",0,IFERROR(INDEX(stg_Pct,MATCH(Tasks[[#This Row],[Stage]],stg_Name,0)),0)))</f>
        <v>0</v>
      </c>
      <c r="EO193" s="43" t="n">
        <f aca="false">IF(NOT(Tasks[[#This Row],[_IsLeaf]]=1),0,IF(N(Tasks[[#This Row],[Actual Finish]])&gt;0,1,MIN(1,Tasks[[#This Row],[_Pct]])))</f>
        <v>0</v>
      </c>
      <c r="EP193" s="43" t="n">
        <f aca="false">IF(OR(NOT(Tasks[[#This Row],[_IsLeaf]]=1),Tasks[[#This Row],[_Res1Row]]=0),0,N(Tasks[[#This Row],[_Days]])*HoursPerDay*IF(Tasks[[#This Row],[_Units1]]="",DefaultUnits,Tasks[[#This Row],[_Units1]]))</f>
        <v>0</v>
      </c>
      <c r="EQ193" s="43" t="n">
        <f aca="false">Tasks[[#This Row],[_LeafWork]]+Tasks[[#This Row],[_Res2Work]]+Tasks[[#This Row],[_Res3Work]]+Tasks[[#This Row],[_Res4Work]]</f>
        <v>0</v>
      </c>
      <c r="ER1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3" t="n">
        <f aca="false">IF(NOT(Tasks[[#This Row],[_IsLeaf]]=1),0,MAX(_xlfn.MAXIFS(Tasks[_Row],Tasks[_Pred1UID],Tasks[[#This Row],[UID]]),_xlfn.MAXIFS(Tasks[_Row],Tasks[_Pred2UID],Tasks[[#This Row],[UID]]),_xlfn.MAXIFS(Tasks[_Row],Tasks[_Pred3UID],Tasks[[#This Row],[UID]]),_xlfn.MAXIFS(Tasks[_Row],Tasks[_Pred4UID],Tasks[[#This Row],[UID]])))</f>
        <v>0</v>
      </c>
      <c r="FA1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91" t="str">
        <f aca="false">IF(NOT(Tasks[[#This Row],[_IsLeaf]]=1),"",IF(N(Tasks[[#This Row],[_Days]])&lt;=0,Tasks[[#This Row],[_LeafLateFinish]],WORKDAY.INTL(Tasks[[#This Row],[_LeafLateFinish]],-(Tasks[[#This Row],[_Days]]-1),WorkWeek,Holidays)))</f>
        <v/>
      </c>
      <c r="FD1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3" s="90" t="b">
        <f aca="false">AND(Tasks[[#This Row],[_IsLeaf]]=1,Tasks[[#This Row],[_LeafProgress]]&lt;1,N(Tasks[[#This Row],[_LeafTotalSlack]])&lt;=CriticalSlackDays)</f>
        <v>0</v>
      </c>
      <c r="FF193" s="43" t="n">
        <f aca="false">IF(AND(Tasks[[#This Row],[_IsLeaf]]=1,Tasks[[#This Row],[_ConstraintCode]]=1,Tasks[[#This Row],[Mode]]&lt;&gt;"Manual",N(Tasks[[#This Row],[Actual Start]])=0),MAX(0,N(Tasks[[#This Row],[Free Slack]])),0)</f>
        <v>0</v>
      </c>
      <c r="FG193" s="91" t="str">
        <f aca="false">IF(NOT(Tasks[[#This Row],[_IsLeaf]]=1),"",IF(Tasks[[#This Row],[_AlapShift]]=0,Tasks[[#This Row],[_LeafCalcStart]],WORKDAY.INTL(Tasks[[#This Row],[_LeafCalcStart]],Tasks[[#This Row],[_AlapShift]],WorkWeek,Holidays)))</f>
        <v/>
      </c>
      <c r="FH193" s="91" t="str">
        <f aca="false">IF(NOT(Tasks[[#This Row],[_IsLeaf]]=1),"",IF(Tasks[[#This Row],[_AlapShift]]=0,Tasks[[#This Row],[_LeafCalcFinish]],WORKDAY.INTL(Tasks[[#This Row],[_LeafCalcFinish]],Tasks[[#This Row],[_AlapShift]],WorkWeek,Holidays)))</f>
        <v/>
      </c>
      <c r="FI193" s="91" t="str">
        <f aca="false">IF(NOT(Tasks[[#This Row],[_IsLeaf]]=1),"",IF(Tasks[[#This Row],[_AlapShift]]=0,Tasks[[#This Row],[_LeafFcstStart]],WORKDAY.INTL(Tasks[[#This Row],[_LeafFcstStart]],Tasks[[#This Row],[_AlapShift]],WorkWeek,Holidays)))</f>
        <v/>
      </c>
      <c r="FJ193" s="91" t="str">
        <f aca="false">IF(NOT(Tasks[[#This Row],[_IsLeaf]]=1),"",IF(Tasks[[#This Row],[_AlapShift]]=0,Tasks[[#This Row],[_LeafFcstFinish]],WORKDAY.INTL(Tasks[[#This Row],[_LeafFcstFinish]],Tasks[[#This Row],[_AlapShift]],WorkWeek,Holidays)))</f>
        <v/>
      </c>
      <c r="FK193" s="91" t="str">
        <f aca="false">IF(Tasks[[#This Row],[Task Name]]="","",IF(Tasks[[#This Row],[_IsSummary]],MIN(INDEX(Tasks[_ShownCalcStart],Tasks[[#This Row],[_Row]]+1):INDEX(Tasks[_ShownCalcStart],Tasks[[#This Row],[_Row]]+Tasks[[#This Row],[_Descendants]])),Tasks[[#This Row],[_ShownCalcStart]]))</f>
        <v/>
      </c>
      <c r="FL193" s="91" t="str">
        <f aca="false">IF(Tasks[[#This Row],[Task Name]]="","",IF(Tasks[[#This Row],[_IsSummary]],MAX(INDEX(Tasks[_ShownCalcFinish],Tasks[[#This Row],[_Row]]+1):INDEX(Tasks[_ShownCalcFinish],Tasks[[#This Row],[_Row]]+Tasks[[#This Row],[_Descendants]])),Tasks[[#This Row],[_ShownCalcFinish]]))</f>
        <v/>
      </c>
      <c r="FM1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3" s="43" t="n">
        <f aca="false">IF(AND(Tasks[[#This Row],[_IsLeaf]]=1,Tasks[[#This Row],[_LeafTotalWork]]&gt;0),NETWORKDAYS.INTL(ProjectStart,Tasks[[#This Row],[_ShownFcstStart]],WorkWeek,Holidays),0)</f>
        <v>0</v>
      </c>
      <c r="FZ193" s="43" t="n">
        <f aca="false">IF(AND(Tasks[[#This Row],[_IsLeaf]]=1,Tasks[[#This Row],[_LeafTotalWork]]&gt;0),MAX(Tasks[[#This Row],[_StartWorkday]],NETWORKDAYS.INTL(ProjectStart,Tasks[[#This Row],[_ShownFcstFinish]],WorkWeek,Holidays)),0)</f>
        <v>0</v>
      </c>
      <c r="GA193" s="43" t="n">
        <f aca="false">IF(AND(Tasks[[#This Row],[_IsLeaf]]=1,Tasks[[#This Row],[_LeafTotalWork]]&gt;0),Tasks[[#This Row],[_LeafWork]]/(Tasks[[#This Row],[_FinishWorkday]]-Tasks[[#This Row],[_StartWorkday]]+1),0)</f>
        <v>0</v>
      </c>
      <c r="GB193" s="43" t="n">
        <f aca="false">Tasks[[#This Row],[_WorkPerWorkday]]*(Tasks[[#This Row],[_StartWorkday]]-1)</f>
        <v>-0</v>
      </c>
      <c r="GC193" s="43" t="n">
        <f aca="false">IF(Tasks[[#This Row],[_IsLeaf]]=1,MAX(N(Tasks[[#This Row],[_Days]]),0.1),0)</f>
        <v>0</v>
      </c>
      <c r="GD193" s="43" t="n">
        <f aca="false">Tasks[[#This Row],[_WeightDur]]*Tasks[[#This Row],[_LeafProgress]]</f>
        <v>0</v>
      </c>
      <c r="GE193" s="43" t="n">
        <f aca="false">Tasks[[#This Row],[_WeightDur]]*Tasks[[#This Row],[_PlannedPct]]</f>
        <v>0</v>
      </c>
      <c r="GF1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3" t="str">
        <f aca="false">IF(AND(Tasks[[#This Row],[_IsLeaf]]=1,N(Tasks[[#This Row],[_Days]])=0,Tasks[[#This Row],[_LeafProgress]]&lt;1),Tasks[[#This Row],[_ShownFcstFinish]]+Tasks[[#This Row],[_Row]]/100000,"")</f>
        <v/>
      </c>
      <c r="GH1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3" s="43" t="str">
        <f aca="false">IF(Tasks[[#This Row],[Task Name]]="","",LEFT(Tasks[[#This Row],[WBS]],FIND(".",Tasks[[#This Row],[WBS]]&amp;".")-1))</f>
        <v/>
      </c>
      <c r="GJ193" s="43" t="str">
        <f aca="false">IF(AND(Tasks[[#This Row],[Task Name]]&lt;&gt;"",Tasks[[#This Row],[_Level]]=1),Tasks[[#This Row],[_Row]],"")</f>
        <v/>
      </c>
      <c r="GK193" s="43" t="str">
        <f aca="false">IF(AND(Tasks[[#This Row],[_IsLeaf]]=1,N(Tasks[[#This Row],[_Days]])=0),Tasks[[#This Row],[Planned Finish]]+Tasks[[#This Row],[_Row]]/100000,"")</f>
        <v/>
      </c>
      <c r="GL193" s="43" t="str">
        <f aca="false">IF(AND(Tasks[[#This Row],[_IsLeaf]]=1,Tasks[[#This Row],[_LeafProgress]]&lt;1,OR(N(Tasks[[#This Row],[Finish Var]])&gt;0,Tasks[[#This Row],[Status]]="Late Start")),MAX(0,Tasks[[#This Row],[Finish Var]])+1-Tasks[[#This Row],[_Row]]/1000000,"")</f>
        <v/>
      </c>
      <c r="GM193" s="43" t="str">
        <f aca="false">IF(AND(Tasks[[#This Row],[_IsLeaf]]=1,N(Tasks[[#This Row],[Actual Start]])=0,Tasks[[#This Row],[_ShownFcstStart]]&gt;=StatusDate,Tasks[[#This Row],[_ShownFcstStart]]&lt;=LookaheadEnd),Tasks[[#This Row],[_ShownFcstStart]]+Tasks[[#This Row],[_Row]]/100000,"")</f>
        <v/>
      </c>
      <c r="GN193" s="43" t="str">
        <f aca="false">IF(AND(Tasks[[#This Row],[_IsLeaf]]=1,Tasks[[#This Row],[_LeafProgress]]&lt;1,Tasks[[#This Row],[_ShownFcstFinish]]&gt;=StatusDate,Tasks[[#This Row],[_ShownFcstFinish]]&lt;=LookaheadEnd),Tasks[[#This Row],[_ShownFcstFinish]]+Tasks[[#This Row],[_Row]]/100000,"")</f>
        <v/>
      </c>
      <c r="GO193" s="43" t="str">
        <f aca="false">IF(Tasks[[#This Row],[_LeafCritical]],Tasks[[#This Row],[_ShownFcstStart]]+Tasks[[#This Row],[_Row]]/100000,"")</f>
        <v/>
      </c>
      <c r="GP193" s="43" t="n">
        <f aca="false">Tasks[[#This Row],[_LeafWork]]*Tasks[[#This Row],[_LeafProgress]]</f>
        <v>0</v>
      </c>
      <c r="GQ193" s="91" t="str">
        <f aca="false">IF(AND(Tasks[[#This Row],[_IsLeaf]]=1,Tasks[[#This Row],[_LeafProgress]]&gt;=1),IF(N(Tasks[[#This Row],[Actual Finish]])&gt;0,Tasks[[#This Row],[Actual Finish]],Tasks[[#This Row],[_ShownFcstFinish]]),"")</f>
        <v/>
      </c>
      <c r="GR193" s="43" t="n">
        <f aca="false">IF(Tasks[[#This Row],[_IsLeaf]]=1,N(Tasks[[#This Row],[Story Points]]),0)</f>
        <v>0</v>
      </c>
      <c r="GS193" s="43" t="str">
        <f aca="false">""</f>
        <v/>
      </c>
      <c r="GT193" s="90" t="b">
        <f aca="false">IF(Tasks[[#This Row],[Task Name]]="",FALSE(),AND(Tasks[[#This Row],[_IsLeaf]]=1,N(Tasks[[#This Row],[_Days]])=0))</f>
        <v>0</v>
      </c>
      <c r="GU193" s="91" t="n">
        <f aca="false">IF(Tasks[[#This Row],[Task Name]]="",0,IF(AND(Tasks[[#This Row],[_IsLeaf]]=1,NOT(Tasks[[#This Row],[_IsMilestone]]),N(Tasks[[#This Row],[Progress]])&gt;0),Tasks[[#This Row],[Start]],0))</f>
        <v>0</v>
      </c>
      <c r="GV193" s="91" t="n">
        <f aca="false">IF(Tasks[[#This Row],[_DoneFrom]]=0,0,IF(Tasks[[#This Row],[Progress]]&gt;=1,Tasks[[#This Row],[Finish]],MAX(Tasks[[#This Row],[_DoneFrom]],Tasks[[#This Row],[Start]]+ROUND((Tasks[[#This Row],[Finish]]-Tasks[[#This Row],[Start]]+1)*Tasks[[#This Row],[Progress]],0)-1)))</f>
        <v>0</v>
      </c>
      <c r="GW193" s="91" t="n">
        <f aca="false">IF(Tasks[[#This Row],[Task Name]]="",0,IF(OR(NOT(Tasks[[#This Row],[_IsLeaf]]=1),Tasks[[#This Row],[_IsMilestone]],N(Tasks[[#This Row],[Progress]])&gt;=1),0,IF(Tasks[[#This Row],[_DoneTo]]&gt;0,Tasks[[#This Row],[_DoneTo]]+1,Tasks[[#This Row],[Start]])))</f>
        <v>0</v>
      </c>
      <c r="GX193" s="91" t="n">
        <f aca="false">IF(Tasks[[#This Row],[_RemFrom]]=0,0,Tasks[[#This Row],[Finish]])</f>
        <v>0</v>
      </c>
      <c r="GY193" s="90" t="b">
        <f aca="false">IF(Tasks[[#This Row],[Task Name]]="",FALSE(),OR(NOT(BaselineSet),N(Tasks[[#This Row],[Baseline Start]])&gt;0))</f>
        <v>0</v>
      </c>
      <c r="GZ19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92" t="str">
        <f aca="false">IF(Tasks[[#This Row],[_IsLeaf]]=1,Tasks[[#This Row],[_Row]],"")</f>
        <v/>
      </c>
      <c r="HD193" s="92" t="str">
        <f aca="false">IFERROR(INDEX(Tasks[UID],SMALL(Tasks[_PickKey],Tasks[[#This Row],[_Row]]))&amp;" "&amp;INDEX(Tasks[Task Name],SMALL(Tasks[_PickKey],Tasks[[#This Row],[_Row]])),"")</f>
        <v/>
      </c>
      <c r="HE193" s="43" t="str">
        <f aca="false">IF(Tasks[[#This Row],[Task Name]]="","",IF(Tasks[[#This Row],[_IsSummary]],NETWORKDAYS.INTL(Tasks[[#This Row],[Start]],Tasks[[#This Row],[Finish]],WorkWeek,Holidays),N(Tasks[[#This Row],[_Days]])))</f>
        <v/>
      </c>
      <c r="HF193" s="43" t="n">
        <f aca="false">IF(Tasks[[#This Row],[Expected]]="",0,((Tasks[[#This Row],[Pessimistic]]-Tasks[[#This Row],[Optimistic]])/6)^2)</f>
        <v>0</v>
      </c>
      <c r="HG193" s="43" t="n">
        <f aca="false">IF(Tasks[[#This Row],[Expected]]="",0,Tasks[[#This Row],[Expected]]-N(Tasks[[#This Row],[_Days]]))</f>
        <v>0</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4"/>
      <c r="U194" s="23"/>
      <c r="V194" s="84"/>
      <c r="W194" s="23"/>
      <c r="X194" s="84"/>
      <c r="Y194" s="23"/>
      <c r="Z194" s="84"/>
      <c r="AA194" s="23"/>
      <c r="AB194" s="23"/>
      <c r="AC194" s="7"/>
      <c r="AD194" s="7"/>
      <c r="AE194" s="63" t="str">
        <f aca="false">IF(Tasks[[#This Row],[Task Name]]="","",IF(Tasks[[#This Row],[_IsSummary]],MIN(INDEX(Tasks[_ShownFcstStart],Tasks[[#This Row],[_Row]]+1):INDEX(Tasks[_ShownFcstStart],Tasks[[#This Row],[_Row]]+Tasks[[#This Row],[_Descendants]])),Tasks[[#This Row],[_ShownFcstStart]]))</f>
        <v/>
      </c>
      <c r="AF194" s="63"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4" s="7"/>
      <c r="AK194" s="22"/>
      <c r="AL194" s="23"/>
      <c r="AM194" s="7"/>
      <c r="AN194" s="47"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3" t="str">
        <f aca="false">IF(Tasks[[#This Row],[Task Name]]="","",IF(N(Tasks[[#This Row],[Baseline Start]])&gt;0,Tasks[[#This Row],[Baseline Start]],Tasks[[#This Row],[_CalcStart]]))</f>
        <v/>
      </c>
      <c r="AR194" s="63" t="str">
        <f aca="false">IF(Tasks[[#This Row],[Task Name]]="","",IF(N(Tasks[[#This Row],[Baseline Finish]])&gt;0,Tasks[[#This Row],[Baseline Finish]],Tasks[[#This Row],[_CalcFinish]]))</f>
        <v/>
      </c>
      <c r="AS194" s="47" t="str">
        <f aca="false">IF(Tasks[[#This Row],[Task Name]]="","",IF(Tasks[[#This Row],[Start]]&gt;=Tasks[[#This Row],[Planned Start]],NETWORKDAYS.INTL(Tasks[[#This Row],[Planned Start]],Tasks[[#This Row],[Start]],WorkWeek,Holidays)-1,1-NETWORKDAYS.INTL(Tasks[[#This Row],[Start]],Tasks[[#This Row],[Planned Start]],WorkWeek,Holidays)))</f>
        <v/>
      </c>
      <c r="AT194" s="63" t="str">
        <f aca="false">IF(Tasks[[#This Row],[Task Name]]="","",IF(Tasks[[#This Row],[_IsSummary]],MIN(INDEX(Tasks[_LeafLateStart],Tasks[[#This Row],[_Row]]+1):INDEX(Tasks[_LeafLateStart],Tasks[[#This Row],[_Row]]+Tasks[[#This Row],[_Descendants]])),Tasks[[#This Row],[_LeafLateStart]]))</f>
        <v/>
      </c>
      <c r="AU194" s="63" t="str">
        <f aca="false">IF(Tasks[[#This Row],[Task Name]]="","",IF(Tasks[[#This Row],[_IsSummary]],MAX(INDEX(Tasks[_LeafLateFinish],Tasks[[#This Row],[_Row]]+1):INDEX(Tasks[_LeafLateFinish],Tasks[[#This Row],[_Row]]+Tasks[[#This Row],[_Descendants]])),Tasks[[#This Row],[_LeafLateFinish]]))</f>
        <v/>
      </c>
      <c r="AV194" s="47"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5"/>
      <c r="BA1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6"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7"/>
      <c r="BJ194" s="22"/>
      <c r="BK194" s="47" t="str">
        <f aca="false">IF(OR(Tasks[[#This Row],[Task Name]]="",Tasks[[#This Row],[Baseline Duration]]=""),"",Tasks[[#This Row],[_SpanDays]]-N(Tasks[[#This Row],[Baseline Duration]]))</f>
        <v/>
      </c>
      <c r="BL194" s="86" t="str">
        <f aca="false">IF(OR(Tasks[[#This Row],[Task Name]]="",Tasks[[#This Row],[Baseline Work]]=""),"",Tasks[[#This Row],[Work]]-N(Tasks[[#This Row],[Baseline Work]]))</f>
        <v/>
      </c>
      <c r="BM194" s="63" t="str">
        <f aca="false">IF(Tasks[[#This Row],[Task Name]]="","",IF(OR(TakeBaseline="Yes",N(Tasks[[#This Row],[Baseline Start]])=0),Tasks[[#This Row],[Start]],Tasks[[#This Row],[Baseline Start]]))</f>
        <v/>
      </c>
      <c r="BN194" s="63" t="str">
        <f aca="false">IF(Tasks[[#This Row],[Task Name]]="","",IF(OR(TakeBaseline="Yes",N(Tasks[[#This Row],[Baseline Finish]])=0),Tasks[[#This Row],[Finish]],Tasks[[#This Row],[Baseline Finish]]))</f>
        <v/>
      </c>
      <c r="BO194" s="21" t="str">
        <f aca="false">IF(Tasks[[#This Row],[Task Name]]="","",IF(OR(TakeBaseline="Yes",N(Tasks[[#This Row],[Baseline Duration]])=0),Tasks[[#This Row],[_SpanDays]],Tasks[[#This Row],[Baseline Duration]]))</f>
        <v/>
      </c>
      <c r="BP194" s="86" t="str">
        <f aca="false">IF(Tasks[[#This Row],[Task Name]]="","",IF(OR(TakeBaseline="Yes",N(Tasks[[#This Row],[Baseline Work]])=0),Tasks[[#This Row],[Work]],Tasks[[#This Row],[Baseline Work]]))</f>
        <v/>
      </c>
      <c r="BQ194" s="7"/>
      <c r="BR194" s="7"/>
      <c r="BS194" s="22"/>
      <c r="BT194" s="88"/>
      <c r="BU194" s="23"/>
      <c r="BV194" s="23"/>
      <c r="BW194" s="23"/>
      <c r="BX194" s="89" t="str">
        <f aca="false">IF(AND(Tasks[[#This Row],[_IsLeaf]]=1,ISNUMBER(Tasks[[#This Row],[Optimistic]]),ISNUMBER(Tasks[[#This Row],[Pessimistic]])),ROUND((Tasks[[#This Row],[Optimistic]]+4*N(Tasks[[#This Row],[_Days]])+Tasks[[#This Row],[Pessimistic]])/6,1),"")</f>
        <v/>
      </c>
      <c r="BY194" s="87"/>
      <c r="BZ194" s="87"/>
      <c r="CA194" s="22"/>
      <c r="CB194" s="43" t="str">
        <f aca="false">IF(Tasks[[#This Row],[Task Name]]="","",MAX(1,N(Tasks[[#This Row],[Level]])))</f>
        <v/>
      </c>
      <c r="CC194" s="43" t="n">
        <f aca="false">ROW()-ROW(Tasks[[#Headers],[ID]])</f>
        <v>189</v>
      </c>
      <c r="CD194" s="43" t="n">
        <f aca="false">IF(OR(Tasks[[#This Row],[Task Name]]="",Tasks[[#This Row],[_Level]]&lt;=1),0,IFERROR(LOOKUP(2,1/(Tasks[[#Headers],[_Level]]:Tasks[[#This Row],[_Level]]=Tasks[[#This Row],[_Level]]-1),ROW(Tasks[[#Headers],[_Level]]:Tasks[[#This Row],[_Level]])),0))</f>
        <v>0</v>
      </c>
      <c r="CE194" s="43" t="n">
        <f aca="false">IFERROR(N(INDEX(Tasks[_Level],Tasks[[#This Row],[_Row]]+1)),0)</f>
        <v>0</v>
      </c>
      <c r="CF194" s="90" t="b">
        <f aca="false">AND(Tasks[[#This Row],[Task Name]]&lt;&gt;"",Tasks[[#This Row],[_NextLevel]]&gt;Tasks[[#This Row],[_Level]])</f>
        <v>0</v>
      </c>
      <c r="CG194" s="43" t="n">
        <f aca="false">IF(Tasks[[#This Row],[_IsSummary]],COUNTIF(Tasks[WBS],Tasks[[#This Row],[WBS]]&amp;".*"),0)</f>
        <v>0</v>
      </c>
      <c r="CH194" s="43" t="n">
        <f aca="false">IF(AND(Tasks[[#This Row],[Task Name]]&lt;&gt;"",NOT(Tasks[[#This Row],[_IsSummary]])),1,0)</f>
        <v>0</v>
      </c>
      <c r="CI194" s="43" t="n">
        <f aca="false">IF(N(Tasks[[#This Row],[_Pred1UID]])=0,0,IFERROR(MATCH(Tasks[[#This Row],[_Pred1UID]],Tasks[UID],0),-1))</f>
        <v>0</v>
      </c>
      <c r="CJ194" s="43" t="n">
        <f aca="false">IF(N(Tasks[[#This Row],[_Pred2UID]])=0,0,IFERROR(MATCH(Tasks[[#This Row],[_Pred2UID]],Tasks[UID],0),-1))</f>
        <v>0</v>
      </c>
      <c r="CK194" s="43" t="n">
        <f aca="false">IF(N(Tasks[[#This Row],[_Pred3UID]])=0,0,IFERROR(MATCH(Tasks[[#This Row],[_Pred3UID]],Tasks[UID],0),-1))</f>
        <v>0</v>
      </c>
      <c r="CL194" s="43" t="n">
        <f aca="false">IF(N(Tasks[[#This Row],[_Pred4UID]])=0,0,IFERROR(MATCH(Tasks[[#This Row],[_Pred4UID]],Tasks[UID],0),-1))</f>
        <v>0</v>
      </c>
      <c r="CM1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4" s="91" t="n">
        <f aca="false">IF(OR(Tasks[[#This Row],[_ConstraintCode]]=2,Tasks[[#This Row],[_ConstraintCode]]=3,Tasks[[#This Row],[_ConstraintCode]]=4,Tasks[[#This Row],[_ConstraintCode]]=6),Tasks[[#This Row],[_ConstraintStart]],0)</f>
        <v>0</v>
      </c>
      <c r="CP194" s="91" t="n">
        <f aca="false">IF(OR(Tasks[[#This Row],[_ConstraintCode]]=2,Tasks[[#This Row],[_ConstraintCode]]=3,Tasks[[#This Row],[_ConstraintCode]]=5,Tasks[[#This Row],[_ConstraintCode]]=7),Tasks[[#This Row],[_ConstraintStart]],2958465)</f>
        <v>2958465</v>
      </c>
      <c r="CQ1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91" t="str">
        <f aca="false">IF(NOT(Tasks[[#This Row],[_IsLeaf]]=1),"",IF(N(Tasks[[#This Row],[_Days]])&lt;=0,Tasks[[#This Row],[_LeafCalcStart]],WORKDAY.INTL(Tasks[[#This Row],[_LeafCalcStart]],Tasks[[#This Row],[_Days]]-1,WorkWeek,Holidays)))</f>
        <v/>
      </c>
      <c r="CS1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3" t="str">
        <f aca="false">IF(Tasks[[#This Row],[_Predecessors]]="","",TRIM(MID(SUBSTITUTE(SUBSTITUTE(SUBSTITUTE(UPPER(Tasks[[#This Row],[_Predecessors]]),";",",")," ",""),",",REPT(" ",99)),1,99)))</f>
        <v/>
      </c>
      <c r="CV194" s="43" t="str">
        <f aca="false">IF(Tasks[[#This Row],[_Pred1Text]]="","",IFERROR(VALUE(LEFT(Tasks[[#This Row],[_Pred1Text]],MIN(FIND("F",Tasks[[#This Row],[_Pred1Text]]&amp;"F"),FIND("S",Tasks[[#This Row],[_Pred1Text]]&amp;"S"),FIND("+",Tasks[[#This Row],[_Pred1Text]]&amp;"+"),FIND("-",Tasks[[#This Row],[_Pred1Text]]&amp;"-"))-1)),""))</f>
        <v/>
      </c>
      <c r="CW1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3" t="str">
        <f aca="false">IF(Tasks[[#This Row],[_Pred1Text]]="","",TRIM(MID(SUBSTITUTE(SUBSTITUTE(SUBSTITUTE(UPPER(Tasks[[#This Row],[_Predecessors]]),";",",")," ",""),",",REPT(" ",99)),100,99)))</f>
        <v/>
      </c>
      <c r="CZ194" s="43" t="str">
        <f aca="false">IF(Tasks[[#This Row],[_Pred2Text]]="","",IFERROR(VALUE(LEFT(Tasks[[#This Row],[_Pred2Text]],MIN(FIND("F",Tasks[[#This Row],[_Pred2Text]]&amp;"F"),FIND("S",Tasks[[#This Row],[_Pred2Text]]&amp;"S"),FIND("+",Tasks[[#This Row],[_Pred2Text]]&amp;"+"),FIND("-",Tasks[[#This Row],[_Pred2Text]]&amp;"-"))-1)),""))</f>
        <v/>
      </c>
      <c r="DA1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3" t="str">
        <f aca="false">IF(Tasks[[#This Row],[_Pred2Text]]="","",TRIM(MID(SUBSTITUTE(SUBSTITUTE(SUBSTITUTE(UPPER(Tasks[[#This Row],[_Predecessors]]),";",",")," ",""),",",REPT(" ",99)),199,99)))</f>
        <v/>
      </c>
      <c r="DD194" s="43" t="str">
        <f aca="false">IF(Tasks[[#This Row],[_Pred3Text]]="","",IFERROR(VALUE(LEFT(Tasks[[#This Row],[_Pred3Text]],MIN(FIND("F",Tasks[[#This Row],[_Pred3Text]]&amp;"F"),FIND("S",Tasks[[#This Row],[_Pred3Text]]&amp;"S"),FIND("+",Tasks[[#This Row],[_Pred3Text]]&amp;"+"),FIND("-",Tasks[[#This Row],[_Pred3Text]]&amp;"-"))-1)),""))</f>
        <v/>
      </c>
      <c r="DE1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3" t="str">
        <f aca="false">IF(Tasks[[#This Row],[_Pred3Text]]="","",TRIM(MID(SUBSTITUTE(SUBSTITUTE(SUBSTITUTE(UPPER(Tasks[[#This Row],[_Predecessors]]),";",",")," ",""),",",REPT(" ",99)),298,99)))</f>
        <v/>
      </c>
      <c r="DH194" s="43" t="str">
        <f aca="false">IF(Tasks[[#This Row],[_Pred4Text]]="","",IFERROR(VALUE(LEFT(Tasks[[#This Row],[_Pred4Text]],MIN(FIND("F",Tasks[[#This Row],[_Pred4Text]]&amp;"F"),FIND("S",Tasks[[#This Row],[_Pred4Text]]&amp;"S"),FIND("+",Tasks[[#This Row],[_Pred4Text]]&amp;"+"),FIND("-",Tasks[[#This Row],[_Pred4Text]]&amp;"-"))-1)),""))</f>
        <v/>
      </c>
      <c r="DI1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3" t="str">
        <f aca="false">IF(OR(Tasks[[#This Row],[Task Name]]="",Tasks[[#This Row],[_Resources]]=""),"",TRIM(MID(SUBSTITUTE(Tasks[[#This Row],[_Resources]],",",REPT(" ",99)),1,99)))</f>
        <v/>
      </c>
      <c r="DL194" s="43" t="str">
        <f aca="false">IF(Tasks[[#This Row],[_Res1Text]]="","",TRIM(MID(SUBSTITUTE(Tasks[[#This Row],[_Resources]],",",REPT(" ",99)),100,99)))</f>
        <v/>
      </c>
      <c r="DM194" s="43" t="str">
        <f aca="false">IF(Tasks[[#This Row],[_Res2Text]]="","",TRIM(MID(SUBSTITUTE(Tasks[[#This Row],[_Resources]],",",REPT(" ",99)),199,99)))</f>
        <v/>
      </c>
      <c r="DN194" s="43" t="str">
        <f aca="false">IF(Tasks[[#This Row],[_Res3Text]]="","",TRIM(MID(SUBSTITUTE(Tasks[[#This Row],[_Resources]],",",REPT(" ",99)),298,99)))</f>
        <v/>
      </c>
      <c r="DO194" s="43" t="n">
        <f aca="false">IF(Tasks[[#This Row],[_Res1Text]]="",0,IFERROR(MATCH(TRIM(LEFT(Tasks[[#This Row],[_Res1Text]],FIND("[",Tasks[[#This Row],[_Res1Text]]&amp;"[")-1)),res_Name,0),IFERROR(MATCH(TRIM(LEFT(Tasks[[#This Row],[_Res1Text]],FIND("[",Tasks[[#This Row],[_Res1Text]]&amp;"[")-1)),res_Initials,0),0)))</f>
        <v>0</v>
      </c>
      <c r="DP194" s="43" t="n">
        <f aca="false">IF(Tasks[[#This Row],[_Res2Text]]="",0,IFERROR(MATCH(TRIM(LEFT(Tasks[[#This Row],[_Res2Text]],FIND("[",Tasks[[#This Row],[_Res2Text]]&amp;"[")-1)),res_Name,0),IFERROR(MATCH(TRIM(LEFT(Tasks[[#This Row],[_Res2Text]],FIND("[",Tasks[[#This Row],[_Res2Text]]&amp;"[")-1)),res_Initials,0),0)))</f>
        <v>0</v>
      </c>
      <c r="DQ194" s="43" t="n">
        <f aca="false">IF(Tasks[[#This Row],[_Res3Text]]="",0,IFERROR(MATCH(TRIM(LEFT(Tasks[[#This Row],[_Res3Text]],FIND("[",Tasks[[#This Row],[_Res3Text]]&amp;"[")-1)),res_Name,0),IFERROR(MATCH(TRIM(LEFT(Tasks[[#This Row],[_Res3Text]],FIND("[",Tasks[[#This Row],[_Res3Text]]&amp;"[")-1)),res_Initials,0),0)))</f>
        <v>0</v>
      </c>
      <c r="DR194" s="43" t="n">
        <f aca="false">IF(Tasks[[#This Row],[_Res4Text]]="",0,IFERROR(MATCH(TRIM(LEFT(Tasks[[#This Row],[_Res4Text]],FIND("[",Tasks[[#This Row],[_Res4Text]]&amp;"[")-1)),res_Name,0),IFERROR(MATCH(TRIM(LEFT(Tasks[[#This Row],[_Res4Text]],FIND("[",Tasks[[#This Row],[_Res4Text]]&amp;"[")-1)),res_Initials,0),0)))</f>
        <v>0</v>
      </c>
      <c r="DS194" s="43" t="str">
        <f aca="false">IF(Tasks[[#This Row],[_Res1Text]]="","",IF(Tasks[[#This Row],[_Res1Row]]&gt;0,INDEX(res_Name,Tasks[[#This Row],[_Res1Row]]),TRIM(LEFT(Tasks[[#This Row],[_Res1Text]],FIND("[",Tasks[[#This Row],[_Res1Text]]&amp;"[")-1))))</f>
        <v/>
      </c>
      <c r="DT1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3" t="n">
        <f aca="false">IF(NOT(Tasks[[#This Row],[_IsLeaf]]=1),0,(Tasks[[#This Row],[_Resource1]]&lt;&gt;"")+(Tasks[[#This Row],[_Res2]]&lt;&gt;"")+(Tasks[[#This Row],[_Res3]]&lt;&gt;"")+(Tasks[[#This Row],[_Res4]]&lt;&gt;""))</f>
        <v>0</v>
      </c>
      <c r="DV194" s="43" t="str">
        <f aca="false">IF(Tasks[[#This Row],[_Res2Text]]="","",IF(Tasks[[#This Row],[_Res2Row]]&gt;0,INDEX(res_Name,Tasks[[#This Row],[_Res2Row]]),TRIM(LEFT(Tasks[[#This Row],[_Res2Text]],FIND("[",Tasks[[#This Row],[_Res2Text]]&amp;"[")-1))))</f>
        <v/>
      </c>
      <c r="DW1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3" t="n">
        <f aca="false">IF(OR(NOT(Tasks[[#This Row],[_IsLeaf]]=1),Tasks[[#This Row],[_Res2Row]]=0),0,N(Tasks[[#This Row],[_Days]])*HoursPerDay*IF(Tasks[[#This Row],[_Res2Units]]="",DefaultUnits,Tasks[[#This Row],[_Res2Units]]))</f>
        <v>0</v>
      </c>
      <c r="DY194" s="43" t="n">
        <f aca="false">IF(AND(AND(Tasks[[#This Row],[_IsLeaf]]=1,Tasks[[#This Row],[_LeafTotalWork]]&gt;0),Tasks[[#This Row],[_Res2Work]]&gt;0),Tasks[[#This Row],[_Res2Work]]/(Tasks[[#This Row],[_FinishWorkday]]-Tasks[[#This Row],[_StartWorkday]]+1),0)</f>
        <v>0</v>
      </c>
      <c r="DZ194" s="43" t="n">
        <f aca="false">Tasks[[#This Row],[_Res2WorkPerWD]]*MAX(0,Tasks[[#This Row],[_StartWorkday]]-1)</f>
        <v>0</v>
      </c>
      <c r="EA194" s="43" t="n">
        <f aca="false">Tasks[[#This Row],[_Res2Work]]*Tasks[[#This Row],[_LeafProgress]]</f>
        <v>0</v>
      </c>
      <c r="EB194" s="43" t="str">
        <f aca="false">IF(Tasks[[#This Row],[_Res3Text]]="","",IF(Tasks[[#This Row],[_Res3Row]]&gt;0,INDEX(res_Name,Tasks[[#This Row],[_Res3Row]]),TRIM(LEFT(Tasks[[#This Row],[_Res3Text]],FIND("[",Tasks[[#This Row],[_Res3Text]]&amp;"[")-1))))</f>
        <v/>
      </c>
      <c r="EC1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3" t="n">
        <f aca="false">IF(OR(NOT(Tasks[[#This Row],[_IsLeaf]]=1),Tasks[[#This Row],[_Res3Row]]=0),0,N(Tasks[[#This Row],[_Days]])*HoursPerDay*IF(Tasks[[#This Row],[_Res3Units]]="",DefaultUnits,Tasks[[#This Row],[_Res3Units]]))</f>
        <v>0</v>
      </c>
      <c r="EE194" s="43" t="n">
        <f aca="false">IF(AND(AND(Tasks[[#This Row],[_IsLeaf]]=1,Tasks[[#This Row],[_LeafTotalWork]]&gt;0),Tasks[[#This Row],[_Res3Work]]&gt;0),Tasks[[#This Row],[_Res3Work]]/(Tasks[[#This Row],[_FinishWorkday]]-Tasks[[#This Row],[_StartWorkday]]+1),0)</f>
        <v>0</v>
      </c>
      <c r="EF194" s="43" t="n">
        <f aca="false">Tasks[[#This Row],[_Res3WorkPerWD]]*MAX(0,Tasks[[#This Row],[_StartWorkday]]-1)</f>
        <v>0</v>
      </c>
      <c r="EG194" s="43" t="n">
        <f aca="false">Tasks[[#This Row],[_Res3Work]]*Tasks[[#This Row],[_LeafProgress]]</f>
        <v>0</v>
      </c>
      <c r="EH194" s="43" t="str">
        <f aca="false">IF(Tasks[[#This Row],[_Res4Text]]="","",IF(Tasks[[#This Row],[_Res4Row]]&gt;0,INDEX(res_Name,Tasks[[#This Row],[_Res4Row]]),TRIM(LEFT(Tasks[[#This Row],[_Res4Text]],FIND("[",Tasks[[#This Row],[_Res4Text]]&amp;"[")-1))))</f>
        <v/>
      </c>
      <c r="EI1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3" t="n">
        <f aca="false">IF(OR(NOT(Tasks[[#This Row],[_IsLeaf]]=1),Tasks[[#This Row],[_Res4Row]]=0),0,N(Tasks[[#This Row],[_Days]])*HoursPerDay*IF(Tasks[[#This Row],[_Res4Units]]="",DefaultUnits,Tasks[[#This Row],[_Res4Units]]))</f>
        <v>0</v>
      </c>
      <c r="EK194" s="43" t="n">
        <f aca="false">IF(AND(AND(Tasks[[#This Row],[_IsLeaf]]=1,Tasks[[#This Row],[_LeafTotalWork]]&gt;0),Tasks[[#This Row],[_Res4Work]]&gt;0),Tasks[[#This Row],[_Res4Work]]/(Tasks[[#This Row],[_FinishWorkday]]-Tasks[[#This Row],[_StartWorkday]]+1),0)</f>
        <v>0</v>
      </c>
      <c r="EL194" s="43" t="n">
        <f aca="false">Tasks[[#This Row],[_Res4WorkPerWD]]*MAX(0,Tasks[[#This Row],[_StartWorkday]]-1)</f>
        <v>0</v>
      </c>
      <c r="EM194" s="43" t="n">
        <f aca="false">Tasks[[#This Row],[_Res4Work]]*Tasks[[#This Row],[_LeafProgress]]</f>
        <v>0</v>
      </c>
      <c r="EN194" s="43" t="n">
        <f aca="false">IF(ISNUMBER(Tasks[[#This Row],[% Complete]]),Tasks[[#This Row],[% Complete]],IF(Tasks[[#This Row],[Stage]]="",0,IFERROR(INDEX(stg_Pct,MATCH(Tasks[[#This Row],[Stage]],stg_Name,0)),0)))</f>
        <v>0</v>
      </c>
      <c r="EO194" s="43" t="n">
        <f aca="false">IF(NOT(Tasks[[#This Row],[_IsLeaf]]=1),0,IF(N(Tasks[[#This Row],[Actual Finish]])&gt;0,1,MIN(1,Tasks[[#This Row],[_Pct]])))</f>
        <v>0</v>
      </c>
      <c r="EP194" s="43" t="n">
        <f aca="false">IF(OR(NOT(Tasks[[#This Row],[_IsLeaf]]=1),Tasks[[#This Row],[_Res1Row]]=0),0,N(Tasks[[#This Row],[_Days]])*HoursPerDay*IF(Tasks[[#This Row],[_Units1]]="",DefaultUnits,Tasks[[#This Row],[_Units1]]))</f>
        <v>0</v>
      </c>
      <c r="EQ194" s="43" t="n">
        <f aca="false">Tasks[[#This Row],[_LeafWork]]+Tasks[[#This Row],[_Res2Work]]+Tasks[[#This Row],[_Res3Work]]+Tasks[[#This Row],[_Res4Work]]</f>
        <v>0</v>
      </c>
      <c r="ER1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3" t="n">
        <f aca="false">IF(NOT(Tasks[[#This Row],[_IsLeaf]]=1),0,MAX(_xlfn.MAXIFS(Tasks[_Row],Tasks[_Pred1UID],Tasks[[#This Row],[UID]]),_xlfn.MAXIFS(Tasks[_Row],Tasks[_Pred2UID],Tasks[[#This Row],[UID]]),_xlfn.MAXIFS(Tasks[_Row],Tasks[_Pred3UID],Tasks[[#This Row],[UID]]),_xlfn.MAXIFS(Tasks[_Row],Tasks[_Pred4UID],Tasks[[#This Row],[UID]])))</f>
        <v>0</v>
      </c>
      <c r="FA1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91" t="str">
        <f aca="false">IF(NOT(Tasks[[#This Row],[_IsLeaf]]=1),"",IF(N(Tasks[[#This Row],[_Days]])&lt;=0,Tasks[[#This Row],[_LeafLateFinish]],WORKDAY.INTL(Tasks[[#This Row],[_LeafLateFinish]],-(Tasks[[#This Row],[_Days]]-1),WorkWeek,Holidays)))</f>
        <v/>
      </c>
      <c r="FD1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4" s="90" t="b">
        <f aca="false">AND(Tasks[[#This Row],[_IsLeaf]]=1,Tasks[[#This Row],[_LeafProgress]]&lt;1,N(Tasks[[#This Row],[_LeafTotalSlack]])&lt;=CriticalSlackDays)</f>
        <v>0</v>
      </c>
      <c r="FF194" s="43" t="n">
        <f aca="false">IF(AND(Tasks[[#This Row],[_IsLeaf]]=1,Tasks[[#This Row],[_ConstraintCode]]=1,Tasks[[#This Row],[Mode]]&lt;&gt;"Manual",N(Tasks[[#This Row],[Actual Start]])=0),MAX(0,N(Tasks[[#This Row],[Free Slack]])),0)</f>
        <v>0</v>
      </c>
      <c r="FG194" s="91" t="str">
        <f aca="false">IF(NOT(Tasks[[#This Row],[_IsLeaf]]=1),"",IF(Tasks[[#This Row],[_AlapShift]]=0,Tasks[[#This Row],[_LeafCalcStart]],WORKDAY.INTL(Tasks[[#This Row],[_LeafCalcStart]],Tasks[[#This Row],[_AlapShift]],WorkWeek,Holidays)))</f>
        <v/>
      </c>
      <c r="FH194" s="91" t="str">
        <f aca="false">IF(NOT(Tasks[[#This Row],[_IsLeaf]]=1),"",IF(Tasks[[#This Row],[_AlapShift]]=0,Tasks[[#This Row],[_LeafCalcFinish]],WORKDAY.INTL(Tasks[[#This Row],[_LeafCalcFinish]],Tasks[[#This Row],[_AlapShift]],WorkWeek,Holidays)))</f>
        <v/>
      </c>
      <c r="FI194" s="91" t="str">
        <f aca="false">IF(NOT(Tasks[[#This Row],[_IsLeaf]]=1),"",IF(Tasks[[#This Row],[_AlapShift]]=0,Tasks[[#This Row],[_LeafFcstStart]],WORKDAY.INTL(Tasks[[#This Row],[_LeafFcstStart]],Tasks[[#This Row],[_AlapShift]],WorkWeek,Holidays)))</f>
        <v/>
      </c>
      <c r="FJ194" s="91" t="str">
        <f aca="false">IF(NOT(Tasks[[#This Row],[_IsLeaf]]=1),"",IF(Tasks[[#This Row],[_AlapShift]]=0,Tasks[[#This Row],[_LeafFcstFinish]],WORKDAY.INTL(Tasks[[#This Row],[_LeafFcstFinish]],Tasks[[#This Row],[_AlapShift]],WorkWeek,Holidays)))</f>
        <v/>
      </c>
      <c r="FK194" s="91" t="str">
        <f aca="false">IF(Tasks[[#This Row],[Task Name]]="","",IF(Tasks[[#This Row],[_IsSummary]],MIN(INDEX(Tasks[_ShownCalcStart],Tasks[[#This Row],[_Row]]+1):INDEX(Tasks[_ShownCalcStart],Tasks[[#This Row],[_Row]]+Tasks[[#This Row],[_Descendants]])),Tasks[[#This Row],[_ShownCalcStart]]))</f>
        <v/>
      </c>
      <c r="FL194" s="91" t="str">
        <f aca="false">IF(Tasks[[#This Row],[Task Name]]="","",IF(Tasks[[#This Row],[_IsSummary]],MAX(INDEX(Tasks[_ShownCalcFinish],Tasks[[#This Row],[_Row]]+1):INDEX(Tasks[_ShownCalcFinish],Tasks[[#This Row],[_Row]]+Tasks[[#This Row],[_Descendants]])),Tasks[[#This Row],[_ShownCalcFinish]]))</f>
        <v/>
      </c>
      <c r="FM1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4" s="43" t="n">
        <f aca="false">IF(AND(Tasks[[#This Row],[_IsLeaf]]=1,Tasks[[#This Row],[_LeafTotalWork]]&gt;0),NETWORKDAYS.INTL(ProjectStart,Tasks[[#This Row],[_ShownFcstStart]],WorkWeek,Holidays),0)</f>
        <v>0</v>
      </c>
      <c r="FZ194" s="43" t="n">
        <f aca="false">IF(AND(Tasks[[#This Row],[_IsLeaf]]=1,Tasks[[#This Row],[_LeafTotalWork]]&gt;0),MAX(Tasks[[#This Row],[_StartWorkday]],NETWORKDAYS.INTL(ProjectStart,Tasks[[#This Row],[_ShownFcstFinish]],WorkWeek,Holidays)),0)</f>
        <v>0</v>
      </c>
      <c r="GA194" s="43" t="n">
        <f aca="false">IF(AND(Tasks[[#This Row],[_IsLeaf]]=1,Tasks[[#This Row],[_LeafTotalWork]]&gt;0),Tasks[[#This Row],[_LeafWork]]/(Tasks[[#This Row],[_FinishWorkday]]-Tasks[[#This Row],[_StartWorkday]]+1),0)</f>
        <v>0</v>
      </c>
      <c r="GB194" s="43" t="n">
        <f aca="false">Tasks[[#This Row],[_WorkPerWorkday]]*(Tasks[[#This Row],[_StartWorkday]]-1)</f>
        <v>-0</v>
      </c>
      <c r="GC194" s="43" t="n">
        <f aca="false">IF(Tasks[[#This Row],[_IsLeaf]]=1,MAX(N(Tasks[[#This Row],[_Days]]),0.1),0)</f>
        <v>0</v>
      </c>
      <c r="GD194" s="43" t="n">
        <f aca="false">Tasks[[#This Row],[_WeightDur]]*Tasks[[#This Row],[_LeafProgress]]</f>
        <v>0</v>
      </c>
      <c r="GE194" s="43" t="n">
        <f aca="false">Tasks[[#This Row],[_WeightDur]]*Tasks[[#This Row],[_PlannedPct]]</f>
        <v>0</v>
      </c>
      <c r="GF1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3" t="str">
        <f aca="false">IF(AND(Tasks[[#This Row],[_IsLeaf]]=1,N(Tasks[[#This Row],[_Days]])=0,Tasks[[#This Row],[_LeafProgress]]&lt;1),Tasks[[#This Row],[_ShownFcstFinish]]+Tasks[[#This Row],[_Row]]/100000,"")</f>
        <v/>
      </c>
      <c r="GH1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4" s="43" t="str">
        <f aca="false">IF(Tasks[[#This Row],[Task Name]]="","",LEFT(Tasks[[#This Row],[WBS]],FIND(".",Tasks[[#This Row],[WBS]]&amp;".")-1))</f>
        <v/>
      </c>
      <c r="GJ194" s="43" t="str">
        <f aca="false">IF(AND(Tasks[[#This Row],[Task Name]]&lt;&gt;"",Tasks[[#This Row],[_Level]]=1),Tasks[[#This Row],[_Row]],"")</f>
        <v/>
      </c>
      <c r="GK194" s="43" t="str">
        <f aca="false">IF(AND(Tasks[[#This Row],[_IsLeaf]]=1,N(Tasks[[#This Row],[_Days]])=0),Tasks[[#This Row],[Planned Finish]]+Tasks[[#This Row],[_Row]]/100000,"")</f>
        <v/>
      </c>
      <c r="GL194" s="43" t="str">
        <f aca="false">IF(AND(Tasks[[#This Row],[_IsLeaf]]=1,Tasks[[#This Row],[_LeafProgress]]&lt;1,OR(N(Tasks[[#This Row],[Finish Var]])&gt;0,Tasks[[#This Row],[Status]]="Late Start")),MAX(0,Tasks[[#This Row],[Finish Var]])+1-Tasks[[#This Row],[_Row]]/1000000,"")</f>
        <v/>
      </c>
      <c r="GM194" s="43" t="str">
        <f aca="false">IF(AND(Tasks[[#This Row],[_IsLeaf]]=1,N(Tasks[[#This Row],[Actual Start]])=0,Tasks[[#This Row],[_ShownFcstStart]]&gt;=StatusDate,Tasks[[#This Row],[_ShownFcstStart]]&lt;=LookaheadEnd),Tasks[[#This Row],[_ShownFcstStart]]+Tasks[[#This Row],[_Row]]/100000,"")</f>
        <v/>
      </c>
      <c r="GN194" s="43" t="str">
        <f aca="false">IF(AND(Tasks[[#This Row],[_IsLeaf]]=1,Tasks[[#This Row],[_LeafProgress]]&lt;1,Tasks[[#This Row],[_ShownFcstFinish]]&gt;=StatusDate,Tasks[[#This Row],[_ShownFcstFinish]]&lt;=LookaheadEnd),Tasks[[#This Row],[_ShownFcstFinish]]+Tasks[[#This Row],[_Row]]/100000,"")</f>
        <v/>
      </c>
      <c r="GO194" s="43" t="str">
        <f aca="false">IF(Tasks[[#This Row],[_LeafCritical]],Tasks[[#This Row],[_ShownFcstStart]]+Tasks[[#This Row],[_Row]]/100000,"")</f>
        <v/>
      </c>
      <c r="GP194" s="43" t="n">
        <f aca="false">Tasks[[#This Row],[_LeafWork]]*Tasks[[#This Row],[_LeafProgress]]</f>
        <v>0</v>
      </c>
      <c r="GQ194" s="91" t="str">
        <f aca="false">IF(AND(Tasks[[#This Row],[_IsLeaf]]=1,Tasks[[#This Row],[_LeafProgress]]&gt;=1),IF(N(Tasks[[#This Row],[Actual Finish]])&gt;0,Tasks[[#This Row],[Actual Finish]],Tasks[[#This Row],[_ShownFcstFinish]]),"")</f>
        <v/>
      </c>
      <c r="GR194" s="43" t="n">
        <f aca="false">IF(Tasks[[#This Row],[_IsLeaf]]=1,N(Tasks[[#This Row],[Story Points]]),0)</f>
        <v>0</v>
      </c>
      <c r="GS194" s="43" t="str">
        <f aca="false">""</f>
        <v/>
      </c>
      <c r="GT194" s="90" t="b">
        <f aca="false">IF(Tasks[[#This Row],[Task Name]]="",FALSE(),AND(Tasks[[#This Row],[_IsLeaf]]=1,N(Tasks[[#This Row],[_Days]])=0))</f>
        <v>0</v>
      </c>
      <c r="GU194" s="91" t="n">
        <f aca="false">IF(Tasks[[#This Row],[Task Name]]="",0,IF(AND(Tasks[[#This Row],[_IsLeaf]]=1,NOT(Tasks[[#This Row],[_IsMilestone]]),N(Tasks[[#This Row],[Progress]])&gt;0),Tasks[[#This Row],[Start]],0))</f>
        <v>0</v>
      </c>
      <c r="GV194" s="91" t="n">
        <f aca="false">IF(Tasks[[#This Row],[_DoneFrom]]=0,0,IF(Tasks[[#This Row],[Progress]]&gt;=1,Tasks[[#This Row],[Finish]],MAX(Tasks[[#This Row],[_DoneFrom]],Tasks[[#This Row],[Start]]+ROUND((Tasks[[#This Row],[Finish]]-Tasks[[#This Row],[Start]]+1)*Tasks[[#This Row],[Progress]],0)-1)))</f>
        <v>0</v>
      </c>
      <c r="GW194" s="91" t="n">
        <f aca="false">IF(Tasks[[#This Row],[Task Name]]="",0,IF(OR(NOT(Tasks[[#This Row],[_IsLeaf]]=1),Tasks[[#This Row],[_IsMilestone]],N(Tasks[[#This Row],[Progress]])&gt;=1),0,IF(Tasks[[#This Row],[_DoneTo]]&gt;0,Tasks[[#This Row],[_DoneTo]]+1,Tasks[[#This Row],[Start]])))</f>
        <v>0</v>
      </c>
      <c r="GX194" s="91" t="n">
        <f aca="false">IF(Tasks[[#This Row],[_RemFrom]]=0,0,Tasks[[#This Row],[Finish]])</f>
        <v>0</v>
      </c>
      <c r="GY194" s="90" t="b">
        <f aca="false">IF(Tasks[[#This Row],[Task Name]]="",FALSE(),OR(NOT(BaselineSet),N(Tasks[[#This Row],[Baseline Start]])&gt;0))</f>
        <v>0</v>
      </c>
      <c r="GZ19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92" t="str">
        <f aca="false">IF(Tasks[[#This Row],[_IsLeaf]]=1,Tasks[[#This Row],[_Row]],"")</f>
        <v/>
      </c>
      <c r="HD194" s="92" t="str">
        <f aca="false">IFERROR(INDEX(Tasks[UID],SMALL(Tasks[_PickKey],Tasks[[#This Row],[_Row]]))&amp;" "&amp;INDEX(Tasks[Task Name],SMALL(Tasks[_PickKey],Tasks[[#This Row],[_Row]])),"")</f>
        <v/>
      </c>
      <c r="HE194" s="43" t="str">
        <f aca="false">IF(Tasks[[#This Row],[Task Name]]="","",IF(Tasks[[#This Row],[_IsSummary]],NETWORKDAYS.INTL(Tasks[[#This Row],[Start]],Tasks[[#This Row],[Finish]],WorkWeek,Holidays),N(Tasks[[#This Row],[_Days]])))</f>
        <v/>
      </c>
      <c r="HF194" s="43" t="n">
        <f aca="false">IF(Tasks[[#This Row],[Expected]]="",0,((Tasks[[#This Row],[Pessimistic]]-Tasks[[#This Row],[Optimistic]])/6)^2)</f>
        <v>0</v>
      </c>
      <c r="HG194" s="43" t="n">
        <f aca="false">IF(Tasks[[#This Row],[Expected]]="",0,Tasks[[#This Row],[Expected]]-N(Tasks[[#This Row],[_Days]]))</f>
        <v>0</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4"/>
      <c r="U195" s="23"/>
      <c r="V195" s="84"/>
      <c r="W195" s="23"/>
      <c r="X195" s="84"/>
      <c r="Y195" s="23"/>
      <c r="Z195" s="84"/>
      <c r="AA195" s="23"/>
      <c r="AB195" s="23"/>
      <c r="AC195" s="7"/>
      <c r="AD195" s="7"/>
      <c r="AE195" s="63" t="str">
        <f aca="false">IF(Tasks[[#This Row],[Task Name]]="","",IF(Tasks[[#This Row],[_IsSummary]],MIN(INDEX(Tasks[_ShownFcstStart],Tasks[[#This Row],[_Row]]+1):INDEX(Tasks[_ShownFcstStart],Tasks[[#This Row],[_Row]]+Tasks[[#This Row],[_Descendants]])),Tasks[[#This Row],[_ShownFcstStart]]))</f>
        <v/>
      </c>
      <c r="AF195" s="63"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5" s="7"/>
      <c r="AK195" s="22"/>
      <c r="AL195" s="23"/>
      <c r="AM195" s="7"/>
      <c r="AN195" s="47"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3" t="str">
        <f aca="false">IF(Tasks[[#This Row],[Task Name]]="","",IF(N(Tasks[[#This Row],[Baseline Start]])&gt;0,Tasks[[#This Row],[Baseline Start]],Tasks[[#This Row],[_CalcStart]]))</f>
        <v/>
      </c>
      <c r="AR195" s="63" t="str">
        <f aca="false">IF(Tasks[[#This Row],[Task Name]]="","",IF(N(Tasks[[#This Row],[Baseline Finish]])&gt;0,Tasks[[#This Row],[Baseline Finish]],Tasks[[#This Row],[_CalcFinish]]))</f>
        <v/>
      </c>
      <c r="AS195" s="47" t="str">
        <f aca="false">IF(Tasks[[#This Row],[Task Name]]="","",IF(Tasks[[#This Row],[Start]]&gt;=Tasks[[#This Row],[Planned Start]],NETWORKDAYS.INTL(Tasks[[#This Row],[Planned Start]],Tasks[[#This Row],[Start]],WorkWeek,Holidays)-1,1-NETWORKDAYS.INTL(Tasks[[#This Row],[Start]],Tasks[[#This Row],[Planned Start]],WorkWeek,Holidays)))</f>
        <v/>
      </c>
      <c r="AT195" s="63" t="str">
        <f aca="false">IF(Tasks[[#This Row],[Task Name]]="","",IF(Tasks[[#This Row],[_IsSummary]],MIN(INDEX(Tasks[_LeafLateStart],Tasks[[#This Row],[_Row]]+1):INDEX(Tasks[_LeafLateStart],Tasks[[#This Row],[_Row]]+Tasks[[#This Row],[_Descendants]])),Tasks[[#This Row],[_LeafLateStart]]))</f>
        <v/>
      </c>
      <c r="AU195" s="63" t="str">
        <f aca="false">IF(Tasks[[#This Row],[Task Name]]="","",IF(Tasks[[#This Row],[_IsSummary]],MAX(INDEX(Tasks[_LeafLateFinish],Tasks[[#This Row],[_Row]]+1):INDEX(Tasks[_LeafLateFinish],Tasks[[#This Row],[_Row]]+Tasks[[#This Row],[_Descendants]])),Tasks[[#This Row],[_LeafLateFinish]]))</f>
        <v/>
      </c>
      <c r="AV195" s="47"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5"/>
      <c r="BA1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6"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7"/>
      <c r="BJ195" s="22"/>
      <c r="BK195" s="47" t="str">
        <f aca="false">IF(OR(Tasks[[#This Row],[Task Name]]="",Tasks[[#This Row],[Baseline Duration]]=""),"",Tasks[[#This Row],[_SpanDays]]-N(Tasks[[#This Row],[Baseline Duration]]))</f>
        <v/>
      </c>
      <c r="BL195" s="86" t="str">
        <f aca="false">IF(OR(Tasks[[#This Row],[Task Name]]="",Tasks[[#This Row],[Baseline Work]]=""),"",Tasks[[#This Row],[Work]]-N(Tasks[[#This Row],[Baseline Work]]))</f>
        <v/>
      </c>
      <c r="BM195" s="63" t="str">
        <f aca="false">IF(Tasks[[#This Row],[Task Name]]="","",IF(OR(TakeBaseline="Yes",N(Tasks[[#This Row],[Baseline Start]])=0),Tasks[[#This Row],[Start]],Tasks[[#This Row],[Baseline Start]]))</f>
        <v/>
      </c>
      <c r="BN195" s="63" t="str">
        <f aca="false">IF(Tasks[[#This Row],[Task Name]]="","",IF(OR(TakeBaseline="Yes",N(Tasks[[#This Row],[Baseline Finish]])=0),Tasks[[#This Row],[Finish]],Tasks[[#This Row],[Baseline Finish]]))</f>
        <v/>
      </c>
      <c r="BO195" s="21" t="str">
        <f aca="false">IF(Tasks[[#This Row],[Task Name]]="","",IF(OR(TakeBaseline="Yes",N(Tasks[[#This Row],[Baseline Duration]])=0),Tasks[[#This Row],[_SpanDays]],Tasks[[#This Row],[Baseline Duration]]))</f>
        <v/>
      </c>
      <c r="BP195" s="86" t="str">
        <f aca="false">IF(Tasks[[#This Row],[Task Name]]="","",IF(OR(TakeBaseline="Yes",N(Tasks[[#This Row],[Baseline Work]])=0),Tasks[[#This Row],[Work]],Tasks[[#This Row],[Baseline Work]]))</f>
        <v/>
      </c>
      <c r="BQ195" s="7"/>
      <c r="BR195" s="7"/>
      <c r="BS195" s="22"/>
      <c r="BT195" s="88"/>
      <c r="BU195" s="23"/>
      <c r="BV195" s="23"/>
      <c r="BW195" s="23"/>
      <c r="BX195" s="89" t="str">
        <f aca="false">IF(AND(Tasks[[#This Row],[_IsLeaf]]=1,ISNUMBER(Tasks[[#This Row],[Optimistic]]),ISNUMBER(Tasks[[#This Row],[Pessimistic]])),ROUND((Tasks[[#This Row],[Optimistic]]+4*N(Tasks[[#This Row],[_Days]])+Tasks[[#This Row],[Pessimistic]])/6,1),"")</f>
        <v/>
      </c>
      <c r="BY195" s="87"/>
      <c r="BZ195" s="87"/>
      <c r="CA195" s="22"/>
      <c r="CB195" s="43" t="str">
        <f aca="false">IF(Tasks[[#This Row],[Task Name]]="","",MAX(1,N(Tasks[[#This Row],[Level]])))</f>
        <v/>
      </c>
      <c r="CC195" s="43" t="n">
        <f aca="false">ROW()-ROW(Tasks[[#Headers],[ID]])</f>
        <v>190</v>
      </c>
      <c r="CD195" s="43" t="n">
        <f aca="false">IF(OR(Tasks[[#This Row],[Task Name]]="",Tasks[[#This Row],[_Level]]&lt;=1),0,IFERROR(LOOKUP(2,1/(Tasks[[#Headers],[_Level]]:Tasks[[#This Row],[_Level]]=Tasks[[#This Row],[_Level]]-1),ROW(Tasks[[#Headers],[_Level]]:Tasks[[#This Row],[_Level]])),0))</f>
        <v>0</v>
      </c>
      <c r="CE195" s="43" t="n">
        <f aca="false">IFERROR(N(INDEX(Tasks[_Level],Tasks[[#This Row],[_Row]]+1)),0)</f>
        <v>0</v>
      </c>
      <c r="CF195" s="90" t="b">
        <f aca="false">AND(Tasks[[#This Row],[Task Name]]&lt;&gt;"",Tasks[[#This Row],[_NextLevel]]&gt;Tasks[[#This Row],[_Level]])</f>
        <v>0</v>
      </c>
      <c r="CG195" s="43" t="n">
        <f aca="false">IF(Tasks[[#This Row],[_IsSummary]],COUNTIF(Tasks[WBS],Tasks[[#This Row],[WBS]]&amp;".*"),0)</f>
        <v>0</v>
      </c>
      <c r="CH195" s="43" t="n">
        <f aca="false">IF(AND(Tasks[[#This Row],[Task Name]]&lt;&gt;"",NOT(Tasks[[#This Row],[_IsSummary]])),1,0)</f>
        <v>0</v>
      </c>
      <c r="CI195" s="43" t="n">
        <f aca="false">IF(N(Tasks[[#This Row],[_Pred1UID]])=0,0,IFERROR(MATCH(Tasks[[#This Row],[_Pred1UID]],Tasks[UID],0),-1))</f>
        <v>0</v>
      </c>
      <c r="CJ195" s="43" t="n">
        <f aca="false">IF(N(Tasks[[#This Row],[_Pred2UID]])=0,0,IFERROR(MATCH(Tasks[[#This Row],[_Pred2UID]],Tasks[UID],0),-1))</f>
        <v>0</v>
      </c>
      <c r="CK195" s="43" t="n">
        <f aca="false">IF(N(Tasks[[#This Row],[_Pred3UID]])=0,0,IFERROR(MATCH(Tasks[[#This Row],[_Pred3UID]],Tasks[UID],0),-1))</f>
        <v>0</v>
      </c>
      <c r="CL195" s="43" t="n">
        <f aca="false">IF(N(Tasks[[#This Row],[_Pred4UID]])=0,0,IFERROR(MATCH(Tasks[[#This Row],[_Pred4UID]],Tasks[UID],0),-1))</f>
        <v>0</v>
      </c>
      <c r="CM1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5" s="91" t="n">
        <f aca="false">IF(OR(Tasks[[#This Row],[_ConstraintCode]]=2,Tasks[[#This Row],[_ConstraintCode]]=3,Tasks[[#This Row],[_ConstraintCode]]=4,Tasks[[#This Row],[_ConstraintCode]]=6),Tasks[[#This Row],[_ConstraintStart]],0)</f>
        <v>0</v>
      </c>
      <c r="CP195" s="91" t="n">
        <f aca="false">IF(OR(Tasks[[#This Row],[_ConstraintCode]]=2,Tasks[[#This Row],[_ConstraintCode]]=3,Tasks[[#This Row],[_ConstraintCode]]=5,Tasks[[#This Row],[_ConstraintCode]]=7),Tasks[[#This Row],[_ConstraintStart]],2958465)</f>
        <v>2958465</v>
      </c>
      <c r="CQ1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91" t="str">
        <f aca="false">IF(NOT(Tasks[[#This Row],[_IsLeaf]]=1),"",IF(N(Tasks[[#This Row],[_Days]])&lt;=0,Tasks[[#This Row],[_LeafCalcStart]],WORKDAY.INTL(Tasks[[#This Row],[_LeafCalcStart]],Tasks[[#This Row],[_Days]]-1,WorkWeek,Holidays)))</f>
        <v/>
      </c>
      <c r="CS1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3" t="str">
        <f aca="false">IF(Tasks[[#This Row],[_Predecessors]]="","",TRIM(MID(SUBSTITUTE(SUBSTITUTE(SUBSTITUTE(UPPER(Tasks[[#This Row],[_Predecessors]]),";",",")," ",""),",",REPT(" ",99)),1,99)))</f>
        <v/>
      </c>
      <c r="CV195" s="43" t="str">
        <f aca="false">IF(Tasks[[#This Row],[_Pred1Text]]="","",IFERROR(VALUE(LEFT(Tasks[[#This Row],[_Pred1Text]],MIN(FIND("F",Tasks[[#This Row],[_Pred1Text]]&amp;"F"),FIND("S",Tasks[[#This Row],[_Pred1Text]]&amp;"S"),FIND("+",Tasks[[#This Row],[_Pred1Text]]&amp;"+"),FIND("-",Tasks[[#This Row],[_Pred1Text]]&amp;"-"))-1)),""))</f>
        <v/>
      </c>
      <c r="CW1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3" t="str">
        <f aca="false">IF(Tasks[[#This Row],[_Pred1Text]]="","",TRIM(MID(SUBSTITUTE(SUBSTITUTE(SUBSTITUTE(UPPER(Tasks[[#This Row],[_Predecessors]]),";",",")," ",""),",",REPT(" ",99)),100,99)))</f>
        <v/>
      </c>
      <c r="CZ195" s="43" t="str">
        <f aca="false">IF(Tasks[[#This Row],[_Pred2Text]]="","",IFERROR(VALUE(LEFT(Tasks[[#This Row],[_Pred2Text]],MIN(FIND("F",Tasks[[#This Row],[_Pred2Text]]&amp;"F"),FIND("S",Tasks[[#This Row],[_Pred2Text]]&amp;"S"),FIND("+",Tasks[[#This Row],[_Pred2Text]]&amp;"+"),FIND("-",Tasks[[#This Row],[_Pred2Text]]&amp;"-"))-1)),""))</f>
        <v/>
      </c>
      <c r="DA1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3" t="str">
        <f aca="false">IF(Tasks[[#This Row],[_Pred2Text]]="","",TRIM(MID(SUBSTITUTE(SUBSTITUTE(SUBSTITUTE(UPPER(Tasks[[#This Row],[_Predecessors]]),";",",")," ",""),",",REPT(" ",99)),199,99)))</f>
        <v/>
      </c>
      <c r="DD195" s="43" t="str">
        <f aca="false">IF(Tasks[[#This Row],[_Pred3Text]]="","",IFERROR(VALUE(LEFT(Tasks[[#This Row],[_Pred3Text]],MIN(FIND("F",Tasks[[#This Row],[_Pred3Text]]&amp;"F"),FIND("S",Tasks[[#This Row],[_Pred3Text]]&amp;"S"),FIND("+",Tasks[[#This Row],[_Pred3Text]]&amp;"+"),FIND("-",Tasks[[#This Row],[_Pred3Text]]&amp;"-"))-1)),""))</f>
        <v/>
      </c>
      <c r="DE1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3" t="str">
        <f aca="false">IF(Tasks[[#This Row],[_Pred3Text]]="","",TRIM(MID(SUBSTITUTE(SUBSTITUTE(SUBSTITUTE(UPPER(Tasks[[#This Row],[_Predecessors]]),";",",")," ",""),",",REPT(" ",99)),298,99)))</f>
        <v/>
      </c>
      <c r="DH195" s="43" t="str">
        <f aca="false">IF(Tasks[[#This Row],[_Pred4Text]]="","",IFERROR(VALUE(LEFT(Tasks[[#This Row],[_Pred4Text]],MIN(FIND("F",Tasks[[#This Row],[_Pred4Text]]&amp;"F"),FIND("S",Tasks[[#This Row],[_Pred4Text]]&amp;"S"),FIND("+",Tasks[[#This Row],[_Pred4Text]]&amp;"+"),FIND("-",Tasks[[#This Row],[_Pred4Text]]&amp;"-"))-1)),""))</f>
        <v/>
      </c>
      <c r="DI1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3" t="str">
        <f aca="false">IF(OR(Tasks[[#This Row],[Task Name]]="",Tasks[[#This Row],[_Resources]]=""),"",TRIM(MID(SUBSTITUTE(Tasks[[#This Row],[_Resources]],",",REPT(" ",99)),1,99)))</f>
        <v/>
      </c>
      <c r="DL195" s="43" t="str">
        <f aca="false">IF(Tasks[[#This Row],[_Res1Text]]="","",TRIM(MID(SUBSTITUTE(Tasks[[#This Row],[_Resources]],",",REPT(" ",99)),100,99)))</f>
        <v/>
      </c>
      <c r="DM195" s="43" t="str">
        <f aca="false">IF(Tasks[[#This Row],[_Res2Text]]="","",TRIM(MID(SUBSTITUTE(Tasks[[#This Row],[_Resources]],",",REPT(" ",99)),199,99)))</f>
        <v/>
      </c>
      <c r="DN195" s="43" t="str">
        <f aca="false">IF(Tasks[[#This Row],[_Res3Text]]="","",TRIM(MID(SUBSTITUTE(Tasks[[#This Row],[_Resources]],",",REPT(" ",99)),298,99)))</f>
        <v/>
      </c>
      <c r="DO195" s="43" t="n">
        <f aca="false">IF(Tasks[[#This Row],[_Res1Text]]="",0,IFERROR(MATCH(TRIM(LEFT(Tasks[[#This Row],[_Res1Text]],FIND("[",Tasks[[#This Row],[_Res1Text]]&amp;"[")-1)),res_Name,0),IFERROR(MATCH(TRIM(LEFT(Tasks[[#This Row],[_Res1Text]],FIND("[",Tasks[[#This Row],[_Res1Text]]&amp;"[")-1)),res_Initials,0),0)))</f>
        <v>0</v>
      </c>
      <c r="DP195" s="43" t="n">
        <f aca="false">IF(Tasks[[#This Row],[_Res2Text]]="",0,IFERROR(MATCH(TRIM(LEFT(Tasks[[#This Row],[_Res2Text]],FIND("[",Tasks[[#This Row],[_Res2Text]]&amp;"[")-1)),res_Name,0),IFERROR(MATCH(TRIM(LEFT(Tasks[[#This Row],[_Res2Text]],FIND("[",Tasks[[#This Row],[_Res2Text]]&amp;"[")-1)),res_Initials,0),0)))</f>
        <v>0</v>
      </c>
      <c r="DQ195" s="43" t="n">
        <f aca="false">IF(Tasks[[#This Row],[_Res3Text]]="",0,IFERROR(MATCH(TRIM(LEFT(Tasks[[#This Row],[_Res3Text]],FIND("[",Tasks[[#This Row],[_Res3Text]]&amp;"[")-1)),res_Name,0),IFERROR(MATCH(TRIM(LEFT(Tasks[[#This Row],[_Res3Text]],FIND("[",Tasks[[#This Row],[_Res3Text]]&amp;"[")-1)),res_Initials,0),0)))</f>
        <v>0</v>
      </c>
      <c r="DR195" s="43" t="n">
        <f aca="false">IF(Tasks[[#This Row],[_Res4Text]]="",0,IFERROR(MATCH(TRIM(LEFT(Tasks[[#This Row],[_Res4Text]],FIND("[",Tasks[[#This Row],[_Res4Text]]&amp;"[")-1)),res_Name,0),IFERROR(MATCH(TRIM(LEFT(Tasks[[#This Row],[_Res4Text]],FIND("[",Tasks[[#This Row],[_Res4Text]]&amp;"[")-1)),res_Initials,0),0)))</f>
        <v>0</v>
      </c>
      <c r="DS195" s="43" t="str">
        <f aca="false">IF(Tasks[[#This Row],[_Res1Text]]="","",IF(Tasks[[#This Row],[_Res1Row]]&gt;0,INDEX(res_Name,Tasks[[#This Row],[_Res1Row]]),TRIM(LEFT(Tasks[[#This Row],[_Res1Text]],FIND("[",Tasks[[#This Row],[_Res1Text]]&amp;"[")-1))))</f>
        <v/>
      </c>
      <c r="DT1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3" t="n">
        <f aca="false">IF(NOT(Tasks[[#This Row],[_IsLeaf]]=1),0,(Tasks[[#This Row],[_Resource1]]&lt;&gt;"")+(Tasks[[#This Row],[_Res2]]&lt;&gt;"")+(Tasks[[#This Row],[_Res3]]&lt;&gt;"")+(Tasks[[#This Row],[_Res4]]&lt;&gt;""))</f>
        <v>0</v>
      </c>
      <c r="DV195" s="43" t="str">
        <f aca="false">IF(Tasks[[#This Row],[_Res2Text]]="","",IF(Tasks[[#This Row],[_Res2Row]]&gt;0,INDEX(res_Name,Tasks[[#This Row],[_Res2Row]]),TRIM(LEFT(Tasks[[#This Row],[_Res2Text]],FIND("[",Tasks[[#This Row],[_Res2Text]]&amp;"[")-1))))</f>
        <v/>
      </c>
      <c r="DW1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3" t="n">
        <f aca="false">IF(OR(NOT(Tasks[[#This Row],[_IsLeaf]]=1),Tasks[[#This Row],[_Res2Row]]=0),0,N(Tasks[[#This Row],[_Days]])*HoursPerDay*IF(Tasks[[#This Row],[_Res2Units]]="",DefaultUnits,Tasks[[#This Row],[_Res2Units]]))</f>
        <v>0</v>
      </c>
      <c r="DY195" s="43" t="n">
        <f aca="false">IF(AND(AND(Tasks[[#This Row],[_IsLeaf]]=1,Tasks[[#This Row],[_LeafTotalWork]]&gt;0),Tasks[[#This Row],[_Res2Work]]&gt;0),Tasks[[#This Row],[_Res2Work]]/(Tasks[[#This Row],[_FinishWorkday]]-Tasks[[#This Row],[_StartWorkday]]+1),0)</f>
        <v>0</v>
      </c>
      <c r="DZ195" s="43" t="n">
        <f aca="false">Tasks[[#This Row],[_Res2WorkPerWD]]*MAX(0,Tasks[[#This Row],[_StartWorkday]]-1)</f>
        <v>0</v>
      </c>
      <c r="EA195" s="43" t="n">
        <f aca="false">Tasks[[#This Row],[_Res2Work]]*Tasks[[#This Row],[_LeafProgress]]</f>
        <v>0</v>
      </c>
      <c r="EB195" s="43" t="str">
        <f aca="false">IF(Tasks[[#This Row],[_Res3Text]]="","",IF(Tasks[[#This Row],[_Res3Row]]&gt;0,INDEX(res_Name,Tasks[[#This Row],[_Res3Row]]),TRIM(LEFT(Tasks[[#This Row],[_Res3Text]],FIND("[",Tasks[[#This Row],[_Res3Text]]&amp;"[")-1))))</f>
        <v/>
      </c>
      <c r="EC1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3" t="n">
        <f aca="false">IF(OR(NOT(Tasks[[#This Row],[_IsLeaf]]=1),Tasks[[#This Row],[_Res3Row]]=0),0,N(Tasks[[#This Row],[_Days]])*HoursPerDay*IF(Tasks[[#This Row],[_Res3Units]]="",DefaultUnits,Tasks[[#This Row],[_Res3Units]]))</f>
        <v>0</v>
      </c>
      <c r="EE195" s="43" t="n">
        <f aca="false">IF(AND(AND(Tasks[[#This Row],[_IsLeaf]]=1,Tasks[[#This Row],[_LeafTotalWork]]&gt;0),Tasks[[#This Row],[_Res3Work]]&gt;0),Tasks[[#This Row],[_Res3Work]]/(Tasks[[#This Row],[_FinishWorkday]]-Tasks[[#This Row],[_StartWorkday]]+1),0)</f>
        <v>0</v>
      </c>
      <c r="EF195" s="43" t="n">
        <f aca="false">Tasks[[#This Row],[_Res3WorkPerWD]]*MAX(0,Tasks[[#This Row],[_StartWorkday]]-1)</f>
        <v>0</v>
      </c>
      <c r="EG195" s="43" t="n">
        <f aca="false">Tasks[[#This Row],[_Res3Work]]*Tasks[[#This Row],[_LeafProgress]]</f>
        <v>0</v>
      </c>
      <c r="EH195" s="43" t="str">
        <f aca="false">IF(Tasks[[#This Row],[_Res4Text]]="","",IF(Tasks[[#This Row],[_Res4Row]]&gt;0,INDEX(res_Name,Tasks[[#This Row],[_Res4Row]]),TRIM(LEFT(Tasks[[#This Row],[_Res4Text]],FIND("[",Tasks[[#This Row],[_Res4Text]]&amp;"[")-1))))</f>
        <v/>
      </c>
      <c r="EI1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3" t="n">
        <f aca="false">IF(OR(NOT(Tasks[[#This Row],[_IsLeaf]]=1),Tasks[[#This Row],[_Res4Row]]=0),0,N(Tasks[[#This Row],[_Days]])*HoursPerDay*IF(Tasks[[#This Row],[_Res4Units]]="",DefaultUnits,Tasks[[#This Row],[_Res4Units]]))</f>
        <v>0</v>
      </c>
      <c r="EK195" s="43" t="n">
        <f aca="false">IF(AND(AND(Tasks[[#This Row],[_IsLeaf]]=1,Tasks[[#This Row],[_LeafTotalWork]]&gt;0),Tasks[[#This Row],[_Res4Work]]&gt;0),Tasks[[#This Row],[_Res4Work]]/(Tasks[[#This Row],[_FinishWorkday]]-Tasks[[#This Row],[_StartWorkday]]+1),0)</f>
        <v>0</v>
      </c>
      <c r="EL195" s="43" t="n">
        <f aca="false">Tasks[[#This Row],[_Res4WorkPerWD]]*MAX(0,Tasks[[#This Row],[_StartWorkday]]-1)</f>
        <v>0</v>
      </c>
      <c r="EM195" s="43" t="n">
        <f aca="false">Tasks[[#This Row],[_Res4Work]]*Tasks[[#This Row],[_LeafProgress]]</f>
        <v>0</v>
      </c>
      <c r="EN195" s="43" t="n">
        <f aca="false">IF(ISNUMBER(Tasks[[#This Row],[% Complete]]),Tasks[[#This Row],[% Complete]],IF(Tasks[[#This Row],[Stage]]="",0,IFERROR(INDEX(stg_Pct,MATCH(Tasks[[#This Row],[Stage]],stg_Name,0)),0)))</f>
        <v>0</v>
      </c>
      <c r="EO195" s="43" t="n">
        <f aca="false">IF(NOT(Tasks[[#This Row],[_IsLeaf]]=1),0,IF(N(Tasks[[#This Row],[Actual Finish]])&gt;0,1,MIN(1,Tasks[[#This Row],[_Pct]])))</f>
        <v>0</v>
      </c>
      <c r="EP195" s="43" t="n">
        <f aca="false">IF(OR(NOT(Tasks[[#This Row],[_IsLeaf]]=1),Tasks[[#This Row],[_Res1Row]]=0),0,N(Tasks[[#This Row],[_Days]])*HoursPerDay*IF(Tasks[[#This Row],[_Units1]]="",DefaultUnits,Tasks[[#This Row],[_Units1]]))</f>
        <v>0</v>
      </c>
      <c r="EQ195" s="43" t="n">
        <f aca="false">Tasks[[#This Row],[_LeafWork]]+Tasks[[#This Row],[_Res2Work]]+Tasks[[#This Row],[_Res3Work]]+Tasks[[#This Row],[_Res4Work]]</f>
        <v>0</v>
      </c>
      <c r="ER1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3" t="n">
        <f aca="false">IF(NOT(Tasks[[#This Row],[_IsLeaf]]=1),0,MAX(_xlfn.MAXIFS(Tasks[_Row],Tasks[_Pred1UID],Tasks[[#This Row],[UID]]),_xlfn.MAXIFS(Tasks[_Row],Tasks[_Pred2UID],Tasks[[#This Row],[UID]]),_xlfn.MAXIFS(Tasks[_Row],Tasks[_Pred3UID],Tasks[[#This Row],[UID]]),_xlfn.MAXIFS(Tasks[_Row],Tasks[_Pred4UID],Tasks[[#This Row],[UID]])))</f>
        <v>0</v>
      </c>
      <c r="FA1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91" t="str">
        <f aca="false">IF(NOT(Tasks[[#This Row],[_IsLeaf]]=1),"",IF(N(Tasks[[#This Row],[_Days]])&lt;=0,Tasks[[#This Row],[_LeafLateFinish]],WORKDAY.INTL(Tasks[[#This Row],[_LeafLateFinish]],-(Tasks[[#This Row],[_Days]]-1),WorkWeek,Holidays)))</f>
        <v/>
      </c>
      <c r="FD1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5" s="90" t="b">
        <f aca="false">AND(Tasks[[#This Row],[_IsLeaf]]=1,Tasks[[#This Row],[_LeafProgress]]&lt;1,N(Tasks[[#This Row],[_LeafTotalSlack]])&lt;=CriticalSlackDays)</f>
        <v>0</v>
      </c>
      <c r="FF195" s="43" t="n">
        <f aca="false">IF(AND(Tasks[[#This Row],[_IsLeaf]]=1,Tasks[[#This Row],[_ConstraintCode]]=1,Tasks[[#This Row],[Mode]]&lt;&gt;"Manual",N(Tasks[[#This Row],[Actual Start]])=0),MAX(0,N(Tasks[[#This Row],[Free Slack]])),0)</f>
        <v>0</v>
      </c>
      <c r="FG195" s="91" t="str">
        <f aca="false">IF(NOT(Tasks[[#This Row],[_IsLeaf]]=1),"",IF(Tasks[[#This Row],[_AlapShift]]=0,Tasks[[#This Row],[_LeafCalcStart]],WORKDAY.INTL(Tasks[[#This Row],[_LeafCalcStart]],Tasks[[#This Row],[_AlapShift]],WorkWeek,Holidays)))</f>
        <v/>
      </c>
      <c r="FH195" s="91" t="str">
        <f aca="false">IF(NOT(Tasks[[#This Row],[_IsLeaf]]=1),"",IF(Tasks[[#This Row],[_AlapShift]]=0,Tasks[[#This Row],[_LeafCalcFinish]],WORKDAY.INTL(Tasks[[#This Row],[_LeafCalcFinish]],Tasks[[#This Row],[_AlapShift]],WorkWeek,Holidays)))</f>
        <v/>
      </c>
      <c r="FI195" s="91" t="str">
        <f aca="false">IF(NOT(Tasks[[#This Row],[_IsLeaf]]=1),"",IF(Tasks[[#This Row],[_AlapShift]]=0,Tasks[[#This Row],[_LeafFcstStart]],WORKDAY.INTL(Tasks[[#This Row],[_LeafFcstStart]],Tasks[[#This Row],[_AlapShift]],WorkWeek,Holidays)))</f>
        <v/>
      </c>
      <c r="FJ195" s="91" t="str">
        <f aca="false">IF(NOT(Tasks[[#This Row],[_IsLeaf]]=1),"",IF(Tasks[[#This Row],[_AlapShift]]=0,Tasks[[#This Row],[_LeafFcstFinish]],WORKDAY.INTL(Tasks[[#This Row],[_LeafFcstFinish]],Tasks[[#This Row],[_AlapShift]],WorkWeek,Holidays)))</f>
        <v/>
      </c>
      <c r="FK195" s="91" t="str">
        <f aca="false">IF(Tasks[[#This Row],[Task Name]]="","",IF(Tasks[[#This Row],[_IsSummary]],MIN(INDEX(Tasks[_ShownCalcStart],Tasks[[#This Row],[_Row]]+1):INDEX(Tasks[_ShownCalcStart],Tasks[[#This Row],[_Row]]+Tasks[[#This Row],[_Descendants]])),Tasks[[#This Row],[_ShownCalcStart]]))</f>
        <v/>
      </c>
      <c r="FL195" s="91" t="str">
        <f aca="false">IF(Tasks[[#This Row],[Task Name]]="","",IF(Tasks[[#This Row],[_IsSummary]],MAX(INDEX(Tasks[_ShownCalcFinish],Tasks[[#This Row],[_Row]]+1):INDEX(Tasks[_ShownCalcFinish],Tasks[[#This Row],[_Row]]+Tasks[[#This Row],[_Descendants]])),Tasks[[#This Row],[_ShownCalcFinish]]))</f>
        <v/>
      </c>
      <c r="FM1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5" s="43" t="n">
        <f aca="false">IF(AND(Tasks[[#This Row],[_IsLeaf]]=1,Tasks[[#This Row],[_LeafTotalWork]]&gt;0),NETWORKDAYS.INTL(ProjectStart,Tasks[[#This Row],[_ShownFcstStart]],WorkWeek,Holidays),0)</f>
        <v>0</v>
      </c>
      <c r="FZ195" s="43" t="n">
        <f aca="false">IF(AND(Tasks[[#This Row],[_IsLeaf]]=1,Tasks[[#This Row],[_LeafTotalWork]]&gt;0),MAX(Tasks[[#This Row],[_StartWorkday]],NETWORKDAYS.INTL(ProjectStart,Tasks[[#This Row],[_ShownFcstFinish]],WorkWeek,Holidays)),0)</f>
        <v>0</v>
      </c>
      <c r="GA195" s="43" t="n">
        <f aca="false">IF(AND(Tasks[[#This Row],[_IsLeaf]]=1,Tasks[[#This Row],[_LeafTotalWork]]&gt;0),Tasks[[#This Row],[_LeafWork]]/(Tasks[[#This Row],[_FinishWorkday]]-Tasks[[#This Row],[_StartWorkday]]+1),0)</f>
        <v>0</v>
      </c>
      <c r="GB195" s="43" t="n">
        <f aca="false">Tasks[[#This Row],[_WorkPerWorkday]]*(Tasks[[#This Row],[_StartWorkday]]-1)</f>
        <v>-0</v>
      </c>
      <c r="GC195" s="43" t="n">
        <f aca="false">IF(Tasks[[#This Row],[_IsLeaf]]=1,MAX(N(Tasks[[#This Row],[_Days]]),0.1),0)</f>
        <v>0</v>
      </c>
      <c r="GD195" s="43" t="n">
        <f aca="false">Tasks[[#This Row],[_WeightDur]]*Tasks[[#This Row],[_LeafProgress]]</f>
        <v>0</v>
      </c>
      <c r="GE195" s="43" t="n">
        <f aca="false">Tasks[[#This Row],[_WeightDur]]*Tasks[[#This Row],[_PlannedPct]]</f>
        <v>0</v>
      </c>
      <c r="GF1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3" t="str">
        <f aca="false">IF(AND(Tasks[[#This Row],[_IsLeaf]]=1,N(Tasks[[#This Row],[_Days]])=0,Tasks[[#This Row],[_LeafProgress]]&lt;1),Tasks[[#This Row],[_ShownFcstFinish]]+Tasks[[#This Row],[_Row]]/100000,"")</f>
        <v/>
      </c>
      <c r="GH1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5" s="43" t="str">
        <f aca="false">IF(Tasks[[#This Row],[Task Name]]="","",LEFT(Tasks[[#This Row],[WBS]],FIND(".",Tasks[[#This Row],[WBS]]&amp;".")-1))</f>
        <v/>
      </c>
      <c r="GJ195" s="43" t="str">
        <f aca="false">IF(AND(Tasks[[#This Row],[Task Name]]&lt;&gt;"",Tasks[[#This Row],[_Level]]=1),Tasks[[#This Row],[_Row]],"")</f>
        <v/>
      </c>
      <c r="GK195" s="43" t="str">
        <f aca="false">IF(AND(Tasks[[#This Row],[_IsLeaf]]=1,N(Tasks[[#This Row],[_Days]])=0),Tasks[[#This Row],[Planned Finish]]+Tasks[[#This Row],[_Row]]/100000,"")</f>
        <v/>
      </c>
      <c r="GL195" s="43" t="str">
        <f aca="false">IF(AND(Tasks[[#This Row],[_IsLeaf]]=1,Tasks[[#This Row],[_LeafProgress]]&lt;1,OR(N(Tasks[[#This Row],[Finish Var]])&gt;0,Tasks[[#This Row],[Status]]="Late Start")),MAX(0,Tasks[[#This Row],[Finish Var]])+1-Tasks[[#This Row],[_Row]]/1000000,"")</f>
        <v/>
      </c>
      <c r="GM195" s="43" t="str">
        <f aca="false">IF(AND(Tasks[[#This Row],[_IsLeaf]]=1,N(Tasks[[#This Row],[Actual Start]])=0,Tasks[[#This Row],[_ShownFcstStart]]&gt;=StatusDate,Tasks[[#This Row],[_ShownFcstStart]]&lt;=LookaheadEnd),Tasks[[#This Row],[_ShownFcstStart]]+Tasks[[#This Row],[_Row]]/100000,"")</f>
        <v/>
      </c>
      <c r="GN195" s="43" t="str">
        <f aca="false">IF(AND(Tasks[[#This Row],[_IsLeaf]]=1,Tasks[[#This Row],[_LeafProgress]]&lt;1,Tasks[[#This Row],[_ShownFcstFinish]]&gt;=StatusDate,Tasks[[#This Row],[_ShownFcstFinish]]&lt;=LookaheadEnd),Tasks[[#This Row],[_ShownFcstFinish]]+Tasks[[#This Row],[_Row]]/100000,"")</f>
        <v/>
      </c>
      <c r="GO195" s="43" t="str">
        <f aca="false">IF(Tasks[[#This Row],[_LeafCritical]],Tasks[[#This Row],[_ShownFcstStart]]+Tasks[[#This Row],[_Row]]/100000,"")</f>
        <v/>
      </c>
      <c r="GP195" s="43" t="n">
        <f aca="false">Tasks[[#This Row],[_LeafWork]]*Tasks[[#This Row],[_LeafProgress]]</f>
        <v>0</v>
      </c>
      <c r="GQ195" s="91" t="str">
        <f aca="false">IF(AND(Tasks[[#This Row],[_IsLeaf]]=1,Tasks[[#This Row],[_LeafProgress]]&gt;=1),IF(N(Tasks[[#This Row],[Actual Finish]])&gt;0,Tasks[[#This Row],[Actual Finish]],Tasks[[#This Row],[_ShownFcstFinish]]),"")</f>
        <v/>
      </c>
      <c r="GR195" s="43" t="n">
        <f aca="false">IF(Tasks[[#This Row],[_IsLeaf]]=1,N(Tasks[[#This Row],[Story Points]]),0)</f>
        <v>0</v>
      </c>
      <c r="GS195" s="43" t="str">
        <f aca="false">""</f>
        <v/>
      </c>
      <c r="GT195" s="90" t="b">
        <f aca="false">IF(Tasks[[#This Row],[Task Name]]="",FALSE(),AND(Tasks[[#This Row],[_IsLeaf]]=1,N(Tasks[[#This Row],[_Days]])=0))</f>
        <v>0</v>
      </c>
      <c r="GU195" s="91" t="n">
        <f aca="false">IF(Tasks[[#This Row],[Task Name]]="",0,IF(AND(Tasks[[#This Row],[_IsLeaf]]=1,NOT(Tasks[[#This Row],[_IsMilestone]]),N(Tasks[[#This Row],[Progress]])&gt;0),Tasks[[#This Row],[Start]],0))</f>
        <v>0</v>
      </c>
      <c r="GV195" s="91" t="n">
        <f aca="false">IF(Tasks[[#This Row],[_DoneFrom]]=0,0,IF(Tasks[[#This Row],[Progress]]&gt;=1,Tasks[[#This Row],[Finish]],MAX(Tasks[[#This Row],[_DoneFrom]],Tasks[[#This Row],[Start]]+ROUND((Tasks[[#This Row],[Finish]]-Tasks[[#This Row],[Start]]+1)*Tasks[[#This Row],[Progress]],0)-1)))</f>
        <v>0</v>
      </c>
      <c r="GW195" s="91" t="n">
        <f aca="false">IF(Tasks[[#This Row],[Task Name]]="",0,IF(OR(NOT(Tasks[[#This Row],[_IsLeaf]]=1),Tasks[[#This Row],[_IsMilestone]],N(Tasks[[#This Row],[Progress]])&gt;=1),0,IF(Tasks[[#This Row],[_DoneTo]]&gt;0,Tasks[[#This Row],[_DoneTo]]+1,Tasks[[#This Row],[Start]])))</f>
        <v>0</v>
      </c>
      <c r="GX195" s="91" t="n">
        <f aca="false">IF(Tasks[[#This Row],[_RemFrom]]=0,0,Tasks[[#This Row],[Finish]])</f>
        <v>0</v>
      </c>
      <c r="GY195" s="90" t="b">
        <f aca="false">IF(Tasks[[#This Row],[Task Name]]="",FALSE(),OR(NOT(BaselineSet),N(Tasks[[#This Row],[Baseline Start]])&gt;0))</f>
        <v>0</v>
      </c>
      <c r="GZ19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92" t="str">
        <f aca="false">IF(Tasks[[#This Row],[_IsLeaf]]=1,Tasks[[#This Row],[_Row]],"")</f>
        <v/>
      </c>
      <c r="HD195" s="92" t="str">
        <f aca="false">IFERROR(INDEX(Tasks[UID],SMALL(Tasks[_PickKey],Tasks[[#This Row],[_Row]]))&amp;" "&amp;INDEX(Tasks[Task Name],SMALL(Tasks[_PickKey],Tasks[[#This Row],[_Row]])),"")</f>
        <v/>
      </c>
      <c r="HE195" s="43" t="str">
        <f aca="false">IF(Tasks[[#This Row],[Task Name]]="","",IF(Tasks[[#This Row],[_IsSummary]],NETWORKDAYS.INTL(Tasks[[#This Row],[Start]],Tasks[[#This Row],[Finish]],WorkWeek,Holidays),N(Tasks[[#This Row],[_Days]])))</f>
        <v/>
      </c>
      <c r="HF195" s="43" t="n">
        <f aca="false">IF(Tasks[[#This Row],[Expected]]="",0,((Tasks[[#This Row],[Pessimistic]]-Tasks[[#This Row],[Optimistic]])/6)^2)</f>
        <v>0</v>
      </c>
      <c r="HG195" s="43" t="n">
        <f aca="false">IF(Tasks[[#This Row],[Expected]]="",0,Tasks[[#This Row],[Expected]]-N(Tasks[[#This Row],[_Days]]))</f>
        <v>0</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4"/>
      <c r="U196" s="23"/>
      <c r="V196" s="84"/>
      <c r="W196" s="23"/>
      <c r="X196" s="84"/>
      <c r="Y196" s="23"/>
      <c r="Z196" s="84"/>
      <c r="AA196" s="23"/>
      <c r="AB196" s="23"/>
      <c r="AC196" s="7"/>
      <c r="AD196" s="7"/>
      <c r="AE196" s="63" t="str">
        <f aca="false">IF(Tasks[[#This Row],[Task Name]]="","",IF(Tasks[[#This Row],[_IsSummary]],MIN(INDEX(Tasks[_ShownFcstStart],Tasks[[#This Row],[_Row]]+1):INDEX(Tasks[_ShownFcstStart],Tasks[[#This Row],[_Row]]+Tasks[[#This Row],[_Descendants]])),Tasks[[#This Row],[_ShownFcstStart]]))</f>
        <v/>
      </c>
      <c r="AF196" s="63"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6" s="7"/>
      <c r="AK196" s="22"/>
      <c r="AL196" s="23"/>
      <c r="AM196" s="7"/>
      <c r="AN196" s="47"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3" t="str">
        <f aca="false">IF(Tasks[[#This Row],[Task Name]]="","",IF(N(Tasks[[#This Row],[Baseline Start]])&gt;0,Tasks[[#This Row],[Baseline Start]],Tasks[[#This Row],[_CalcStart]]))</f>
        <v/>
      </c>
      <c r="AR196" s="63" t="str">
        <f aca="false">IF(Tasks[[#This Row],[Task Name]]="","",IF(N(Tasks[[#This Row],[Baseline Finish]])&gt;0,Tasks[[#This Row],[Baseline Finish]],Tasks[[#This Row],[_CalcFinish]]))</f>
        <v/>
      </c>
      <c r="AS196" s="47" t="str">
        <f aca="false">IF(Tasks[[#This Row],[Task Name]]="","",IF(Tasks[[#This Row],[Start]]&gt;=Tasks[[#This Row],[Planned Start]],NETWORKDAYS.INTL(Tasks[[#This Row],[Planned Start]],Tasks[[#This Row],[Start]],WorkWeek,Holidays)-1,1-NETWORKDAYS.INTL(Tasks[[#This Row],[Start]],Tasks[[#This Row],[Planned Start]],WorkWeek,Holidays)))</f>
        <v/>
      </c>
      <c r="AT196" s="63" t="str">
        <f aca="false">IF(Tasks[[#This Row],[Task Name]]="","",IF(Tasks[[#This Row],[_IsSummary]],MIN(INDEX(Tasks[_LeafLateStart],Tasks[[#This Row],[_Row]]+1):INDEX(Tasks[_LeafLateStart],Tasks[[#This Row],[_Row]]+Tasks[[#This Row],[_Descendants]])),Tasks[[#This Row],[_LeafLateStart]]))</f>
        <v/>
      </c>
      <c r="AU196" s="63" t="str">
        <f aca="false">IF(Tasks[[#This Row],[Task Name]]="","",IF(Tasks[[#This Row],[_IsSummary]],MAX(INDEX(Tasks[_LeafLateFinish],Tasks[[#This Row],[_Row]]+1):INDEX(Tasks[_LeafLateFinish],Tasks[[#This Row],[_Row]]+Tasks[[#This Row],[_Descendants]])),Tasks[[#This Row],[_LeafLateFinish]]))</f>
        <v/>
      </c>
      <c r="AV196" s="47"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5"/>
      <c r="BA1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6"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7"/>
      <c r="BJ196" s="22"/>
      <c r="BK196" s="47" t="str">
        <f aca="false">IF(OR(Tasks[[#This Row],[Task Name]]="",Tasks[[#This Row],[Baseline Duration]]=""),"",Tasks[[#This Row],[_SpanDays]]-N(Tasks[[#This Row],[Baseline Duration]]))</f>
        <v/>
      </c>
      <c r="BL196" s="86" t="str">
        <f aca="false">IF(OR(Tasks[[#This Row],[Task Name]]="",Tasks[[#This Row],[Baseline Work]]=""),"",Tasks[[#This Row],[Work]]-N(Tasks[[#This Row],[Baseline Work]]))</f>
        <v/>
      </c>
      <c r="BM196" s="63" t="str">
        <f aca="false">IF(Tasks[[#This Row],[Task Name]]="","",IF(OR(TakeBaseline="Yes",N(Tasks[[#This Row],[Baseline Start]])=0),Tasks[[#This Row],[Start]],Tasks[[#This Row],[Baseline Start]]))</f>
        <v/>
      </c>
      <c r="BN196" s="63" t="str">
        <f aca="false">IF(Tasks[[#This Row],[Task Name]]="","",IF(OR(TakeBaseline="Yes",N(Tasks[[#This Row],[Baseline Finish]])=0),Tasks[[#This Row],[Finish]],Tasks[[#This Row],[Baseline Finish]]))</f>
        <v/>
      </c>
      <c r="BO196" s="21" t="str">
        <f aca="false">IF(Tasks[[#This Row],[Task Name]]="","",IF(OR(TakeBaseline="Yes",N(Tasks[[#This Row],[Baseline Duration]])=0),Tasks[[#This Row],[_SpanDays]],Tasks[[#This Row],[Baseline Duration]]))</f>
        <v/>
      </c>
      <c r="BP196" s="86" t="str">
        <f aca="false">IF(Tasks[[#This Row],[Task Name]]="","",IF(OR(TakeBaseline="Yes",N(Tasks[[#This Row],[Baseline Work]])=0),Tasks[[#This Row],[Work]],Tasks[[#This Row],[Baseline Work]]))</f>
        <v/>
      </c>
      <c r="BQ196" s="7"/>
      <c r="BR196" s="7"/>
      <c r="BS196" s="22"/>
      <c r="BT196" s="88"/>
      <c r="BU196" s="23"/>
      <c r="BV196" s="23"/>
      <c r="BW196" s="23"/>
      <c r="BX196" s="89" t="str">
        <f aca="false">IF(AND(Tasks[[#This Row],[_IsLeaf]]=1,ISNUMBER(Tasks[[#This Row],[Optimistic]]),ISNUMBER(Tasks[[#This Row],[Pessimistic]])),ROUND((Tasks[[#This Row],[Optimistic]]+4*N(Tasks[[#This Row],[_Days]])+Tasks[[#This Row],[Pessimistic]])/6,1),"")</f>
        <v/>
      </c>
      <c r="BY196" s="87"/>
      <c r="BZ196" s="87"/>
      <c r="CA196" s="22"/>
      <c r="CB196" s="43" t="str">
        <f aca="false">IF(Tasks[[#This Row],[Task Name]]="","",MAX(1,N(Tasks[[#This Row],[Level]])))</f>
        <v/>
      </c>
      <c r="CC196" s="43" t="n">
        <f aca="false">ROW()-ROW(Tasks[[#Headers],[ID]])</f>
        <v>191</v>
      </c>
      <c r="CD196" s="43" t="n">
        <f aca="false">IF(OR(Tasks[[#This Row],[Task Name]]="",Tasks[[#This Row],[_Level]]&lt;=1),0,IFERROR(LOOKUP(2,1/(Tasks[[#Headers],[_Level]]:Tasks[[#This Row],[_Level]]=Tasks[[#This Row],[_Level]]-1),ROW(Tasks[[#Headers],[_Level]]:Tasks[[#This Row],[_Level]])),0))</f>
        <v>0</v>
      </c>
      <c r="CE196" s="43" t="n">
        <f aca="false">IFERROR(N(INDEX(Tasks[_Level],Tasks[[#This Row],[_Row]]+1)),0)</f>
        <v>0</v>
      </c>
      <c r="CF196" s="90" t="b">
        <f aca="false">AND(Tasks[[#This Row],[Task Name]]&lt;&gt;"",Tasks[[#This Row],[_NextLevel]]&gt;Tasks[[#This Row],[_Level]])</f>
        <v>0</v>
      </c>
      <c r="CG196" s="43" t="n">
        <f aca="false">IF(Tasks[[#This Row],[_IsSummary]],COUNTIF(Tasks[WBS],Tasks[[#This Row],[WBS]]&amp;".*"),0)</f>
        <v>0</v>
      </c>
      <c r="CH196" s="43" t="n">
        <f aca="false">IF(AND(Tasks[[#This Row],[Task Name]]&lt;&gt;"",NOT(Tasks[[#This Row],[_IsSummary]])),1,0)</f>
        <v>0</v>
      </c>
      <c r="CI196" s="43" t="n">
        <f aca="false">IF(N(Tasks[[#This Row],[_Pred1UID]])=0,0,IFERROR(MATCH(Tasks[[#This Row],[_Pred1UID]],Tasks[UID],0),-1))</f>
        <v>0</v>
      </c>
      <c r="CJ196" s="43" t="n">
        <f aca="false">IF(N(Tasks[[#This Row],[_Pred2UID]])=0,0,IFERROR(MATCH(Tasks[[#This Row],[_Pred2UID]],Tasks[UID],0),-1))</f>
        <v>0</v>
      </c>
      <c r="CK196" s="43" t="n">
        <f aca="false">IF(N(Tasks[[#This Row],[_Pred3UID]])=0,0,IFERROR(MATCH(Tasks[[#This Row],[_Pred3UID]],Tasks[UID],0),-1))</f>
        <v>0</v>
      </c>
      <c r="CL196" s="43" t="n">
        <f aca="false">IF(N(Tasks[[#This Row],[_Pred4UID]])=0,0,IFERROR(MATCH(Tasks[[#This Row],[_Pred4UID]],Tasks[UID],0),-1))</f>
        <v>0</v>
      </c>
      <c r="CM1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6" s="91" t="n">
        <f aca="false">IF(OR(Tasks[[#This Row],[_ConstraintCode]]=2,Tasks[[#This Row],[_ConstraintCode]]=3,Tasks[[#This Row],[_ConstraintCode]]=4,Tasks[[#This Row],[_ConstraintCode]]=6),Tasks[[#This Row],[_ConstraintStart]],0)</f>
        <v>0</v>
      </c>
      <c r="CP196" s="91" t="n">
        <f aca="false">IF(OR(Tasks[[#This Row],[_ConstraintCode]]=2,Tasks[[#This Row],[_ConstraintCode]]=3,Tasks[[#This Row],[_ConstraintCode]]=5,Tasks[[#This Row],[_ConstraintCode]]=7),Tasks[[#This Row],[_ConstraintStart]],2958465)</f>
        <v>2958465</v>
      </c>
      <c r="CQ1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91" t="str">
        <f aca="false">IF(NOT(Tasks[[#This Row],[_IsLeaf]]=1),"",IF(N(Tasks[[#This Row],[_Days]])&lt;=0,Tasks[[#This Row],[_LeafCalcStart]],WORKDAY.INTL(Tasks[[#This Row],[_LeafCalcStart]],Tasks[[#This Row],[_Days]]-1,WorkWeek,Holidays)))</f>
        <v/>
      </c>
      <c r="CS1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3" t="str">
        <f aca="false">IF(Tasks[[#This Row],[_Predecessors]]="","",TRIM(MID(SUBSTITUTE(SUBSTITUTE(SUBSTITUTE(UPPER(Tasks[[#This Row],[_Predecessors]]),";",",")," ",""),",",REPT(" ",99)),1,99)))</f>
        <v/>
      </c>
      <c r="CV196" s="43" t="str">
        <f aca="false">IF(Tasks[[#This Row],[_Pred1Text]]="","",IFERROR(VALUE(LEFT(Tasks[[#This Row],[_Pred1Text]],MIN(FIND("F",Tasks[[#This Row],[_Pred1Text]]&amp;"F"),FIND("S",Tasks[[#This Row],[_Pred1Text]]&amp;"S"),FIND("+",Tasks[[#This Row],[_Pred1Text]]&amp;"+"),FIND("-",Tasks[[#This Row],[_Pred1Text]]&amp;"-"))-1)),""))</f>
        <v/>
      </c>
      <c r="CW1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3" t="str">
        <f aca="false">IF(Tasks[[#This Row],[_Pred1Text]]="","",TRIM(MID(SUBSTITUTE(SUBSTITUTE(SUBSTITUTE(UPPER(Tasks[[#This Row],[_Predecessors]]),";",",")," ",""),",",REPT(" ",99)),100,99)))</f>
        <v/>
      </c>
      <c r="CZ196" s="43" t="str">
        <f aca="false">IF(Tasks[[#This Row],[_Pred2Text]]="","",IFERROR(VALUE(LEFT(Tasks[[#This Row],[_Pred2Text]],MIN(FIND("F",Tasks[[#This Row],[_Pred2Text]]&amp;"F"),FIND("S",Tasks[[#This Row],[_Pred2Text]]&amp;"S"),FIND("+",Tasks[[#This Row],[_Pred2Text]]&amp;"+"),FIND("-",Tasks[[#This Row],[_Pred2Text]]&amp;"-"))-1)),""))</f>
        <v/>
      </c>
      <c r="DA1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3" t="str">
        <f aca="false">IF(Tasks[[#This Row],[_Pred2Text]]="","",TRIM(MID(SUBSTITUTE(SUBSTITUTE(SUBSTITUTE(UPPER(Tasks[[#This Row],[_Predecessors]]),";",",")," ",""),",",REPT(" ",99)),199,99)))</f>
        <v/>
      </c>
      <c r="DD196" s="43" t="str">
        <f aca="false">IF(Tasks[[#This Row],[_Pred3Text]]="","",IFERROR(VALUE(LEFT(Tasks[[#This Row],[_Pred3Text]],MIN(FIND("F",Tasks[[#This Row],[_Pred3Text]]&amp;"F"),FIND("S",Tasks[[#This Row],[_Pred3Text]]&amp;"S"),FIND("+",Tasks[[#This Row],[_Pred3Text]]&amp;"+"),FIND("-",Tasks[[#This Row],[_Pred3Text]]&amp;"-"))-1)),""))</f>
        <v/>
      </c>
      <c r="DE1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3" t="str">
        <f aca="false">IF(Tasks[[#This Row],[_Pred3Text]]="","",TRIM(MID(SUBSTITUTE(SUBSTITUTE(SUBSTITUTE(UPPER(Tasks[[#This Row],[_Predecessors]]),";",",")," ",""),",",REPT(" ",99)),298,99)))</f>
        <v/>
      </c>
      <c r="DH196" s="43" t="str">
        <f aca="false">IF(Tasks[[#This Row],[_Pred4Text]]="","",IFERROR(VALUE(LEFT(Tasks[[#This Row],[_Pred4Text]],MIN(FIND("F",Tasks[[#This Row],[_Pred4Text]]&amp;"F"),FIND("S",Tasks[[#This Row],[_Pred4Text]]&amp;"S"),FIND("+",Tasks[[#This Row],[_Pred4Text]]&amp;"+"),FIND("-",Tasks[[#This Row],[_Pred4Text]]&amp;"-"))-1)),""))</f>
        <v/>
      </c>
      <c r="DI1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3" t="str">
        <f aca="false">IF(OR(Tasks[[#This Row],[Task Name]]="",Tasks[[#This Row],[_Resources]]=""),"",TRIM(MID(SUBSTITUTE(Tasks[[#This Row],[_Resources]],",",REPT(" ",99)),1,99)))</f>
        <v/>
      </c>
      <c r="DL196" s="43" t="str">
        <f aca="false">IF(Tasks[[#This Row],[_Res1Text]]="","",TRIM(MID(SUBSTITUTE(Tasks[[#This Row],[_Resources]],",",REPT(" ",99)),100,99)))</f>
        <v/>
      </c>
      <c r="DM196" s="43" t="str">
        <f aca="false">IF(Tasks[[#This Row],[_Res2Text]]="","",TRIM(MID(SUBSTITUTE(Tasks[[#This Row],[_Resources]],",",REPT(" ",99)),199,99)))</f>
        <v/>
      </c>
      <c r="DN196" s="43" t="str">
        <f aca="false">IF(Tasks[[#This Row],[_Res3Text]]="","",TRIM(MID(SUBSTITUTE(Tasks[[#This Row],[_Resources]],",",REPT(" ",99)),298,99)))</f>
        <v/>
      </c>
      <c r="DO196" s="43" t="n">
        <f aca="false">IF(Tasks[[#This Row],[_Res1Text]]="",0,IFERROR(MATCH(TRIM(LEFT(Tasks[[#This Row],[_Res1Text]],FIND("[",Tasks[[#This Row],[_Res1Text]]&amp;"[")-1)),res_Name,0),IFERROR(MATCH(TRIM(LEFT(Tasks[[#This Row],[_Res1Text]],FIND("[",Tasks[[#This Row],[_Res1Text]]&amp;"[")-1)),res_Initials,0),0)))</f>
        <v>0</v>
      </c>
      <c r="DP196" s="43" t="n">
        <f aca="false">IF(Tasks[[#This Row],[_Res2Text]]="",0,IFERROR(MATCH(TRIM(LEFT(Tasks[[#This Row],[_Res2Text]],FIND("[",Tasks[[#This Row],[_Res2Text]]&amp;"[")-1)),res_Name,0),IFERROR(MATCH(TRIM(LEFT(Tasks[[#This Row],[_Res2Text]],FIND("[",Tasks[[#This Row],[_Res2Text]]&amp;"[")-1)),res_Initials,0),0)))</f>
        <v>0</v>
      </c>
      <c r="DQ196" s="43" t="n">
        <f aca="false">IF(Tasks[[#This Row],[_Res3Text]]="",0,IFERROR(MATCH(TRIM(LEFT(Tasks[[#This Row],[_Res3Text]],FIND("[",Tasks[[#This Row],[_Res3Text]]&amp;"[")-1)),res_Name,0),IFERROR(MATCH(TRIM(LEFT(Tasks[[#This Row],[_Res3Text]],FIND("[",Tasks[[#This Row],[_Res3Text]]&amp;"[")-1)),res_Initials,0),0)))</f>
        <v>0</v>
      </c>
      <c r="DR196" s="43" t="n">
        <f aca="false">IF(Tasks[[#This Row],[_Res4Text]]="",0,IFERROR(MATCH(TRIM(LEFT(Tasks[[#This Row],[_Res4Text]],FIND("[",Tasks[[#This Row],[_Res4Text]]&amp;"[")-1)),res_Name,0),IFERROR(MATCH(TRIM(LEFT(Tasks[[#This Row],[_Res4Text]],FIND("[",Tasks[[#This Row],[_Res4Text]]&amp;"[")-1)),res_Initials,0),0)))</f>
        <v>0</v>
      </c>
      <c r="DS196" s="43" t="str">
        <f aca="false">IF(Tasks[[#This Row],[_Res1Text]]="","",IF(Tasks[[#This Row],[_Res1Row]]&gt;0,INDEX(res_Name,Tasks[[#This Row],[_Res1Row]]),TRIM(LEFT(Tasks[[#This Row],[_Res1Text]],FIND("[",Tasks[[#This Row],[_Res1Text]]&amp;"[")-1))))</f>
        <v/>
      </c>
      <c r="DT1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3" t="n">
        <f aca="false">IF(NOT(Tasks[[#This Row],[_IsLeaf]]=1),0,(Tasks[[#This Row],[_Resource1]]&lt;&gt;"")+(Tasks[[#This Row],[_Res2]]&lt;&gt;"")+(Tasks[[#This Row],[_Res3]]&lt;&gt;"")+(Tasks[[#This Row],[_Res4]]&lt;&gt;""))</f>
        <v>0</v>
      </c>
      <c r="DV196" s="43" t="str">
        <f aca="false">IF(Tasks[[#This Row],[_Res2Text]]="","",IF(Tasks[[#This Row],[_Res2Row]]&gt;0,INDEX(res_Name,Tasks[[#This Row],[_Res2Row]]),TRIM(LEFT(Tasks[[#This Row],[_Res2Text]],FIND("[",Tasks[[#This Row],[_Res2Text]]&amp;"[")-1))))</f>
        <v/>
      </c>
      <c r="DW1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3" t="n">
        <f aca="false">IF(OR(NOT(Tasks[[#This Row],[_IsLeaf]]=1),Tasks[[#This Row],[_Res2Row]]=0),0,N(Tasks[[#This Row],[_Days]])*HoursPerDay*IF(Tasks[[#This Row],[_Res2Units]]="",DefaultUnits,Tasks[[#This Row],[_Res2Units]]))</f>
        <v>0</v>
      </c>
      <c r="DY196" s="43" t="n">
        <f aca="false">IF(AND(AND(Tasks[[#This Row],[_IsLeaf]]=1,Tasks[[#This Row],[_LeafTotalWork]]&gt;0),Tasks[[#This Row],[_Res2Work]]&gt;0),Tasks[[#This Row],[_Res2Work]]/(Tasks[[#This Row],[_FinishWorkday]]-Tasks[[#This Row],[_StartWorkday]]+1),0)</f>
        <v>0</v>
      </c>
      <c r="DZ196" s="43" t="n">
        <f aca="false">Tasks[[#This Row],[_Res2WorkPerWD]]*MAX(0,Tasks[[#This Row],[_StartWorkday]]-1)</f>
        <v>0</v>
      </c>
      <c r="EA196" s="43" t="n">
        <f aca="false">Tasks[[#This Row],[_Res2Work]]*Tasks[[#This Row],[_LeafProgress]]</f>
        <v>0</v>
      </c>
      <c r="EB196" s="43" t="str">
        <f aca="false">IF(Tasks[[#This Row],[_Res3Text]]="","",IF(Tasks[[#This Row],[_Res3Row]]&gt;0,INDEX(res_Name,Tasks[[#This Row],[_Res3Row]]),TRIM(LEFT(Tasks[[#This Row],[_Res3Text]],FIND("[",Tasks[[#This Row],[_Res3Text]]&amp;"[")-1))))</f>
        <v/>
      </c>
      <c r="EC1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3" t="n">
        <f aca="false">IF(OR(NOT(Tasks[[#This Row],[_IsLeaf]]=1),Tasks[[#This Row],[_Res3Row]]=0),0,N(Tasks[[#This Row],[_Days]])*HoursPerDay*IF(Tasks[[#This Row],[_Res3Units]]="",DefaultUnits,Tasks[[#This Row],[_Res3Units]]))</f>
        <v>0</v>
      </c>
      <c r="EE196" s="43" t="n">
        <f aca="false">IF(AND(AND(Tasks[[#This Row],[_IsLeaf]]=1,Tasks[[#This Row],[_LeafTotalWork]]&gt;0),Tasks[[#This Row],[_Res3Work]]&gt;0),Tasks[[#This Row],[_Res3Work]]/(Tasks[[#This Row],[_FinishWorkday]]-Tasks[[#This Row],[_StartWorkday]]+1),0)</f>
        <v>0</v>
      </c>
      <c r="EF196" s="43" t="n">
        <f aca="false">Tasks[[#This Row],[_Res3WorkPerWD]]*MAX(0,Tasks[[#This Row],[_StartWorkday]]-1)</f>
        <v>0</v>
      </c>
      <c r="EG196" s="43" t="n">
        <f aca="false">Tasks[[#This Row],[_Res3Work]]*Tasks[[#This Row],[_LeafProgress]]</f>
        <v>0</v>
      </c>
      <c r="EH196" s="43" t="str">
        <f aca="false">IF(Tasks[[#This Row],[_Res4Text]]="","",IF(Tasks[[#This Row],[_Res4Row]]&gt;0,INDEX(res_Name,Tasks[[#This Row],[_Res4Row]]),TRIM(LEFT(Tasks[[#This Row],[_Res4Text]],FIND("[",Tasks[[#This Row],[_Res4Text]]&amp;"[")-1))))</f>
        <v/>
      </c>
      <c r="EI1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3" t="n">
        <f aca="false">IF(OR(NOT(Tasks[[#This Row],[_IsLeaf]]=1),Tasks[[#This Row],[_Res4Row]]=0),0,N(Tasks[[#This Row],[_Days]])*HoursPerDay*IF(Tasks[[#This Row],[_Res4Units]]="",DefaultUnits,Tasks[[#This Row],[_Res4Units]]))</f>
        <v>0</v>
      </c>
      <c r="EK196" s="43" t="n">
        <f aca="false">IF(AND(AND(Tasks[[#This Row],[_IsLeaf]]=1,Tasks[[#This Row],[_LeafTotalWork]]&gt;0),Tasks[[#This Row],[_Res4Work]]&gt;0),Tasks[[#This Row],[_Res4Work]]/(Tasks[[#This Row],[_FinishWorkday]]-Tasks[[#This Row],[_StartWorkday]]+1),0)</f>
        <v>0</v>
      </c>
      <c r="EL196" s="43" t="n">
        <f aca="false">Tasks[[#This Row],[_Res4WorkPerWD]]*MAX(0,Tasks[[#This Row],[_StartWorkday]]-1)</f>
        <v>0</v>
      </c>
      <c r="EM196" s="43" t="n">
        <f aca="false">Tasks[[#This Row],[_Res4Work]]*Tasks[[#This Row],[_LeafProgress]]</f>
        <v>0</v>
      </c>
      <c r="EN196" s="43" t="n">
        <f aca="false">IF(ISNUMBER(Tasks[[#This Row],[% Complete]]),Tasks[[#This Row],[% Complete]],IF(Tasks[[#This Row],[Stage]]="",0,IFERROR(INDEX(stg_Pct,MATCH(Tasks[[#This Row],[Stage]],stg_Name,0)),0)))</f>
        <v>0</v>
      </c>
      <c r="EO196" s="43" t="n">
        <f aca="false">IF(NOT(Tasks[[#This Row],[_IsLeaf]]=1),0,IF(N(Tasks[[#This Row],[Actual Finish]])&gt;0,1,MIN(1,Tasks[[#This Row],[_Pct]])))</f>
        <v>0</v>
      </c>
      <c r="EP196" s="43" t="n">
        <f aca="false">IF(OR(NOT(Tasks[[#This Row],[_IsLeaf]]=1),Tasks[[#This Row],[_Res1Row]]=0),0,N(Tasks[[#This Row],[_Days]])*HoursPerDay*IF(Tasks[[#This Row],[_Units1]]="",DefaultUnits,Tasks[[#This Row],[_Units1]]))</f>
        <v>0</v>
      </c>
      <c r="EQ196" s="43" t="n">
        <f aca="false">Tasks[[#This Row],[_LeafWork]]+Tasks[[#This Row],[_Res2Work]]+Tasks[[#This Row],[_Res3Work]]+Tasks[[#This Row],[_Res4Work]]</f>
        <v>0</v>
      </c>
      <c r="ER1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3" t="n">
        <f aca="false">IF(NOT(Tasks[[#This Row],[_IsLeaf]]=1),0,MAX(_xlfn.MAXIFS(Tasks[_Row],Tasks[_Pred1UID],Tasks[[#This Row],[UID]]),_xlfn.MAXIFS(Tasks[_Row],Tasks[_Pred2UID],Tasks[[#This Row],[UID]]),_xlfn.MAXIFS(Tasks[_Row],Tasks[_Pred3UID],Tasks[[#This Row],[UID]]),_xlfn.MAXIFS(Tasks[_Row],Tasks[_Pred4UID],Tasks[[#This Row],[UID]])))</f>
        <v>0</v>
      </c>
      <c r="FA1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91" t="str">
        <f aca="false">IF(NOT(Tasks[[#This Row],[_IsLeaf]]=1),"",IF(N(Tasks[[#This Row],[_Days]])&lt;=0,Tasks[[#This Row],[_LeafLateFinish]],WORKDAY.INTL(Tasks[[#This Row],[_LeafLateFinish]],-(Tasks[[#This Row],[_Days]]-1),WorkWeek,Holidays)))</f>
        <v/>
      </c>
      <c r="FD1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6" s="90" t="b">
        <f aca="false">AND(Tasks[[#This Row],[_IsLeaf]]=1,Tasks[[#This Row],[_LeafProgress]]&lt;1,N(Tasks[[#This Row],[_LeafTotalSlack]])&lt;=CriticalSlackDays)</f>
        <v>0</v>
      </c>
      <c r="FF196" s="43" t="n">
        <f aca="false">IF(AND(Tasks[[#This Row],[_IsLeaf]]=1,Tasks[[#This Row],[_ConstraintCode]]=1,Tasks[[#This Row],[Mode]]&lt;&gt;"Manual",N(Tasks[[#This Row],[Actual Start]])=0),MAX(0,N(Tasks[[#This Row],[Free Slack]])),0)</f>
        <v>0</v>
      </c>
      <c r="FG196" s="91" t="str">
        <f aca="false">IF(NOT(Tasks[[#This Row],[_IsLeaf]]=1),"",IF(Tasks[[#This Row],[_AlapShift]]=0,Tasks[[#This Row],[_LeafCalcStart]],WORKDAY.INTL(Tasks[[#This Row],[_LeafCalcStart]],Tasks[[#This Row],[_AlapShift]],WorkWeek,Holidays)))</f>
        <v/>
      </c>
      <c r="FH196" s="91" t="str">
        <f aca="false">IF(NOT(Tasks[[#This Row],[_IsLeaf]]=1),"",IF(Tasks[[#This Row],[_AlapShift]]=0,Tasks[[#This Row],[_LeafCalcFinish]],WORKDAY.INTL(Tasks[[#This Row],[_LeafCalcFinish]],Tasks[[#This Row],[_AlapShift]],WorkWeek,Holidays)))</f>
        <v/>
      </c>
      <c r="FI196" s="91" t="str">
        <f aca="false">IF(NOT(Tasks[[#This Row],[_IsLeaf]]=1),"",IF(Tasks[[#This Row],[_AlapShift]]=0,Tasks[[#This Row],[_LeafFcstStart]],WORKDAY.INTL(Tasks[[#This Row],[_LeafFcstStart]],Tasks[[#This Row],[_AlapShift]],WorkWeek,Holidays)))</f>
        <v/>
      </c>
      <c r="FJ196" s="91" t="str">
        <f aca="false">IF(NOT(Tasks[[#This Row],[_IsLeaf]]=1),"",IF(Tasks[[#This Row],[_AlapShift]]=0,Tasks[[#This Row],[_LeafFcstFinish]],WORKDAY.INTL(Tasks[[#This Row],[_LeafFcstFinish]],Tasks[[#This Row],[_AlapShift]],WorkWeek,Holidays)))</f>
        <v/>
      </c>
      <c r="FK196" s="91" t="str">
        <f aca="false">IF(Tasks[[#This Row],[Task Name]]="","",IF(Tasks[[#This Row],[_IsSummary]],MIN(INDEX(Tasks[_ShownCalcStart],Tasks[[#This Row],[_Row]]+1):INDEX(Tasks[_ShownCalcStart],Tasks[[#This Row],[_Row]]+Tasks[[#This Row],[_Descendants]])),Tasks[[#This Row],[_ShownCalcStart]]))</f>
        <v/>
      </c>
      <c r="FL196" s="91" t="str">
        <f aca="false">IF(Tasks[[#This Row],[Task Name]]="","",IF(Tasks[[#This Row],[_IsSummary]],MAX(INDEX(Tasks[_ShownCalcFinish],Tasks[[#This Row],[_Row]]+1):INDEX(Tasks[_ShownCalcFinish],Tasks[[#This Row],[_Row]]+Tasks[[#This Row],[_Descendants]])),Tasks[[#This Row],[_ShownCalcFinish]]))</f>
        <v/>
      </c>
      <c r="FM1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6" s="43" t="n">
        <f aca="false">IF(AND(Tasks[[#This Row],[_IsLeaf]]=1,Tasks[[#This Row],[_LeafTotalWork]]&gt;0),NETWORKDAYS.INTL(ProjectStart,Tasks[[#This Row],[_ShownFcstStart]],WorkWeek,Holidays),0)</f>
        <v>0</v>
      </c>
      <c r="FZ196" s="43" t="n">
        <f aca="false">IF(AND(Tasks[[#This Row],[_IsLeaf]]=1,Tasks[[#This Row],[_LeafTotalWork]]&gt;0),MAX(Tasks[[#This Row],[_StartWorkday]],NETWORKDAYS.INTL(ProjectStart,Tasks[[#This Row],[_ShownFcstFinish]],WorkWeek,Holidays)),0)</f>
        <v>0</v>
      </c>
      <c r="GA196" s="43" t="n">
        <f aca="false">IF(AND(Tasks[[#This Row],[_IsLeaf]]=1,Tasks[[#This Row],[_LeafTotalWork]]&gt;0),Tasks[[#This Row],[_LeafWork]]/(Tasks[[#This Row],[_FinishWorkday]]-Tasks[[#This Row],[_StartWorkday]]+1),0)</f>
        <v>0</v>
      </c>
      <c r="GB196" s="43" t="n">
        <f aca="false">Tasks[[#This Row],[_WorkPerWorkday]]*(Tasks[[#This Row],[_StartWorkday]]-1)</f>
        <v>-0</v>
      </c>
      <c r="GC196" s="43" t="n">
        <f aca="false">IF(Tasks[[#This Row],[_IsLeaf]]=1,MAX(N(Tasks[[#This Row],[_Days]]),0.1),0)</f>
        <v>0</v>
      </c>
      <c r="GD196" s="43" t="n">
        <f aca="false">Tasks[[#This Row],[_WeightDur]]*Tasks[[#This Row],[_LeafProgress]]</f>
        <v>0</v>
      </c>
      <c r="GE196" s="43" t="n">
        <f aca="false">Tasks[[#This Row],[_WeightDur]]*Tasks[[#This Row],[_PlannedPct]]</f>
        <v>0</v>
      </c>
      <c r="GF1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3" t="str">
        <f aca="false">IF(AND(Tasks[[#This Row],[_IsLeaf]]=1,N(Tasks[[#This Row],[_Days]])=0,Tasks[[#This Row],[_LeafProgress]]&lt;1),Tasks[[#This Row],[_ShownFcstFinish]]+Tasks[[#This Row],[_Row]]/100000,"")</f>
        <v/>
      </c>
      <c r="GH1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6" s="43" t="str">
        <f aca="false">IF(Tasks[[#This Row],[Task Name]]="","",LEFT(Tasks[[#This Row],[WBS]],FIND(".",Tasks[[#This Row],[WBS]]&amp;".")-1))</f>
        <v/>
      </c>
      <c r="GJ196" s="43" t="str">
        <f aca="false">IF(AND(Tasks[[#This Row],[Task Name]]&lt;&gt;"",Tasks[[#This Row],[_Level]]=1),Tasks[[#This Row],[_Row]],"")</f>
        <v/>
      </c>
      <c r="GK196" s="43" t="str">
        <f aca="false">IF(AND(Tasks[[#This Row],[_IsLeaf]]=1,N(Tasks[[#This Row],[_Days]])=0),Tasks[[#This Row],[Planned Finish]]+Tasks[[#This Row],[_Row]]/100000,"")</f>
        <v/>
      </c>
      <c r="GL196" s="43" t="str">
        <f aca="false">IF(AND(Tasks[[#This Row],[_IsLeaf]]=1,Tasks[[#This Row],[_LeafProgress]]&lt;1,OR(N(Tasks[[#This Row],[Finish Var]])&gt;0,Tasks[[#This Row],[Status]]="Late Start")),MAX(0,Tasks[[#This Row],[Finish Var]])+1-Tasks[[#This Row],[_Row]]/1000000,"")</f>
        <v/>
      </c>
      <c r="GM196" s="43" t="str">
        <f aca="false">IF(AND(Tasks[[#This Row],[_IsLeaf]]=1,N(Tasks[[#This Row],[Actual Start]])=0,Tasks[[#This Row],[_ShownFcstStart]]&gt;=StatusDate,Tasks[[#This Row],[_ShownFcstStart]]&lt;=LookaheadEnd),Tasks[[#This Row],[_ShownFcstStart]]+Tasks[[#This Row],[_Row]]/100000,"")</f>
        <v/>
      </c>
      <c r="GN196" s="43" t="str">
        <f aca="false">IF(AND(Tasks[[#This Row],[_IsLeaf]]=1,Tasks[[#This Row],[_LeafProgress]]&lt;1,Tasks[[#This Row],[_ShownFcstFinish]]&gt;=StatusDate,Tasks[[#This Row],[_ShownFcstFinish]]&lt;=LookaheadEnd),Tasks[[#This Row],[_ShownFcstFinish]]+Tasks[[#This Row],[_Row]]/100000,"")</f>
        <v/>
      </c>
      <c r="GO196" s="43" t="str">
        <f aca="false">IF(Tasks[[#This Row],[_LeafCritical]],Tasks[[#This Row],[_ShownFcstStart]]+Tasks[[#This Row],[_Row]]/100000,"")</f>
        <v/>
      </c>
      <c r="GP196" s="43" t="n">
        <f aca="false">Tasks[[#This Row],[_LeafWork]]*Tasks[[#This Row],[_LeafProgress]]</f>
        <v>0</v>
      </c>
      <c r="GQ196" s="91" t="str">
        <f aca="false">IF(AND(Tasks[[#This Row],[_IsLeaf]]=1,Tasks[[#This Row],[_LeafProgress]]&gt;=1),IF(N(Tasks[[#This Row],[Actual Finish]])&gt;0,Tasks[[#This Row],[Actual Finish]],Tasks[[#This Row],[_ShownFcstFinish]]),"")</f>
        <v/>
      </c>
      <c r="GR196" s="43" t="n">
        <f aca="false">IF(Tasks[[#This Row],[_IsLeaf]]=1,N(Tasks[[#This Row],[Story Points]]),0)</f>
        <v>0</v>
      </c>
      <c r="GS196" s="43" t="str">
        <f aca="false">""</f>
        <v/>
      </c>
      <c r="GT196" s="90" t="b">
        <f aca="false">IF(Tasks[[#This Row],[Task Name]]="",FALSE(),AND(Tasks[[#This Row],[_IsLeaf]]=1,N(Tasks[[#This Row],[_Days]])=0))</f>
        <v>0</v>
      </c>
      <c r="GU196" s="91" t="n">
        <f aca="false">IF(Tasks[[#This Row],[Task Name]]="",0,IF(AND(Tasks[[#This Row],[_IsLeaf]]=1,NOT(Tasks[[#This Row],[_IsMilestone]]),N(Tasks[[#This Row],[Progress]])&gt;0),Tasks[[#This Row],[Start]],0))</f>
        <v>0</v>
      </c>
      <c r="GV196" s="91" t="n">
        <f aca="false">IF(Tasks[[#This Row],[_DoneFrom]]=0,0,IF(Tasks[[#This Row],[Progress]]&gt;=1,Tasks[[#This Row],[Finish]],MAX(Tasks[[#This Row],[_DoneFrom]],Tasks[[#This Row],[Start]]+ROUND((Tasks[[#This Row],[Finish]]-Tasks[[#This Row],[Start]]+1)*Tasks[[#This Row],[Progress]],0)-1)))</f>
        <v>0</v>
      </c>
      <c r="GW196" s="91" t="n">
        <f aca="false">IF(Tasks[[#This Row],[Task Name]]="",0,IF(OR(NOT(Tasks[[#This Row],[_IsLeaf]]=1),Tasks[[#This Row],[_IsMilestone]],N(Tasks[[#This Row],[Progress]])&gt;=1),0,IF(Tasks[[#This Row],[_DoneTo]]&gt;0,Tasks[[#This Row],[_DoneTo]]+1,Tasks[[#This Row],[Start]])))</f>
        <v>0</v>
      </c>
      <c r="GX196" s="91" t="n">
        <f aca="false">IF(Tasks[[#This Row],[_RemFrom]]=0,0,Tasks[[#This Row],[Finish]])</f>
        <v>0</v>
      </c>
      <c r="GY196" s="90" t="b">
        <f aca="false">IF(Tasks[[#This Row],[Task Name]]="",FALSE(),OR(NOT(BaselineSet),N(Tasks[[#This Row],[Baseline Start]])&gt;0))</f>
        <v>0</v>
      </c>
      <c r="GZ19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92" t="str">
        <f aca="false">IF(Tasks[[#This Row],[_IsLeaf]]=1,Tasks[[#This Row],[_Row]],"")</f>
        <v/>
      </c>
      <c r="HD196" s="92" t="str">
        <f aca="false">IFERROR(INDEX(Tasks[UID],SMALL(Tasks[_PickKey],Tasks[[#This Row],[_Row]]))&amp;" "&amp;INDEX(Tasks[Task Name],SMALL(Tasks[_PickKey],Tasks[[#This Row],[_Row]])),"")</f>
        <v/>
      </c>
      <c r="HE196" s="43" t="str">
        <f aca="false">IF(Tasks[[#This Row],[Task Name]]="","",IF(Tasks[[#This Row],[_IsSummary]],NETWORKDAYS.INTL(Tasks[[#This Row],[Start]],Tasks[[#This Row],[Finish]],WorkWeek,Holidays),N(Tasks[[#This Row],[_Days]])))</f>
        <v/>
      </c>
      <c r="HF196" s="43" t="n">
        <f aca="false">IF(Tasks[[#This Row],[Expected]]="",0,((Tasks[[#This Row],[Pessimistic]]-Tasks[[#This Row],[Optimistic]])/6)^2)</f>
        <v>0</v>
      </c>
      <c r="HG196" s="43" t="n">
        <f aca="false">IF(Tasks[[#This Row],[Expected]]="",0,Tasks[[#This Row],[Expected]]-N(Tasks[[#This Row],[_Days]]))</f>
        <v>0</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4"/>
      <c r="U197" s="23"/>
      <c r="V197" s="84"/>
      <c r="W197" s="23"/>
      <c r="X197" s="84"/>
      <c r="Y197" s="23"/>
      <c r="Z197" s="84"/>
      <c r="AA197" s="23"/>
      <c r="AB197" s="23"/>
      <c r="AC197" s="7"/>
      <c r="AD197" s="7"/>
      <c r="AE197" s="63" t="str">
        <f aca="false">IF(Tasks[[#This Row],[Task Name]]="","",IF(Tasks[[#This Row],[_IsSummary]],MIN(INDEX(Tasks[_ShownFcstStart],Tasks[[#This Row],[_Row]]+1):INDEX(Tasks[_ShownFcstStart],Tasks[[#This Row],[_Row]]+Tasks[[#This Row],[_Descendants]])),Tasks[[#This Row],[_ShownFcstStart]]))</f>
        <v/>
      </c>
      <c r="AF197" s="63"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7" s="7"/>
      <c r="AK197" s="22"/>
      <c r="AL197" s="23"/>
      <c r="AM197" s="7"/>
      <c r="AN197" s="47"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3" t="str">
        <f aca="false">IF(Tasks[[#This Row],[Task Name]]="","",IF(N(Tasks[[#This Row],[Baseline Start]])&gt;0,Tasks[[#This Row],[Baseline Start]],Tasks[[#This Row],[_CalcStart]]))</f>
        <v/>
      </c>
      <c r="AR197" s="63" t="str">
        <f aca="false">IF(Tasks[[#This Row],[Task Name]]="","",IF(N(Tasks[[#This Row],[Baseline Finish]])&gt;0,Tasks[[#This Row],[Baseline Finish]],Tasks[[#This Row],[_CalcFinish]]))</f>
        <v/>
      </c>
      <c r="AS197" s="47" t="str">
        <f aca="false">IF(Tasks[[#This Row],[Task Name]]="","",IF(Tasks[[#This Row],[Start]]&gt;=Tasks[[#This Row],[Planned Start]],NETWORKDAYS.INTL(Tasks[[#This Row],[Planned Start]],Tasks[[#This Row],[Start]],WorkWeek,Holidays)-1,1-NETWORKDAYS.INTL(Tasks[[#This Row],[Start]],Tasks[[#This Row],[Planned Start]],WorkWeek,Holidays)))</f>
        <v/>
      </c>
      <c r="AT197" s="63" t="str">
        <f aca="false">IF(Tasks[[#This Row],[Task Name]]="","",IF(Tasks[[#This Row],[_IsSummary]],MIN(INDEX(Tasks[_LeafLateStart],Tasks[[#This Row],[_Row]]+1):INDEX(Tasks[_LeafLateStart],Tasks[[#This Row],[_Row]]+Tasks[[#This Row],[_Descendants]])),Tasks[[#This Row],[_LeafLateStart]]))</f>
        <v/>
      </c>
      <c r="AU197" s="63" t="str">
        <f aca="false">IF(Tasks[[#This Row],[Task Name]]="","",IF(Tasks[[#This Row],[_IsSummary]],MAX(INDEX(Tasks[_LeafLateFinish],Tasks[[#This Row],[_Row]]+1):INDEX(Tasks[_LeafLateFinish],Tasks[[#This Row],[_Row]]+Tasks[[#This Row],[_Descendants]])),Tasks[[#This Row],[_LeafLateFinish]]))</f>
        <v/>
      </c>
      <c r="AV197" s="47"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5"/>
      <c r="BA1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6"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7"/>
      <c r="BJ197" s="22"/>
      <c r="BK197" s="47" t="str">
        <f aca="false">IF(OR(Tasks[[#This Row],[Task Name]]="",Tasks[[#This Row],[Baseline Duration]]=""),"",Tasks[[#This Row],[_SpanDays]]-N(Tasks[[#This Row],[Baseline Duration]]))</f>
        <v/>
      </c>
      <c r="BL197" s="86" t="str">
        <f aca="false">IF(OR(Tasks[[#This Row],[Task Name]]="",Tasks[[#This Row],[Baseline Work]]=""),"",Tasks[[#This Row],[Work]]-N(Tasks[[#This Row],[Baseline Work]]))</f>
        <v/>
      </c>
      <c r="BM197" s="63" t="str">
        <f aca="false">IF(Tasks[[#This Row],[Task Name]]="","",IF(OR(TakeBaseline="Yes",N(Tasks[[#This Row],[Baseline Start]])=0),Tasks[[#This Row],[Start]],Tasks[[#This Row],[Baseline Start]]))</f>
        <v/>
      </c>
      <c r="BN197" s="63" t="str">
        <f aca="false">IF(Tasks[[#This Row],[Task Name]]="","",IF(OR(TakeBaseline="Yes",N(Tasks[[#This Row],[Baseline Finish]])=0),Tasks[[#This Row],[Finish]],Tasks[[#This Row],[Baseline Finish]]))</f>
        <v/>
      </c>
      <c r="BO197" s="21" t="str">
        <f aca="false">IF(Tasks[[#This Row],[Task Name]]="","",IF(OR(TakeBaseline="Yes",N(Tasks[[#This Row],[Baseline Duration]])=0),Tasks[[#This Row],[_SpanDays]],Tasks[[#This Row],[Baseline Duration]]))</f>
        <v/>
      </c>
      <c r="BP197" s="86" t="str">
        <f aca="false">IF(Tasks[[#This Row],[Task Name]]="","",IF(OR(TakeBaseline="Yes",N(Tasks[[#This Row],[Baseline Work]])=0),Tasks[[#This Row],[Work]],Tasks[[#This Row],[Baseline Work]]))</f>
        <v/>
      </c>
      <c r="BQ197" s="7"/>
      <c r="BR197" s="7"/>
      <c r="BS197" s="22"/>
      <c r="BT197" s="88"/>
      <c r="BU197" s="23"/>
      <c r="BV197" s="23"/>
      <c r="BW197" s="23"/>
      <c r="BX197" s="89" t="str">
        <f aca="false">IF(AND(Tasks[[#This Row],[_IsLeaf]]=1,ISNUMBER(Tasks[[#This Row],[Optimistic]]),ISNUMBER(Tasks[[#This Row],[Pessimistic]])),ROUND((Tasks[[#This Row],[Optimistic]]+4*N(Tasks[[#This Row],[_Days]])+Tasks[[#This Row],[Pessimistic]])/6,1),"")</f>
        <v/>
      </c>
      <c r="BY197" s="87"/>
      <c r="BZ197" s="87"/>
      <c r="CA197" s="22"/>
      <c r="CB197" s="43" t="str">
        <f aca="false">IF(Tasks[[#This Row],[Task Name]]="","",MAX(1,N(Tasks[[#This Row],[Level]])))</f>
        <v/>
      </c>
      <c r="CC197" s="43" t="n">
        <f aca="false">ROW()-ROW(Tasks[[#Headers],[ID]])</f>
        <v>192</v>
      </c>
      <c r="CD197" s="43" t="n">
        <f aca="false">IF(OR(Tasks[[#This Row],[Task Name]]="",Tasks[[#This Row],[_Level]]&lt;=1),0,IFERROR(LOOKUP(2,1/(Tasks[[#Headers],[_Level]]:Tasks[[#This Row],[_Level]]=Tasks[[#This Row],[_Level]]-1),ROW(Tasks[[#Headers],[_Level]]:Tasks[[#This Row],[_Level]])),0))</f>
        <v>0</v>
      </c>
      <c r="CE197" s="43" t="n">
        <f aca="false">IFERROR(N(INDEX(Tasks[_Level],Tasks[[#This Row],[_Row]]+1)),0)</f>
        <v>0</v>
      </c>
      <c r="CF197" s="90" t="b">
        <f aca="false">AND(Tasks[[#This Row],[Task Name]]&lt;&gt;"",Tasks[[#This Row],[_NextLevel]]&gt;Tasks[[#This Row],[_Level]])</f>
        <v>0</v>
      </c>
      <c r="CG197" s="43" t="n">
        <f aca="false">IF(Tasks[[#This Row],[_IsSummary]],COUNTIF(Tasks[WBS],Tasks[[#This Row],[WBS]]&amp;".*"),0)</f>
        <v>0</v>
      </c>
      <c r="CH197" s="43" t="n">
        <f aca="false">IF(AND(Tasks[[#This Row],[Task Name]]&lt;&gt;"",NOT(Tasks[[#This Row],[_IsSummary]])),1,0)</f>
        <v>0</v>
      </c>
      <c r="CI197" s="43" t="n">
        <f aca="false">IF(N(Tasks[[#This Row],[_Pred1UID]])=0,0,IFERROR(MATCH(Tasks[[#This Row],[_Pred1UID]],Tasks[UID],0),-1))</f>
        <v>0</v>
      </c>
      <c r="CJ197" s="43" t="n">
        <f aca="false">IF(N(Tasks[[#This Row],[_Pred2UID]])=0,0,IFERROR(MATCH(Tasks[[#This Row],[_Pred2UID]],Tasks[UID],0),-1))</f>
        <v>0</v>
      </c>
      <c r="CK197" s="43" t="n">
        <f aca="false">IF(N(Tasks[[#This Row],[_Pred3UID]])=0,0,IFERROR(MATCH(Tasks[[#This Row],[_Pred3UID]],Tasks[UID],0),-1))</f>
        <v>0</v>
      </c>
      <c r="CL197" s="43" t="n">
        <f aca="false">IF(N(Tasks[[#This Row],[_Pred4UID]])=0,0,IFERROR(MATCH(Tasks[[#This Row],[_Pred4UID]],Tasks[UID],0),-1))</f>
        <v>0</v>
      </c>
      <c r="CM1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7" s="91" t="n">
        <f aca="false">IF(OR(Tasks[[#This Row],[_ConstraintCode]]=2,Tasks[[#This Row],[_ConstraintCode]]=3,Tasks[[#This Row],[_ConstraintCode]]=4,Tasks[[#This Row],[_ConstraintCode]]=6),Tasks[[#This Row],[_ConstraintStart]],0)</f>
        <v>0</v>
      </c>
      <c r="CP197" s="91" t="n">
        <f aca="false">IF(OR(Tasks[[#This Row],[_ConstraintCode]]=2,Tasks[[#This Row],[_ConstraintCode]]=3,Tasks[[#This Row],[_ConstraintCode]]=5,Tasks[[#This Row],[_ConstraintCode]]=7),Tasks[[#This Row],[_ConstraintStart]],2958465)</f>
        <v>2958465</v>
      </c>
      <c r="CQ1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91" t="str">
        <f aca="false">IF(NOT(Tasks[[#This Row],[_IsLeaf]]=1),"",IF(N(Tasks[[#This Row],[_Days]])&lt;=0,Tasks[[#This Row],[_LeafCalcStart]],WORKDAY.INTL(Tasks[[#This Row],[_LeafCalcStart]],Tasks[[#This Row],[_Days]]-1,WorkWeek,Holidays)))</f>
        <v/>
      </c>
      <c r="CS1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3" t="str">
        <f aca="false">IF(Tasks[[#This Row],[_Predecessors]]="","",TRIM(MID(SUBSTITUTE(SUBSTITUTE(SUBSTITUTE(UPPER(Tasks[[#This Row],[_Predecessors]]),";",",")," ",""),",",REPT(" ",99)),1,99)))</f>
        <v/>
      </c>
      <c r="CV197" s="43" t="str">
        <f aca="false">IF(Tasks[[#This Row],[_Pred1Text]]="","",IFERROR(VALUE(LEFT(Tasks[[#This Row],[_Pred1Text]],MIN(FIND("F",Tasks[[#This Row],[_Pred1Text]]&amp;"F"),FIND("S",Tasks[[#This Row],[_Pred1Text]]&amp;"S"),FIND("+",Tasks[[#This Row],[_Pred1Text]]&amp;"+"),FIND("-",Tasks[[#This Row],[_Pred1Text]]&amp;"-"))-1)),""))</f>
        <v/>
      </c>
      <c r="CW1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3" t="str">
        <f aca="false">IF(Tasks[[#This Row],[_Pred1Text]]="","",TRIM(MID(SUBSTITUTE(SUBSTITUTE(SUBSTITUTE(UPPER(Tasks[[#This Row],[_Predecessors]]),";",",")," ",""),",",REPT(" ",99)),100,99)))</f>
        <v/>
      </c>
      <c r="CZ197" s="43" t="str">
        <f aca="false">IF(Tasks[[#This Row],[_Pred2Text]]="","",IFERROR(VALUE(LEFT(Tasks[[#This Row],[_Pred2Text]],MIN(FIND("F",Tasks[[#This Row],[_Pred2Text]]&amp;"F"),FIND("S",Tasks[[#This Row],[_Pred2Text]]&amp;"S"),FIND("+",Tasks[[#This Row],[_Pred2Text]]&amp;"+"),FIND("-",Tasks[[#This Row],[_Pred2Text]]&amp;"-"))-1)),""))</f>
        <v/>
      </c>
      <c r="DA1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3" t="str">
        <f aca="false">IF(Tasks[[#This Row],[_Pred2Text]]="","",TRIM(MID(SUBSTITUTE(SUBSTITUTE(SUBSTITUTE(UPPER(Tasks[[#This Row],[_Predecessors]]),";",",")," ",""),",",REPT(" ",99)),199,99)))</f>
        <v/>
      </c>
      <c r="DD197" s="43" t="str">
        <f aca="false">IF(Tasks[[#This Row],[_Pred3Text]]="","",IFERROR(VALUE(LEFT(Tasks[[#This Row],[_Pred3Text]],MIN(FIND("F",Tasks[[#This Row],[_Pred3Text]]&amp;"F"),FIND("S",Tasks[[#This Row],[_Pred3Text]]&amp;"S"),FIND("+",Tasks[[#This Row],[_Pred3Text]]&amp;"+"),FIND("-",Tasks[[#This Row],[_Pred3Text]]&amp;"-"))-1)),""))</f>
        <v/>
      </c>
      <c r="DE1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3" t="str">
        <f aca="false">IF(Tasks[[#This Row],[_Pred3Text]]="","",TRIM(MID(SUBSTITUTE(SUBSTITUTE(SUBSTITUTE(UPPER(Tasks[[#This Row],[_Predecessors]]),";",",")," ",""),",",REPT(" ",99)),298,99)))</f>
        <v/>
      </c>
      <c r="DH197" s="43" t="str">
        <f aca="false">IF(Tasks[[#This Row],[_Pred4Text]]="","",IFERROR(VALUE(LEFT(Tasks[[#This Row],[_Pred4Text]],MIN(FIND("F",Tasks[[#This Row],[_Pred4Text]]&amp;"F"),FIND("S",Tasks[[#This Row],[_Pred4Text]]&amp;"S"),FIND("+",Tasks[[#This Row],[_Pred4Text]]&amp;"+"),FIND("-",Tasks[[#This Row],[_Pred4Text]]&amp;"-"))-1)),""))</f>
        <v/>
      </c>
      <c r="DI1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3" t="str">
        <f aca="false">IF(OR(Tasks[[#This Row],[Task Name]]="",Tasks[[#This Row],[_Resources]]=""),"",TRIM(MID(SUBSTITUTE(Tasks[[#This Row],[_Resources]],",",REPT(" ",99)),1,99)))</f>
        <v/>
      </c>
      <c r="DL197" s="43" t="str">
        <f aca="false">IF(Tasks[[#This Row],[_Res1Text]]="","",TRIM(MID(SUBSTITUTE(Tasks[[#This Row],[_Resources]],",",REPT(" ",99)),100,99)))</f>
        <v/>
      </c>
      <c r="DM197" s="43" t="str">
        <f aca="false">IF(Tasks[[#This Row],[_Res2Text]]="","",TRIM(MID(SUBSTITUTE(Tasks[[#This Row],[_Resources]],",",REPT(" ",99)),199,99)))</f>
        <v/>
      </c>
      <c r="DN197" s="43" t="str">
        <f aca="false">IF(Tasks[[#This Row],[_Res3Text]]="","",TRIM(MID(SUBSTITUTE(Tasks[[#This Row],[_Resources]],",",REPT(" ",99)),298,99)))</f>
        <v/>
      </c>
      <c r="DO197" s="43" t="n">
        <f aca="false">IF(Tasks[[#This Row],[_Res1Text]]="",0,IFERROR(MATCH(TRIM(LEFT(Tasks[[#This Row],[_Res1Text]],FIND("[",Tasks[[#This Row],[_Res1Text]]&amp;"[")-1)),res_Name,0),IFERROR(MATCH(TRIM(LEFT(Tasks[[#This Row],[_Res1Text]],FIND("[",Tasks[[#This Row],[_Res1Text]]&amp;"[")-1)),res_Initials,0),0)))</f>
        <v>0</v>
      </c>
      <c r="DP197" s="43" t="n">
        <f aca="false">IF(Tasks[[#This Row],[_Res2Text]]="",0,IFERROR(MATCH(TRIM(LEFT(Tasks[[#This Row],[_Res2Text]],FIND("[",Tasks[[#This Row],[_Res2Text]]&amp;"[")-1)),res_Name,0),IFERROR(MATCH(TRIM(LEFT(Tasks[[#This Row],[_Res2Text]],FIND("[",Tasks[[#This Row],[_Res2Text]]&amp;"[")-1)),res_Initials,0),0)))</f>
        <v>0</v>
      </c>
      <c r="DQ197" s="43" t="n">
        <f aca="false">IF(Tasks[[#This Row],[_Res3Text]]="",0,IFERROR(MATCH(TRIM(LEFT(Tasks[[#This Row],[_Res3Text]],FIND("[",Tasks[[#This Row],[_Res3Text]]&amp;"[")-1)),res_Name,0),IFERROR(MATCH(TRIM(LEFT(Tasks[[#This Row],[_Res3Text]],FIND("[",Tasks[[#This Row],[_Res3Text]]&amp;"[")-1)),res_Initials,0),0)))</f>
        <v>0</v>
      </c>
      <c r="DR197" s="43" t="n">
        <f aca="false">IF(Tasks[[#This Row],[_Res4Text]]="",0,IFERROR(MATCH(TRIM(LEFT(Tasks[[#This Row],[_Res4Text]],FIND("[",Tasks[[#This Row],[_Res4Text]]&amp;"[")-1)),res_Name,0),IFERROR(MATCH(TRIM(LEFT(Tasks[[#This Row],[_Res4Text]],FIND("[",Tasks[[#This Row],[_Res4Text]]&amp;"[")-1)),res_Initials,0),0)))</f>
        <v>0</v>
      </c>
      <c r="DS197" s="43" t="str">
        <f aca="false">IF(Tasks[[#This Row],[_Res1Text]]="","",IF(Tasks[[#This Row],[_Res1Row]]&gt;0,INDEX(res_Name,Tasks[[#This Row],[_Res1Row]]),TRIM(LEFT(Tasks[[#This Row],[_Res1Text]],FIND("[",Tasks[[#This Row],[_Res1Text]]&amp;"[")-1))))</f>
        <v/>
      </c>
      <c r="DT1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3" t="n">
        <f aca="false">IF(NOT(Tasks[[#This Row],[_IsLeaf]]=1),0,(Tasks[[#This Row],[_Resource1]]&lt;&gt;"")+(Tasks[[#This Row],[_Res2]]&lt;&gt;"")+(Tasks[[#This Row],[_Res3]]&lt;&gt;"")+(Tasks[[#This Row],[_Res4]]&lt;&gt;""))</f>
        <v>0</v>
      </c>
      <c r="DV197" s="43" t="str">
        <f aca="false">IF(Tasks[[#This Row],[_Res2Text]]="","",IF(Tasks[[#This Row],[_Res2Row]]&gt;0,INDEX(res_Name,Tasks[[#This Row],[_Res2Row]]),TRIM(LEFT(Tasks[[#This Row],[_Res2Text]],FIND("[",Tasks[[#This Row],[_Res2Text]]&amp;"[")-1))))</f>
        <v/>
      </c>
      <c r="DW1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3" t="n">
        <f aca="false">IF(OR(NOT(Tasks[[#This Row],[_IsLeaf]]=1),Tasks[[#This Row],[_Res2Row]]=0),0,N(Tasks[[#This Row],[_Days]])*HoursPerDay*IF(Tasks[[#This Row],[_Res2Units]]="",DefaultUnits,Tasks[[#This Row],[_Res2Units]]))</f>
        <v>0</v>
      </c>
      <c r="DY197" s="43" t="n">
        <f aca="false">IF(AND(AND(Tasks[[#This Row],[_IsLeaf]]=1,Tasks[[#This Row],[_LeafTotalWork]]&gt;0),Tasks[[#This Row],[_Res2Work]]&gt;0),Tasks[[#This Row],[_Res2Work]]/(Tasks[[#This Row],[_FinishWorkday]]-Tasks[[#This Row],[_StartWorkday]]+1),0)</f>
        <v>0</v>
      </c>
      <c r="DZ197" s="43" t="n">
        <f aca="false">Tasks[[#This Row],[_Res2WorkPerWD]]*MAX(0,Tasks[[#This Row],[_StartWorkday]]-1)</f>
        <v>0</v>
      </c>
      <c r="EA197" s="43" t="n">
        <f aca="false">Tasks[[#This Row],[_Res2Work]]*Tasks[[#This Row],[_LeafProgress]]</f>
        <v>0</v>
      </c>
      <c r="EB197" s="43" t="str">
        <f aca="false">IF(Tasks[[#This Row],[_Res3Text]]="","",IF(Tasks[[#This Row],[_Res3Row]]&gt;0,INDEX(res_Name,Tasks[[#This Row],[_Res3Row]]),TRIM(LEFT(Tasks[[#This Row],[_Res3Text]],FIND("[",Tasks[[#This Row],[_Res3Text]]&amp;"[")-1))))</f>
        <v/>
      </c>
      <c r="EC1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3" t="n">
        <f aca="false">IF(OR(NOT(Tasks[[#This Row],[_IsLeaf]]=1),Tasks[[#This Row],[_Res3Row]]=0),0,N(Tasks[[#This Row],[_Days]])*HoursPerDay*IF(Tasks[[#This Row],[_Res3Units]]="",DefaultUnits,Tasks[[#This Row],[_Res3Units]]))</f>
        <v>0</v>
      </c>
      <c r="EE197" s="43" t="n">
        <f aca="false">IF(AND(AND(Tasks[[#This Row],[_IsLeaf]]=1,Tasks[[#This Row],[_LeafTotalWork]]&gt;0),Tasks[[#This Row],[_Res3Work]]&gt;0),Tasks[[#This Row],[_Res3Work]]/(Tasks[[#This Row],[_FinishWorkday]]-Tasks[[#This Row],[_StartWorkday]]+1),0)</f>
        <v>0</v>
      </c>
      <c r="EF197" s="43" t="n">
        <f aca="false">Tasks[[#This Row],[_Res3WorkPerWD]]*MAX(0,Tasks[[#This Row],[_StartWorkday]]-1)</f>
        <v>0</v>
      </c>
      <c r="EG197" s="43" t="n">
        <f aca="false">Tasks[[#This Row],[_Res3Work]]*Tasks[[#This Row],[_LeafProgress]]</f>
        <v>0</v>
      </c>
      <c r="EH197" s="43" t="str">
        <f aca="false">IF(Tasks[[#This Row],[_Res4Text]]="","",IF(Tasks[[#This Row],[_Res4Row]]&gt;0,INDEX(res_Name,Tasks[[#This Row],[_Res4Row]]),TRIM(LEFT(Tasks[[#This Row],[_Res4Text]],FIND("[",Tasks[[#This Row],[_Res4Text]]&amp;"[")-1))))</f>
        <v/>
      </c>
      <c r="EI1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3" t="n">
        <f aca="false">IF(OR(NOT(Tasks[[#This Row],[_IsLeaf]]=1),Tasks[[#This Row],[_Res4Row]]=0),0,N(Tasks[[#This Row],[_Days]])*HoursPerDay*IF(Tasks[[#This Row],[_Res4Units]]="",DefaultUnits,Tasks[[#This Row],[_Res4Units]]))</f>
        <v>0</v>
      </c>
      <c r="EK197" s="43" t="n">
        <f aca="false">IF(AND(AND(Tasks[[#This Row],[_IsLeaf]]=1,Tasks[[#This Row],[_LeafTotalWork]]&gt;0),Tasks[[#This Row],[_Res4Work]]&gt;0),Tasks[[#This Row],[_Res4Work]]/(Tasks[[#This Row],[_FinishWorkday]]-Tasks[[#This Row],[_StartWorkday]]+1),0)</f>
        <v>0</v>
      </c>
      <c r="EL197" s="43" t="n">
        <f aca="false">Tasks[[#This Row],[_Res4WorkPerWD]]*MAX(0,Tasks[[#This Row],[_StartWorkday]]-1)</f>
        <v>0</v>
      </c>
      <c r="EM197" s="43" t="n">
        <f aca="false">Tasks[[#This Row],[_Res4Work]]*Tasks[[#This Row],[_LeafProgress]]</f>
        <v>0</v>
      </c>
      <c r="EN197" s="43" t="n">
        <f aca="false">IF(ISNUMBER(Tasks[[#This Row],[% Complete]]),Tasks[[#This Row],[% Complete]],IF(Tasks[[#This Row],[Stage]]="",0,IFERROR(INDEX(stg_Pct,MATCH(Tasks[[#This Row],[Stage]],stg_Name,0)),0)))</f>
        <v>0</v>
      </c>
      <c r="EO197" s="43" t="n">
        <f aca="false">IF(NOT(Tasks[[#This Row],[_IsLeaf]]=1),0,IF(N(Tasks[[#This Row],[Actual Finish]])&gt;0,1,MIN(1,Tasks[[#This Row],[_Pct]])))</f>
        <v>0</v>
      </c>
      <c r="EP197" s="43" t="n">
        <f aca="false">IF(OR(NOT(Tasks[[#This Row],[_IsLeaf]]=1),Tasks[[#This Row],[_Res1Row]]=0),0,N(Tasks[[#This Row],[_Days]])*HoursPerDay*IF(Tasks[[#This Row],[_Units1]]="",DefaultUnits,Tasks[[#This Row],[_Units1]]))</f>
        <v>0</v>
      </c>
      <c r="EQ197" s="43" t="n">
        <f aca="false">Tasks[[#This Row],[_LeafWork]]+Tasks[[#This Row],[_Res2Work]]+Tasks[[#This Row],[_Res3Work]]+Tasks[[#This Row],[_Res4Work]]</f>
        <v>0</v>
      </c>
      <c r="ER1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3" t="n">
        <f aca="false">IF(NOT(Tasks[[#This Row],[_IsLeaf]]=1),0,MAX(_xlfn.MAXIFS(Tasks[_Row],Tasks[_Pred1UID],Tasks[[#This Row],[UID]]),_xlfn.MAXIFS(Tasks[_Row],Tasks[_Pred2UID],Tasks[[#This Row],[UID]]),_xlfn.MAXIFS(Tasks[_Row],Tasks[_Pred3UID],Tasks[[#This Row],[UID]]),_xlfn.MAXIFS(Tasks[_Row],Tasks[_Pred4UID],Tasks[[#This Row],[UID]])))</f>
        <v>0</v>
      </c>
      <c r="FA1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91" t="str">
        <f aca="false">IF(NOT(Tasks[[#This Row],[_IsLeaf]]=1),"",IF(N(Tasks[[#This Row],[_Days]])&lt;=0,Tasks[[#This Row],[_LeafLateFinish]],WORKDAY.INTL(Tasks[[#This Row],[_LeafLateFinish]],-(Tasks[[#This Row],[_Days]]-1),WorkWeek,Holidays)))</f>
        <v/>
      </c>
      <c r="FD1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7" s="90" t="b">
        <f aca="false">AND(Tasks[[#This Row],[_IsLeaf]]=1,Tasks[[#This Row],[_LeafProgress]]&lt;1,N(Tasks[[#This Row],[_LeafTotalSlack]])&lt;=CriticalSlackDays)</f>
        <v>0</v>
      </c>
      <c r="FF197" s="43" t="n">
        <f aca="false">IF(AND(Tasks[[#This Row],[_IsLeaf]]=1,Tasks[[#This Row],[_ConstraintCode]]=1,Tasks[[#This Row],[Mode]]&lt;&gt;"Manual",N(Tasks[[#This Row],[Actual Start]])=0),MAX(0,N(Tasks[[#This Row],[Free Slack]])),0)</f>
        <v>0</v>
      </c>
      <c r="FG197" s="91" t="str">
        <f aca="false">IF(NOT(Tasks[[#This Row],[_IsLeaf]]=1),"",IF(Tasks[[#This Row],[_AlapShift]]=0,Tasks[[#This Row],[_LeafCalcStart]],WORKDAY.INTL(Tasks[[#This Row],[_LeafCalcStart]],Tasks[[#This Row],[_AlapShift]],WorkWeek,Holidays)))</f>
        <v/>
      </c>
      <c r="FH197" s="91" t="str">
        <f aca="false">IF(NOT(Tasks[[#This Row],[_IsLeaf]]=1),"",IF(Tasks[[#This Row],[_AlapShift]]=0,Tasks[[#This Row],[_LeafCalcFinish]],WORKDAY.INTL(Tasks[[#This Row],[_LeafCalcFinish]],Tasks[[#This Row],[_AlapShift]],WorkWeek,Holidays)))</f>
        <v/>
      </c>
      <c r="FI197" s="91" t="str">
        <f aca="false">IF(NOT(Tasks[[#This Row],[_IsLeaf]]=1),"",IF(Tasks[[#This Row],[_AlapShift]]=0,Tasks[[#This Row],[_LeafFcstStart]],WORKDAY.INTL(Tasks[[#This Row],[_LeafFcstStart]],Tasks[[#This Row],[_AlapShift]],WorkWeek,Holidays)))</f>
        <v/>
      </c>
      <c r="FJ197" s="91" t="str">
        <f aca="false">IF(NOT(Tasks[[#This Row],[_IsLeaf]]=1),"",IF(Tasks[[#This Row],[_AlapShift]]=0,Tasks[[#This Row],[_LeafFcstFinish]],WORKDAY.INTL(Tasks[[#This Row],[_LeafFcstFinish]],Tasks[[#This Row],[_AlapShift]],WorkWeek,Holidays)))</f>
        <v/>
      </c>
      <c r="FK197" s="91" t="str">
        <f aca="false">IF(Tasks[[#This Row],[Task Name]]="","",IF(Tasks[[#This Row],[_IsSummary]],MIN(INDEX(Tasks[_ShownCalcStart],Tasks[[#This Row],[_Row]]+1):INDEX(Tasks[_ShownCalcStart],Tasks[[#This Row],[_Row]]+Tasks[[#This Row],[_Descendants]])),Tasks[[#This Row],[_ShownCalcStart]]))</f>
        <v/>
      </c>
      <c r="FL197" s="91" t="str">
        <f aca="false">IF(Tasks[[#This Row],[Task Name]]="","",IF(Tasks[[#This Row],[_IsSummary]],MAX(INDEX(Tasks[_ShownCalcFinish],Tasks[[#This Row],[_Row]]+1):INDEX(Tasks[_ShownCalcFinish],Tasks[[#This Row],[_Row]]+Tasks[[#This Row],[_Descendants]])),Tasks[[#This Row],[_ShownCalcFinish]]))</f>
        <v/>
      </c>
      <c r="FM1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7" s="43" t="n">
        <f aca="false">IF(AND(Tasks[[#This Row],[_IsLeaf]]=1,Tasks[[#This Row],[_LeafTotalWork]]&gt;0),NETWORKDAYS.INTL(ProjectStart,Tasks[[#This Row],[_ShownFcstStart]],WorkWeek,Holidays),0)</f>
        <v>0</v>
      </c>
      <c r="FZ197" s="43" t="n">
        <f aca="false">IF(AND(Tasks[[#This Row],[_IsLeaf]]=1,Tasks[[#This Row],[_LeafTotalWork]]&gt;0),MAX(Tasks[[#This Row],[_StartWorkday]],NETWORKDAYS.INTL(ProjectStart,Tasks[[#This Row],[_ShownFcstFinish]],WorkWeek,Holidays)),0)</f>
        <v>0</v>
      </c>
      <c r="GA197" s="43" t="n">
        <f aca="false">IF(AND(Tasks[[#This Row],[_IsLeaf]]=1,Tasks[[#This Row],[_LeafTotalWork]]&gt;0),Tasks[[#This Row],[_LeafWork]]/(Tasks[[#This Row],[_FinishWorkday]]-Tasks[[#This Row],[_StartWorkday]]+1),0)</f>
        <v>0</v>
      </c>
      <c r="GB197" s="43" t="n">
        <f aca="false">Tasks[[#This Row],[_WorkPerWorkday]]*(Tasks[[#This Row],[_StartWorkday]]-1)</f>
        <v>-0</v>
      </c>
      <c r="GC197" s="43" t="n">
        <f aca="false">IF(Tasks[[#This Row],[_IsLeaf]]=1,MAX(N(Tasks[[#This Row],[_Days]]),0.1),0)</f>
        <v>0</v>
      </c>
      <c r="GD197" s="43" t="n">
        <f aca="false">Tasks[[#This Row],[_WeightDur]]*Tasks[[#This Row],[_LeafProgress]]</f>
        <v>0</v>
      </c>
      <c r="GE197" s="43" t="n">
        <f aca="false">Tasks[[#This Row],[_WeightDur]]*Tasks[[#This Row],[_PlannedPct]]</f>
        <v>0</v>
      </c>
      <c r="GF1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3" t="str">
        <f aca="false">IF(AND(Tasks[[#This Row],[_IsLeaf]]=1,N(Tasks[[#This Row],[_Days]])=0,Tasks[[#This Row],[_LeafProgress]]&lt;1),Tasks[[#This Row],[_ShownFcstFinish]]+Tasks[[#This Row],[_Row]]/100000,"")</f>
        <v/>
      </c>
      <c r="GH1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7" s="43" t="str">
        <f aca="false">IF(Tasks[[#This Row],[Task Name]]="","",LEFT(Tasks[[#This Row],[WBS]],FIND(".",Tasks[[#This Row],[WBS]]&amp;".")-1))</f>
        <v/>
      </c>
      <c r="GJ197" s="43" t="str">
        <f aca="false">IF(AND(Tasks[[#This Row],[Task Name]]&lt;&gt;"",Tasks[[#This Row],[_Level]]=1),Tasks[[#This Row],[_Row]],"")</f>
        <v/>
      </c>
      <c r="GK197" s="43" t="str">
        <f aca="false">IF(AND(Tasks[[#This Row],[_IsLeaf]]=1,N(Tasks[[#This Row],[_Days]])=0),Tasks[[#This Row],[Planned Finish]]+Tasks[[#This Row],[_Row]]/100000,"")</f>
        <v/>
      </c>
      <c r="GL197" s="43" t="str">
        <f aca="false">IF(AND(Tasks[[#This Row],[_IsLeaf]]=1,Tasks[[#This Row],[_LeafProgress]]&lt;1,OR(N(Tasks[[#This Row],[Finish Var]])&gt;0,Tasks[[#This Row],[Status]]="Late Start")),MAX(0,Tasks[[#This Row],[Finish Var]])+1-Tasks[[#This Row],[_Row]]/1000000,"")</f>
        <v/>
      </c>
      <c r="GM197" s="43" t="str">
        <f aca="false">IF(AND(Tasks[[#This Row],[_IsLeaf]]=1,N(Tasks[[#This Row],[Actual Start]])=0,Tasks[[#This Row],[_ShownFcstStart]]&gt;=StatusDate,Tasks[[#This Row],[_ShownFcstStart]]&lt;=LookaheadEnd),Tasks[[#This Row],[_ShownFcstStart]]+Tasks[[#This Row],[_Row]]/100000,"")</f>
        <v/>
      </c>
      <c r="GN197" s="43" t="str">
        <f aca="false">IF(AND(Tasks[[#This Row],[_IsLeaf]]=1,Tasks[[#This Row],[_LeafProgress]]&lt;1,Tasks[[#This Row],[_ShownFcstFinish]]&gt;=StatusDate,Tasks[[#This Row],[_ShownFcstFinish]]&lt;=LookaheadEnd),Tasks[[#This Row],[_ShownFcstFinish]]+Tasks[[#This Row],[_Row]]/100000,"")</f>
        <v/>
      </c>
      <c r="GO197" s="43" t="str">
        <f aca="false">IF(Tasks[[#This Row],[_LeafCritical]],Tasks[[#This Row],[_ShownFcstStart]]+Tasks[[#This Row],[_Row]]/100000,"")</f>
        <v/>
      </c>
      <c r="GP197" s="43" t="n">
        <f aca="false">Tasks[[#This Row],[_LeafWork]]*Tasks[[#This Row],[_LeafProgress]]</f>
        <v>0</v>
      </c>
      <c r="GQ197" s="91" t="str">
        <f aca="false">IF(AND(Tasks[[#This Row],[_IsLeaf]]=1,Tasks[[#This Row],[_LeafProgress]]&gt;=1),IF(N(Tasks[[#This Row],[Actual Finish]])&gt;0,Tasks[[#This Row],[Actual Finish]],Tasks[[#This Row],[_ShownFcstFinish]]),"")</f>
        <v/>
      </c>
      <c r="GR197" s="43" t="n">
        <f aca="false">IF(Tasks[[#This Row],[_IsLeaf]]=1,N(Tasks[[#This Row],[Story Points]]),0)</f>
        <v>0</v>
      </c>
      <c r="GS197" s="43" t="str">
        <f aca="false">""</f>
        <v/>
      </c>
      <c r="GT197" s="90" t="b">
        <f aca="false">IF(Tasks[[#This Row],[Task Name]]="",FALSE(),AND(Tasks[[#This Row],[_IsLeaf]]=1,N(Tasks[[#This Row],[_Days]])=0))</f>
        <v>0</v>
      </c>
      <c r="GU197" s="91" t="n">
        <f aca="false">IF(Tasks[[#This Row],[Task Name]]="",0,IF(AND(Tasks[[#This Row],[_IsLeaf]]=1,NOT(Tasks[[#This Row],[_IsMilestone]]),N(Tasks[[#This Row],[Progress]])&gt;0),Tasks[[#This Row],[Start]],0))</f>
        <v>0</v>
      </c>
      <c r="GV197" s="91" t="n">
        <f aca="false">IF(Tasks[[#This Row],[_DoneFrom]]=0,0,IF(Tasks[[#This Row],[Progress]]&gt;=1,Tasks[[#This Row],[Finish]],MAX(Tasks[[#This Row],[_DoneFrom]],Tasks[[#This Row],[Start]]+ROUND((Tasks[[#This Row],[Finish]]-Tasks[[#This Row],[Start]]+1)*Tasks[[#This Row],[Progress]],0)-1)))</f>
        <v>0</v>
      </c>
      <c r="GW197" s="91" t="n">
        <f aca="false">IF(Tasks[[#This Row],[Task Name]]="",0,IF(OR(NOT(Tasks[[#This Row],[_IsLeaf]]=1),Tasks[[#This Row],[_IsMilestone]],N(Tasks[[#This Row],[Progress]])&gt;=1),0,IF(Tasks[[#This Row],[_DoneTo]]&gt;0,Tasks[[#This Row],[_DoneTo]]+1,Tasks[[#This Row],[Start]])))</f>
        <v>0</v>
      </c>
      <c r="GX197" s="91" t="n">
        <f aca="false">IF(Tasks[[#This Row],[_RemFrom]]=0,0,Tasks[[#This Row],[Finish]])</f>
        <v>0</v>
      </c>
      <c r="GY197" s="90" t="b">
        <f aca="false">IF(Tasks[[#This Row],[Task Name]]="",FALSE(),OR(NOT(BaselineSet),N(Tasks[[#This Row],[Baseline Start]])&gt;0))</f>
        <v>0</v>
      </c>
      <c r="GZ19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92" t="str">
        <f aca="false">IF(Tasks[[#This Row],[_IsLeaf]]=1,Tasks[[#This Row],[_Row]],"")</f>
        <v/>
      </c>
      <c r="HD197" s="92" t="str">
        <f aca="false">IFERROR(INDEX(Tasks[UID],SMALL(Tasks[_PickKey],Tasks[[#This Row],[_Row]]))&amp;" "&amp;INDEX(Tasks[Task Name],SMALL(Tasks[_PickKey],Tasks[[#This Row],[_Row]])),"")</f>
        <v/>
      </c>
      <c r="HE197" s="43" t="str">
        <f aca="false">IF(Tasks[[#This Row],[Task Name]]="","",IF(Tasks[[#This Row],[_IsSummary]],NETWORKDAYS.INTL(Tasks[[#This Row],[Start]],Tasks[[#This Row],[Finish]],WorkWeek,Holidays),N(Tasks[[#This Row],[_Days]])))</f>
        <v/>
      </c>
      <c r="HF197" s="43" t="n">
        <f aca="false">IF(Tasks[[#This Row],[Expected]]="",0,((Tasks[[#This Row],[Pessimistic]]-Tasks[[#This Row],[Optimistic]])/6)^2)</f>
        <v>0</v>
      </c>
      <c r="HG197" s="43" t="n">
        <f aca="false">IF(Tasks[[#This Row],[Expected]]="",0,Tasks[[#This Row],[Expected]]-N(Tasks[[#This Row],[_Days]]))</f>
        <v>0</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4"/>
      <c r="U198" s="23"/>
      <c r="V198" s="84"/>
      <c r="W198" s="23"/>
      <c r="X198" s="84"/>
      <c r="Y198" s="23"/>
      <c r="Z198" s="84"/>
      <c r="AA198" s="23"/>
      <c r="AB198" s="23"/>
      <c r="AC198" s="7"/>
      <c r="AD198" s="7"/>
      <c r="AE198" s="63" t="str">
        <f aca="false">IF(Tasks[[#This Row],[Task Name]]="","",IF(Tasks[[#This Row],[_IsSummary]],MIN(INDEX(Tasks[_ShownFcstStart],Tasks[[#This Row],[_Row]]+1):INDEX(Tasks[_ShownFcstStart],Tasks[[#This Row],[_Row]]+Tasks[[#This Row],[_Descendants]])),Tasks[[#This Row],[_ShownFcstStart]]))</f>
        <v/>
      </c>
      <c r="AF198" s="63"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8" s="7"/>
      <c r="AK198" s="22"/>
      <c r="AL198" s="23"/>
      <c r="AM198" s="7"/>
      <c r="AN198" s="47"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3" t="str">
        <f aca="false">IF(Tasks[[#This Row],[Task Name]]="","",IF(N(Tasks[[#This Row],[Baseline Start]])&gt;0,Tasks[[#This Row],[Baseline Start]],Tasks[[#This Row],[_CalcStart]]))</f>
        <v/>
      </c>
      <c r="AR198" s="63" t="str">
        <f aca="false">IF(Tasks[[#This Row],[Task Name]]="","",IF(N(Tasks[[#This Row],[Baseline Finish]])&gt;0,Tasks[[#This Row],[Baseline Finish]],Tasks[[#This Row],[_CalcFinish]]))</f>
        <v/>
      </c>
      <c r="AS198" s="47" t="str">
        <f aca="false">IF(Tasks[[#This Row],[Task Name]]="","",IF(Tasks[[#This Row],[Start]]&gt;=Tasks[[#This Row],[Planned Start]],NETWORKDAYS.INTL(Tasks[[#This Row],[Planned Start]],Tasks[[#This Row],[Start]],WorkWeek,Holidays)-1,1-NETWORKDAYS.INTL(Tasks[[#This Row],[Start]],Tasks[[#This Row],[Planned Start]],WorkWeek,Holidays)))</f>
        <v/>
      </c>
      <c r="AT198" s="63" t="str">
        <f aca="false">IF(Tasks[[#This Row],[Task Name]]="","",IF(Tasks[[#This Row],[_IsSummary]],MIN(INDEX(Tasks[_LeafLateStart],Tasks[[#This Row],[_Row]]+1):INDEX(Tasks[_LeafLateStart],Tasks[[#This Row],[_Row]]+Tasks[[#This Row],[_Descendants]])),Tasks[[#This Row],[_LeafLateStart]]))</f>
        <v/>
      </c>
      <c r="AU198" s="63" t="str">
        <f aca="false">IF(Tasks[[#This Row],[Task Name]]="","",IF(Tasks[[#This Row],[_IsSummary]],MAX(INDEX(Tasks[_LeafLateFinish],Tasks[[#This Row],[_Row]]+1):INDEX(Tasks[_LeafLateFinish],Tasks[[#This Row],[_Row]]+Tasks[[#This Row],[_Descendants]])),Tasks[[#This Row],[_LeafLateFinish]]))</f>
        <v/>
      </c>
      <c r="AV198" s="47"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5"/>
      <c r="BA1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6"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7"/>
      <c r="BJ198" s="22"/>
      <c r="BK198" s="47" t="str">
        <f aca="false">IF(OR(Tasks[[#This Row],[Task Name]]="",Tasks[[#This Row],[Baseline Duration]]=""),"",Tasks[[#This Row],[_SpanDays]]-N(Tasks[[#This Row],[Baseline Duration]]))</f>
        <v/>
      </c>
      <c r="BL198" s="86" t="str">
        <f aca="false">IF(OR(Tasks[[#This Row],[Task Name]]="",Tasks[[#This Row],[Baseline Work]]=""),"",Tasks[[#This Row],[Work]]-N(Tasks[[#This Row],[Baseline Work]]))</f>
        <v/>
      </c>
      <c r="BM198" s="63" t="str">
        <f aca="false">IF(Tasks[[#This Row],[Task Name]]="","",IF(OR(TakeBaseline="Yes",N(Tasks[[#This Row],[Baseline Start]])=0),Tasks[[#This Row],[Start]],Tasks[[#This Row],[Baseline Start]]))</f>
        <v/>
      </c>
      <c r="BN198" s="63" t="str">
        <f aca="false">IF(Tasks[[#This Row],[Task Name]]="","",IF(OR(TakeBaseline="Yes",N(Tasks[[#This Row],[Baseline Finish]])=0),Tasks[[#This Row],[Finish]],Tasks[[#This Row],[Baseline Finish]]))</f>
        <v/>
      </c>
      <c r="BO198" s="21" t="str">
        <f aca="false">IF(Tasks[[#This Row],[Task Name]]="","",IF(OR(TakeBaseline="Yes",N(Tasks[[#This Row],[Baseline Duration]])=0),Tasks[[#This Row],[_SpanDays]],Tasks[[#This Row],[Baseline Duration]]))</f>
        <v/>
      </c>
      <c r="BP198" s="86" t="str">
        <f aca="false">IF(Tasks[[#This Row],[Task Name]]="","",IF(OR(TakeBaseline="Yes",N(Tasks[[#This Row],[Baseline Work]])=0),Tasks[[#This Row],[Work]],Tasks[[#This Row],[Baseline Work]]))</f>
        <v/>
      </c>
      <c r="BQ198" s="7"/>
      <c r="BR198" s="7"/>
      <c r="BS198" s="22"/>
      <c r="BT198" s="88"/>
      <c r="BU198" s="23"/>
      <c r="BV198" s="23"/>
      <c r="BW198" s="23"/>
      <c r="BX198" s="89" t="str">
        <f aca="false">IF(AND(Tasks[[#This Row],[_IsLeaf]]=1,ISNUMBER(Tasks[[#This Row],[Optimistic]]),ISNUMBER(Tasks[[#This Row],[Pessimistic]])),ROUND((Tasks[[#This Row],[Optimistic]]+4*N(Tasks[[#This Row],[_Days]])+Tasks[[#This Row],[Pessimistic]])/6,1),"")</f>
        <v/>
      </c>
      <c r="BY198" s="87"/>
      <c r="BZ198" s="87"/>
      <c r="CA198" s="22"/>
      <c r="CB198" s="43" t="str">
        <f aca="false">IF(Tasks[[#This Row],[Task Name]]="","",MAX(1,N(Tasks[[#This Row],[Level]])))</f>
        <v/>
      </c>
      <c r="CC198" s="43" t="n">
        <f aca="false">ROW()-ROW(Tasks[[#Headers],[ID]])</f>
        <v>193</v>
      </c>
      <c r="CD198" s="43" t="n">
        <f aca="false">IF(OR(Tasks[[#This Row],[Task Name]]="",Tasks[[#This Row],[_Level]]&lt;=1),0,IFERROR(LOOKUP(2,1/(Tasks[[#Headers],[_Level]]:Tasks[[#This Row],[_Level]]=Tasks[[#This Row],[_Level]]-1),ROW(Tasks[[#Headers],[_Level]]:Tasks[[#This Row],[_Level]])),0))</f>
        <v>0</v>
      </c>
      <c r="CE198" s="43" t="n">
        <f aca="false">IFERROR(N(INDEX(Tasks[_Level],Tasks[[#This Row],[_Row]]+1)),0)</f>
        <v>0</v>
      </c>
      <c r="CF198" s="90" t="b">
        <f aca="false">AND(Tasks[[#This Row],[Task Name]]&lt;&gt;"",Tasks[[#This Row],[_NextLevel]]&gt;Tasks[[#This Row],[_Level]])</f>
        <v>0</v>
      </c>
      <c r="CG198" s="43" t="n">
        <f aca="false">IF(Tasks[[#This Row],[_IsSummary]],COUNTIF(Tasks[WBS],Tasks[[#This Row],[WBS]]&amp;".*"),0)</f>
        <v>0</v>
      </c>
      <c r="CH198" s="43" t="n">
        <f aca="false">IF(AND(Tasks[[#This Row],[Task Name]]&lt;&gt;"",NOT(Tasks[[#This Row],[_IsSummary]])),1,0)</f>
        <v>0</v>
      </c>
      <c r="CI198" s="43" t="n">
        <f aca="false">IF(N(Tasks[[#This Row],[_Pred1UID]])=0,0,IFERROR(MATCH(Tasks[[#This Row],[_Pred1UID]],Tasks[UID],0),-1))</f>
        <v>0</v>
      </c>
      <c r="CJ198" s="43" t="n">
        <f aca="false">IF(N(Tasks[[#This Row],[_Pred2UID]])=0,0,IFERROR(MATCH(Tasks[[#This Row],[_Pred2UID]],Tasks[UID],0),-1))</f>
        <v>0</v>
      </c>
      <c r="CK198" s="43" t="n">
        <f aca="false">IF(N(Tasks[[#This Row],[_Pred3UID]])=0,0,IFERROR(MATCH(Tasks[[#This Row],[_Pred3UID]],Tasks[UID],0),-1))</f>
        <v>0</v>
      </c>
      <c r="CL198" s="43" t="n">
        <f aca="false">IF(N(Tasks[[#This Row],[_Pred4UID]])=0,0,IFERROR(MATCH(Tasks[[#This Row],[_Pred4UID]],Tasks[UID],0),-1))</f>
        <v>0</v>
      </c>
      <c r="CM1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8" s="91" t="n">
        <f aca="false">IF(OR(Tasks[[#This Row],[_ConstraintCode]]=2,Tasks[[#This Row],[_ConstraintCode]]=3,Tasks[[#This Row],[_ConstraintCode]]=4,Tasks[[#This Row],[_ConstraintCode]]=6),Tasks[[#This Row],[_ConstraintStart]],0)</f>
        <v>0</v>
      </c>
      <c r="CP198" s="91" t="n">
        <f aca="false">IF(OR(Tasks[[#This Row],[_ConstraintCode]]=2,Tasks[[#This Row],[_ConstraintCode]]=3,Tasks[[#This Row],[_ConstraintCode]]=5,Tasks[[#This Row],[_ConstraintCode]]=7),Tasks[[#This Row],[_ConstraintStart]],2958465)</f>
        <v>2958465</v>
      </c>
      <c r="CQ1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91" t="str">
        <f aca="false">IF(NOT(Tasks[[#This Row],[_IsLeaf]]=1),"",IF(N(Tasks[[#This Row],[_Days]])&lt;=0,Tasks[[#This Row],[_LeafCalcStart]],WORKDAY.INTL(Tasks[[#This Row],[_LeafCalcStart]],Tasks[[#This Row],[_Days]]-1,WorkWeek,Holidays)))</f>
        <v/>
      </c>
      <c r="CS1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3" t="str">
        <f aca="false">IF(Tasks[[#This Row],[_Predecessors]]="","",TRIM(MID(SUBSTITUTE(SUBSTITUTE(SUBSTITUTE(UPPER(Tasks[[#This Row],[_Predecessors]]),";",",")," ",""),",",REPT(" ",99)),1,99)))</f>
        <v/>
      </c>
      <c r="CV198" s="43" t="str">
        <f aca="false">IF(Tasks[[#This Row],[_Pred1Text]]="","",IFERROR(VALUE(LEFT(Tasks[[#This Row],[_Pred1Text]],MIN(FIND("F",Tasks[[#This Row],[_Pred1Text]]&amp;"F"),FIND("S",Tasks[[#This Row],[_Pred1Text]]&amp;"S"),FIND("+",Tasks[[#This Row],[_Pred1Text]]&amp;"+"),FIND("-",Tasks[[#This Row],[_Pred1Text]]&amp;"-"))-1)),""))</f>
        <v/>
      </c>
      <c r="CW1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3" t="str">
        <f aca="false">IF(Tasks[[#This Row],[_Pred1Text]]="","",TRIM(MID(SUBSTITUTE(SUBSTITUTE(SUBSTITUTE(UPPER(Tasks[[#This Row],[_Predecessors]]),";",",")," ",""),",",REPT(" ",99)),100,99)))</f>
        <v/>
      </c>
      <c r="CZ198" s="43" t="str">
        <f aca="false">IF(Tasks[[#This Row],[_Pred2Text]]="","",IFERROR(VALUE(LEFT(Tasks[[#This Row],[_Pred2Text]],MIN(FIND("F",Tasks[[#This Row],[_Pred2Text]]&amp;"F"),FIND("S",Tasks[[#This Row],[_Pred2Text]]&amp;"S"),FIND("+",Tasks[[#This Row],[_Pred2Text]]&amp;"+"),FIND("-",Tasks[[#This Row],[_Pred2Text]]&amp;"-"))-1)),""))</f>
        <v/>
      </c>
      <c r="DA1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3" t="str">
        <f aca="false">IF(Tasks[[#This Row],[_Pred2Text]]="","",TRIM(MID(SUBSTITUTE(SUBSTITUTE(SUBSTITUTE(UPPER(Tasks[[#This Row],[_Predecessors]]),";",",")," ",""),",",REPT(" ",99)),199,99)))</f>
        <v/>
      </c>
      <c r="DD198" s="43" t="str">
        <f aca="false">IF(Tasks[[#This Row],[_Pred3Text]]="","",IFERROR(VALUE(LEFT(Tasks[[#This Row],[_Pred3Text]],MIN(FIND("F",Tasks[[#This Row],[_Pred3Text]]&amp;"F"),FIND("S",Tasks[[#This Row],[_Pred3Text]]&amp;"S"),FIND("+",Tasks[[#This Row],[_Pred3Text]]&amp;"+"),FIND("-",Tasks[[#This Row],[_Pred3Text]]&amp;"-"))-1)),""))</f>
        <v/>
      </c>
      <c r="DE1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3" t="str">
        <f aca="false">IF(Tasks[[#This Row],[_Pred3Text]]="","",TRIM(MID(SUBSTITUTE(SUBSTITUTE(SUBSTITUTE(UPPER(Tasks[[#This Row],[_Predecessors]]),";",",")," ",""),",",REPT(" ",99)),298,99)))</f>
        <v/>
      </c>
      <c r="DH198" s="43" t="str">
        <f aca="false">IF(Tasks[[#This Row],[_Pred4Text]]="","",IFERROR(VALUE(LEFT(Tasks[[#This Row],[_Pred4Text]],MIN(FIND("F",Tasks[[#This Row],[_Pred4Text]]&amp;"F"),FIND("S",Tasks[[#This Row],[_Pred4Text]]&amp;"S"),FIND("+",Tasks[[#This Row],[_Pred4Text]]&amp;"+"),FIND("-",Tasks[[#This Row],[_Pred4Text]]&amp;"-"))-1)),""))</f>
        <v/>
      </c>
      <c r="DI1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3" t="str">
        <f aca="false">IF(OR(Tasks[[#This Row],[Task Name]]="",Tasks[[#This Row],[_Resources]]=""),"",TRIM(MID(SUBSTITUTE(Tasks[[#This Row],[_Resources]],",",REPT(" ",99)),1,99)))</f>
        <v/>
      </c>
      <c r="DL198" s="43" t="str">
        <f aca="false">IF(Tasks[[#This Row],[_Res1Text]]="","",TRIM(MID(SUBSTITUTE(Tasks[[#This Row],[_Resources]],",",REPT(" ",99)),100,99)))</f>
        <v/>
      </c>
      <c r="DM198" s="43" t="str">
        <f aca="false">IF(Tasks[[#This Row],[_Res2Text]]="","",TRIM(MID(SUBSTITUTE(Tasks[[#This Row],[_Resources]],",",REPT(" ",99)),199,99)))</f>
        <v/>
      </c>
      <c r="DN198" s="43" t="str">
        <f aca="false">IF(Tasks[[#This Row],[_Res3Text]]="","",TRIM(MID(SUBSTITUTE(Tasks[[#This Row],[_Resources]],",",REPT(" ",99)),298,99)))</f>
        <v/>
      </c>
      <c r="DO198" s="43" t="n">
        <f aca="false">IF(Tasks[[#This Row],[_Res1Text]]="",0,IFERROR(MATCH(TRIM(LEFT(Tasks[[#This Row],[_Res1Text]],FIND("[",Tasks[[#This Row],[_Res1Text]]&amp;"[")-1)),res_Name,0),IFERROR(MATCH(TRIM(LEFT(Tasks[[#This Row],[_Res1Text]],FIND("[",Tasks[[#This Row],[_Res1Text]]&amp;"[")-1)),res_Initials,0),0)))</f>
        <v>0</v>
      </c>
      <c r="DP198" s="43" t="n">
        <f aca="false">IF(Tasks[[#This Row],[_Res2Text]]="",0,IFERROR(MATCH(TRIM(LEFT(Tasks[[#This Row],[_Res2Text]],FIND("[",Tasks[[#This Row],[_Res2Text]]&amp;"[")-1)),res_Name,0),IFERROR(MATCH(TRIM(LEFT(Tasks[[#This Row],[_Res2Text]],FIND("[",Tasks[[#This Row],[_Res2Text]]&amp;"[")-1)),res_Initials,0),0)))</f>
        <v>0</v>
      </c>
      <c r="DQ198" s="43" t="n">
        <f aca="false">IF(Tasks[[#This Row],[_Res3Text]]="",0,IFERROR(MATCH(TRIM(LEFT(Tasks[[#This Row],[_Res3Text]],FIND("[",Tasks[[#This Row],[_Res3Text]]&amp;"[")-1)),res_Name,0),IFERROR(MATCH(TRIM(LEFT(Tasks[[#This Row],[_Res3Text]],FIND("[",Tasks[[#This Row],[_Res3Text]]&amp;"[")-1)),res_Initials,0),0)))</f>
        <v>0</v>
      </c>
      <c r="DR198" s="43" t="n">
        <f aca="false">IF(Tasks[[#This Row],[_Res4Text]]="",0,IFERROR(MATCH(TRIM(LEFT(Tasks[[#This Row],[_Res4Text]],FIND("[",Tasks[[#This Row],[_Res4Text]]&amp;"[")-1)),res_Name,0),IFERROR(MATCH(TRIM(LEFT(Tasks[[#This Row],[_Res4Text]],FIND("[",Tasks[[#This Row],[_Res4Text]]&amp;"[")-1)),res_Initials,0),0)))</f>
        <v>0</v>
      </c>
      <c r="DS198" s="43" t="str">
        <f aca="false">IF(Tasks[[#This Row],[_Res1Text]]="","",IF(Tasks[[#This Row],[_Res1Row]]&gt;0,INDEX(res_Name,Tasks[[#This Row],[_Res1Row]]),TRIM(LEFT(Tasks[[#This Row],[_Res1Text]],FIND("[",Tasks[[#This Row],[_Res1Text]]&amp;"[")-1))))</f>
        <v/>
      </c>
      <c r="DT1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3" t="n">
        <f aca="false">IF(NOT(Tasks[[#This Row],[_IsLeaf]]=1),0,(Tasks[[#This Row],[_Resource1]]&lt;&gt;"")+(Tasks[[#This Row],[_Res2]]&lt;&gt;"")+(Tasks[[#This Row],[_Res3]]&lt;&gt;"")+(Tasks[[#This Row],[_Res4]]&lt;&gt;""))</f>
        <v>0</v>
      </c>
      <c r="DV198" s="43" t="str">
        <f aca="false">IF(Tasks[[#This Row],[_Res2Text]]="","",IF(Tasks[[#This Row],[_Res2Row]]&gt;0,INDEX(res_Name,Tasks[[#This Row],[_Res2Row]]),TRIM(LEFT(Tasks[[#This Row],[_Res2Text]],FIND("[",Tasks[[#This Row],[_Res2Text]]&amp;"[")-1))))</f>
        <v/>
      </c>
      <c r="DW1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3" t="n">
        <f aca="false">IF(OR(NOT(Tasks[[#This Row],[_IsLeaf]]=1),Tasks[[#This Row],[_Res2Row]]=0),0,N(Tasks[[#This Row],[_Days]])*HoursPerDay*IF(Tasks[[#This Row],[_Res2Units]]="",DefaultUnits,Tasks[[#This Row],[_Res2Units]]))</f>
        <v>0</v>
      </c>
      <c r="DY198" s="43" t="n">
        <f aca="false">IF(AND(AND(Tasks[[#This Row],[_IsLeaf]]=1,Tasks[[#This Row],[_LeafTotalWork]]&gt;0),Tasks[[#This Row],[_Res2Work]]&gt;0),Tasks[[#This Row],[_Res2Work]]/(Tasks[[#This Row],[_FinishWorkday]]-Tasks[[#This Row],[_StartWorkday]]+1),0)</f>
        <v>0</v>
      </c>
      <c r="DZ198" s="43" t="n">
        <f aca="false">Tasks[[#This Row],[_Res2WorkPerWD]]*MAX(0,Tasks[[#This Row],[_StartWorkday]]-1)</f>
        <v>0</v>
      </c>
      <c r="EA198" s="43" t="n">
        <f aca="false">Tasks[[#This Row],[_Res2Work]]*Tasks[[#This Row],[_LeafProgress]]</f>
        <v>0</v>
      </c>
      <c r="EB198" s="43" t="str">
        <f aca="false">IF(Tasks[[#This Row],[_Res3Text]]="","",IF(Tasks[[#This Row],[_Res3Row]]&gt;0,INDEX(res_Name,Tasks[[#This Row],[_Res3Row]]),TRIM(LEFT(Tasks[[#This Row],[_Res3Text]],FIND("[",Tasks[[#This Row],[_Res3Text]]&amp;"[")-1))))</f>
        <v/>
      </c>
      <c r="EC1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3" t="n">
        <f aca="false">IF(OR(NOT(Tasks[[#This Row],[_IsLeaf]]=1),Tasks[[#This Row],[_Res3Row]]=0),0,N(Tasks[[#This Row],[_Days]])*HoursPerDay*IF(Tasks[[#This Row],[_Res3Units]]="",DefaultUnits,Tasks[[#This Row],[_Res3Units]]))</f>
        <v>0</v>
      </c>
      <c r="EE198" s="43" t="n">
        <f aca="false">IF(AND(AND(Tasks[[#This Row],[_IsLeaf]]=1,Tasks[[#This Row],[_LeafTotalWork]]&gt;0),Tasks[[#This Row],[_Res3Work]]&gt;0),Tasks[[#This Row],[_Res3Work]]/(Tasks[[#This Row],[_FinishWorkday]]-Tasks[[#This Row],[_StartWorkday]]+1),0)</f>
        <v>0</v>
      </c>
      <c r="EF198" s="43" t="n">
        <f aca="false">Tasks[[#This Row],[_Res3WorkPerWD]]*MAX(0,Tasks[[#This Row],[_StartWorkday]]-1)</f>
        <v>0</v>
      </c>
      <c r="EG198" s="43" t="n">
        <f aca="false">Tasks[[#This Row],[_Res3Work]]*Tasks[[#This Row],[_LeafProgress]]</f>
        <v>0</v>
      </c>
      <c r="EH198" s="43" t="str">
        <f aca="false">IF(Tasks[[#This Row],[_Res4Text]]="","",IF(Tasks[[#This Row],[_Res4Row]]&gt;0,INDEX(res_Name,Tasks[[#This Row],[_Res4Row]]),TRIM(LEFT(Tasks[[#This Row],[_Res4Text]],FIND("[",Tasks[[#This Row],[_Res4Text]]&amp;"[")-1))))</f>
        <v/>
      </c>
      <c r="EI1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3" t="n">
        <f aca="false">IF(OR(NOT(Tasks[[#This Row],[_IsLeaf]]=1),Tasks[[#This Row],[_Res4Row]]=0),0,N(Tasks[[#This Row],[_Days]])*HoursPerDay*IF(Tasks[[#This Row],[_Res4Units]]="",DefaultUnits,Tasks[[#This Row],[_Res4Units]]))</f>
        <v>0</v>
      </c>
      <c r="EK198" s="43" t="n">
        <f aca="false">IF(AND(AND(Tasks[[#This Row],[_IsLeaf]]=1,Tasks[[#This Row],[_LeafTotalWork]]&gt;0),Tasks[[#This Row],[_Res4Work]]&gt;0),Tasks[[#This Row],[_Res4Work]]/(Tasks[[#This Row],[_FinishWorkday]]-Tasks[[#This Row],[_StartWorkday]]+1),0)</f>
        <v>0</v>
      </c>
      <c r="EL198" s="43" t="n">
        <f aca="false">Tasks[[#This Row],[_Res4WorkPerWD]]*MAX(0,Tasks[[#This Row],[_StartWorkday]]-1)</f>
        <v>0</v>
      </c>
      <c r="EM198" s="43" t="n">
        <f aca="false">Tasks[[#This Row],[_Res4Work]]*Tasks[[#This Row],[_LeafProgress]]</f>
        <v>0</v>
      </c>
      <c r="EN198" s="43" t="n">
        <f aca="false">IF(ISNUMBER(Tasks[[#This Row],[% Complete]]),Tasks[[#This Row],[% Complete]],IF(Tasks[[#This Row],[Stage]]="",0,IFERROR(INDEX(stg_Pct,MATCH(Tasks[[#This Row],[Stage]],stg_Name,0)),0)))</f>
        <v>0</v>
      </c>
      <c r="EO198" s="43" t="n">
        <f aca="false">IF(NOT(Tasks[[#This Row],[_IsLeaf]]=1),0,IF(N(Tasks[[#This Row],[Actual Finish]])&gt;0,1,MIN(1,Tasks[[#This Row],[_Pct]])))</f>
        <v>0</v>
      </c>
      <c r="EP198" s="43" t="n">
        <f aca="false">IF(OR(NOT(Tasks[[#This Row],[_IsLeaf]]=1),Tasks[[#This Row],[_Res1Row]]=0),0,N(Tasks[[#This Row],[_Days]])*HoursPerDay*IF(Tasks[[#This Row],[_Units1]]="",DefaultUnits,Tasks[[#This Row],[_Units1]]))</f>
        <v>0</v>
      </c>
      <c r="EQ198" s="43" t="n">
        <f aca="false">Tasks[[#This Row],[_LeafWork]]+Tasks[[#This Row],[_Res2Work]]+Tasks[[#This Row],[_Res3Work]]+Tasks[[#This Row],[_Res4Work]]</f>
        <v>0</v>
      </c>
      <c r="ER1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3" t="n">
        <f aca="false">IF(NOT(Tasks[[#This Row],[_IsLeaf]]=1),0,MAX(_xlfn.MAXIFS(Tasks[_Row],Tasks[_Pred1UID],Tasks[[#This Row],[UID]]),_xlfn.MAXIFS(Tasks[_Row],Tasks[_Pred2UID],Tasks[[#This Row],[UID]]),_xlfn.MAXIFS(Tasks[_Row],Tasks[_Pred3UID],Tasks[[#This Row],[UID]]),_xlfn.MAXIFS(Tasks[_Row],Tasks[_Pred4UID],Tasks[[#This Row],[UID]])))</f>
        <v>0</v>
      </c>
      <c r="FA1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91" t="str">
        <f aca="false">IF(NOT(Tasks[[#This Row],[_IsLeaf]]=1),"",IF(N(Tasks[[#This Row],[_Days]])&lt;=0,Tasks[[#This Row],[_LeafLateFinish]],WORKDAY.INTL(Tasks[[#This Row],[_LeafLateFinish]],-(Tasks[[#This Row],[_Days]]-1),WorkWeek,Holidays)))</f>
        <v/>
      </c>
      <c r="FD1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8" s="90" t="b">
        <f aca="false">AND(Tasks[[#This Row],[_IsLeaf]]=1,Tasks[[#This Row],[_LeafProgress]]&lt;1,N(Tasks[[#This Row],[_LeafTotalSlack]])&lt;=CriticalSlackDays)</f>
        <v>0</v>
      </c>
      <c r="FF198" s="43" t="n">
        <f aca="false">IF(AND(Tasks[[#This Row],[_IsLeaf]]=1,Tasks[[#This Row],[_ConstraintCode]]=1,Tasks[[#This Row],[Mode]]&lt;&gt;"Manual",N(Tasks[[#This Row],[Actual Start]])=0),MAX(0,N(Tasks[[#This Row],[Free Slack]])),0)</f>
        <v>0</v>
      </c>
      <c r="FG198" s="91" t="str">
        <f aca="false">IF(NOT(Tasks[[#This Row],[_IsLeaf]]=1),"",IF(Tasks[[#This Row],[_AlapShift]]=0,Tasks[[#This Row],[_LeafCalcStart]],WORKDAY.INTL(Tasks[[#This Row],[_LeafCalcStart]],Tasks[[#This Row],[_AlapShift]],WorkWeek,Holidays)))</f>
        <v/>
      </c>
      <c r="FH198" s="91" t="str">
        <f aca="false">IF(NOT(Tasks[[#This Row],[_IsLeaf]]=1),"",IF(Tasks[[#This Row],[_AlapShift]]=0,Tasks[[#This Row],[_LeafCalcFinish]],WORKDAY.INTL(Tasks[[#This Row],[_LeafCalcFinish]],Tasks[[#This Row],[_AlapShift]],WorkWeek,Holidays)))</f>
        <v/>
      </c>
      <c r="FI198" s="91" t="str">
        <f aca="false">IF(NOT(Tasks[[#This Row],[_IsLeaf]]=1),"",IF(Tasks[[#This Row],[_AlapShift]]=0,Tasks[[#This Row],[_LeafFcstStart]],WORKDAY.INTL(Tasks[[#This Row],[_LeafFcstStart]],Tasks[[#This Row],[_AlapShift]],WorkWeek,Holidays)))</f>
        <v/>
      </c>
      <c r="FJ198" s="91" t="str">
        <f aca="false">IF(NOT(Tasks[[#This Row],[_IsLeaf]]=1),"",IF(Tasks[[#This Row],[_AlapShift]]=0,Tasks[[#This Row],[_LeafFcstFinish]],WORKDAY.INTL(Tasks[[#This Row],[_LeafFcstFinish]],Tasks[[#This Row],[_AlapShift]],WorkWeek,Holidays)))</f>
        <v/>
      </c>
      <c r="FK198" s="91" t="str">
        <f aca="false">IF(Tasks[[#This Row],[Task Name]]="","",IF(Tasks[[#This Row],[_IsSummary]],MIN(INDEX(Tasks[_ShownCalcStart],Tasks[[#This Row],[_Row]]+1):INDEX(Tasks[_ShownCalcStart],Tasks[[#This Row],[_Row]]+Tasks[[#This Row],[_Descendants]])),Tasks[[#This Row],[_ShownCalcStart]]))</f>
        <v/>
      </c>
      <c r="FL198" s="91" t="str">
        <f aca="false">IF(Tasks[[#This Row],[Task Name]]="","",IF(Tasks[[#This Row],[_IsSummary]],MAX(INDEX(Tasks[_ShownCalcFinish],Tasks[[#This Row],[_Row]]+1):INDEX(Tasks[_ShownCalcFinish],Tasks[[#This Row],[_Row]]+Tasks[[#This Row],[_Descendants]])),Tasks[[#This Row],[_ShownCalcFinish]]))</f>
        <v/>
      </c>
      <c r="FM1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8" s="43" t="n">
        <f aca="false">IF(AND(Tasks[[#This Row],[_IsLeaf]]=1,Tasks[[#This Row],[_LeafTotalWork]]&gt;0),NETWORKDAYS.INTL(ProjectStart,Tasks[[#This Row],[_ShownFcstStart]],WorkWeek,Holidays),0)</f>
        <v>0</v>
      </c>
      <c r="FZ198" s="43" t="n">
        <f aca="false">IF(AND(Tasks[[#This Row],[_IsLeaf]]=1,Tasks[[#This Row],[_LeafTotalWork]]&gt;0),MAX(Tasks[[#This Row],[_StartWorkday]],NETWORKDAYS.INTL(ProjectStart,Tasks[[#This Row],[_ShownFcstFinish]],WorkWeek,Holidays)),0)</f>
        <v>0</v>
      </c>
      <c r="GA198" s="43" t="n">
        <f aca="false">IF(AND(Tasks[[#This Row],[_IsLeaf]]=1,Tasks[[#This Row],[_LeafTotalWork]]&gt;0),Tasks[[#This Row],[_LeafWork]]/(Tasks[[#This Row],[_FinishWorkday]]-Tasks[[#This Row],[_StartWorkday]]+1),0)</f>
        <v>0</v>
      </c>
      <c r="GB198" s="43" t="n">
        <f aca="false">Tasks[[#This Row],[_WorkPerWorkday]]*(Tasks[[#This Row],[_StartWorkday]]-1)</f>
        <v>-0</v>
      </c>
      <c r="GC198" s="43" t="n">
        <f aca="false">IF(Tasks[[#This Row],[_IsLeaf]]=1,MAX(N(Tasks[[#This Row],[_Days]]),0.1),0)</f>
        <v>0</v>
      </c>
      <c r="GD198" s="43" t="n">
        <f aca="false">Tasks[[#This Row],[_WeightDur]]*Tasks[[#This Row],[_LeafProgress]]</f>
        <v>0</v>
      </c>
      <c r="GE198" s="43" t="n">
        <f aca="false">Tasks[[#This Row],[_WeightDur]]*Tasks[[#This Row],[_PlannedPct]]</f>
        <v>0</v>
      </c>
      <c r="GF1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3" t="str">
        <f aca="false">IF(AND(Tasks[[#This Row],[_IsLeaf]]=1,N(Tasks[[#This Row],[_Days]])=0,Tasks[[#This Row],[_LeafProgress]]&lt;1),Tasks[[#This Row],[_ShownFcstFinish]]+Tasks[[#This Row],[_Row]]/100000,"")</f>
        <v/>
      </c>
      <c r="GH1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8" s="43" t="str">
        <f aca="false">IF(Tasks[[#This Row],[Task Name]]="","",LEFT(Tasks[[#This Row],[WBS]],FIND(".",Tasks[[#This Row],[WBS]]&amp;".")-1))</f>
        <v/>
      </c>
      <c r="GJ198" s="43" t="str">
        <f aca="false">IF(AND(Tasks[[#This Row],[Task Name]]&lt;&gt;"",Tasks[[#This Row],[_Level]]=1),Tasks[[#This Row],[_Row]],"")</f>
        <v/>
      </c>
      <c r="GK198" s="43" t="str">
        <f aca="false">IF(AND(Tasks[[#This Row],[_IsLeaf]]=1,N(Tasks[[#This Row],[_Days]])=0),Tasks[[#This Row],[Planned Finish]]+Tasks[[#This Row],[_Row]]/100000,"")</f>
        <v/>
      </c>
      <c r="GL198" s="43" t="str">
        <f aca="false">IF(AND(Tasks[[#This Row],[_IsLeaf]]=1,Tasks[[#This Row],[_LeafProgress]]&lt;1,OR(N(Tasks[[#This Row],[Finish Var]])&gt;0,Tasks[[#This Row],[Status]]="Late Start")),MAX(0,Tasks[[#This Row],[Finish Var]])+1-Tasks[[#This Row],[_Row]]/1000000,"")</f>
        <v/>
      </c>
      <c r="GM198" s="43" t="str">
        <f aca="false">IF(AND(Tasks[[#This Row],[_IsLeaf]]=1,N(Tasks[[#This Row],[Actual Start]])=0,Tasks[[#This Row],[_ShownFcstStart]]&gt;=StatusDate,Tasks[[#This Row],[_ShownFcstStart]]&lt;=LookaheadEnd),Tasks[[#This Row],[_ShownFcstStart]]+Tasks[[#This Row],[_Row]]/100000,"")</f>
        <v/>
      </c>
      <c r="GN198" s="43" t="str">
        <f aca="false">IF(AND(Tasks[[#This Row],[_IsLeaf]]=1,Tasks[[#This Row],[_LeafProgress]]&lt;1,Tasks[[#This Row],[_ShownFcstFinish]]&gt;=StatusDate,Tasks[[#This Row],[_ShownFcstFinish]]&lt;=LookaheadEnd),Tasks[[#This Row],[_ShownFcstFinish]]+Tasks[[#This Row],[_Row]]/100000,"")</f>
        <v/>
      </c>
      <c r="GO198" s="43" t="str">
        <f aca="false">IF(Tasks[[#This Row],[_LeafCritical]],Tasks[[#This Row],[_ShownFcstStart]]+Tasks[[#This Row],[_Row]]/100000,"")</f>
        <v/>
      </c>
      <c r="GP198" s="43" t="n">
        <f aca="false">Tasks[[#This Row],[_LeafWork]]*Tasks[[#This Row],[_LeafProgress]]</f>
        <v>0</v>
      </c>
      <c r="GQ198" s="91" t="str">
        <f aca="false">IF(AND(Tasks[[#This Row],[_IsLeaf]]=1,Tasks[[#This Row],[_LeafProgress]]&gt;=1),IF(N(Tasks[[#This Row],[Actual Finish]])&gt;0,Tasks[[#This Row],[Actual Finish]],Tasks[[#This Row],[_ShownFcstFinish]]),"")</f>
        <v/>
      </c>
      <c r="GR198" s="43" t="n">
        <f aca="false">IF(Tasks[[#This Row],[_IsLeaf]]=1,N(Tasks[[#This Row],[Story Points]]),0)</f>
        <v>0</v>
      </c>
      <c r="GS198" s="43" t="str">
        <f aca="false">""</f>
        <v/>
      </c>
      <c r="GT198" s="90" t="b">
        <f aca="false">IF(Tasks[[#This Row],[Task Name]]="",FALSE(),AND(Tasks[[#This Row],[_IsLeaf]]=1,N(Tasks[[#This Row],[_Days]])=0))</f>
        <v>0</v>
      </c>
      <c r="GU198" s="91" t="n">
        <f aca="false">IF(Tasks[[#This Row],[Task Name]]="",0,IF(AND(Tasks[[#This Row],[_IsLeaf]]=1,NOT(Tasks[[#This Row],[_IsMilestone]]),N(Tasks[[#This Row],[Progress]])&gt;0),Tasks[[#This Row],[Start]],0))</f>
        <v>0</v>
      </c>
      <c r="GV198" s="91" t="n">
        <f aca="false">IF(Tasks[[#This Row],[_DoneFrom]]=0,0,IF(Tasks[[#This Row],[Progress]]&gt;=1,Tasks[[#This Row],[Finish]],MAX(Tasks[[#This Row],[_DoneFrom]],Tasks[[#This Row],[Start]]+ROUND((Tasks[[#This Row],[Finish]]-Tasks[[#This Row],[Start]]+1)*Tasks[[#This Row],[Progress]],0)-1)))</f>
        <v>0</v>
      </c>
      <c r="GW198" s="91" t="n">
        <f aca="false">IF(Tasks[[#This Row],[Task Name]]="",0,IF(OR(NOT(Tasks[[#This Row],[_IsLeaf]]=1),Tasks[[#This Row],[_IsMilestone]],N(Tasks[[#This Row],[Progress]])&gt;=1),0,IF(Tasks[[#This Row],[_DoneTo]]&gt;0,Tasks[[#This Row],[_DoneTo]]+1,Tasks[[#This Row],[Start]])))</f>
        <v>0</v>
      </c>
      <c r="GX198" s="91" t="n">
        <f aca="false">IF(Tasks[[#This Row],[_RemFrom]]=0,0,Tasks[[#This Row],[Finish]])</f>
        <v>0</v>
      </c>
      <c r="GY198" s="90" t="b">
        <f aca="false">IF(Tasks[[#This Row],[Task Name]]="",FALSE(),OR(NOT(BaselineSet),N(Tasks[[#This Row],[Baseline Start]])&gt;0))</f>
        <v>0</v>
      </c>
      <c r="GZ19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92" t="str">
        <f aca="false">IF(Tasks[[#This Row],[_IsLeaf]]=1,Tasks[[#This Row],[_Row]],"")</f>
        <v/>
      </c>
      <c r="HD198" s="92" t="str">
        <f aca="false">IFERROR(INDEX(Tasks[UID],SMALL(Tasks[_PickKey],Tasks[[#This Row],[_Row]]))&amp;" "&amp;INDEX(Tasks[Task Name],SMALL(Tasks[_PickKey],Tasks[[#This Row],[_Row]])),"")</f>
        <v/>
      </c>
      <c r="HE198" s="43" t="str">
        <f aca="false">IF(Tasks[[#This Row],[Task Name]]="","",IF(Tasks[[#This Row],[_IsSummary]],NETWORKDAYS.INTL(Tasks[[#This Row],[Start]],Tasks[[#This Row],[Finish]],WorkWeek,Holidays),N(Tasks[[#This Row],[_Days]])))</f>
        <v/>
      </c>
      <c r="HF198" s="43" t="n">
        <f aca="false">IF(Tasks[[#This Row],[Expected]]="",0,((Tasks[[#This Row],[Pessimistic]]-Tasks[[#This Row],[Optimistic]])/6)^2)</f>
        <v>0</v>
      </c>
      <c r="HG198" s="43" t="n">
        <f aca="false">IF(Tasks[[#This Row],[Expected]]="",0,Tasks[[#This Row],[Expected]]-N(Tasks[[#This Row],[_Days]]))</f>
        <v>0</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4"/>
      <c r="U199" s="23"/>
      <c r="V199" s="84"/>
      <c r="W199" s="23"/>
      <c r="X199" s="84"/>
      <c r="Y199" s="23"/>
      <c r="Z199" s="84"/>
      <c r="AA199" s="23"/>
      <c r="AB199" s="23"/>
      <c r="AC199" s="7"/>
      <c r="AD199" s="7"/>
      <c r="AE199" s="63" t="str">
        <f aca="false">IF(Tasks[[#This Row],[Task Name]]="","",IF(Tasks[[#This Row],[_IsSummary]],MIN(INDEX(Tasks[_ShownFcstStart],Tasks[[#This Row],[_Row]]+1):INDEX(Tasks[_ShownFcstStart],Tasks[[#This Row],[_Row]]+Tasks[[#This Row],[_Descendants]])),Tasks[[#This Row],[_ShownFcstStart]]))</f>
        <v/>
      </c>
      <c r="AF199" s="63"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9" s="7"/>
      <c r="AK199" s="22"/>
      <c r="AL199" s="23"/>
      <c r="AM199" s="7"/>
      <c r="AN199" s="47"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3" t="str">
        <f aca="false">IF(Tasks[[#This Row],[Task Name]]="","",IF(N(Tasks[[#This Row],[Baseline Start]])&gt;0,Tasks[[#This Row],[Baseline Start]],Tasks[[#This Row],[_CalcStart]]))</f>
        <v/>
      </c>
      <c r="AR199" s="63" t="str">
        <f aca="false">IF(Tasks[[#This Row],[Task Name]]="","",IF(N(Tasks[[#This Row],[Baseline Finish]])&gt;0,Tasks[[#This Row],[Baseline Finish]],Tasks[[#This Row],[_CalcFinish]]))</f>
        <v/>
      </c>
      <c r="AS199" s="47" t="str">
        <f aca="false">IF(Tasks[[#This Row],[Task Name]]="","",IF(Tasks[[#This Row],[Start]]&gt;=Tasks[[#This Row],[Planned Start]],NETWORKDAYS.INTL(Tasks[[#This Row],[Planned Start]],Tasks[[#This Row],[Start]],WorkWeek,Holidays)-1,1-NETWORKDAYS.INTL(Tasks[[#This Row],[Start]],Tasks[[#This Row],[Planned Start]],WorkWeek,Holidays)))</f>
        <v/>
      </c>
      <c r="AT199" s="63" t="str">
        <f aca="false">IF(Tasks[[#This Row],[Task Name]]="","",IF(Tasks[[#This Row],[_IsSummary]],MIN(INDEX(Tasks[_LeafLateStart],Tasks[[#This Row],[_Row]]+1):INDEX(Tasks[_LeafLateStart],Tasks[[#This Row],[_Row]]+Tasks[[#This Row],[_Descendants]])),Tasks[[#This Row],[_LeafLateStart]]))</f>
        <v/>
      </c>
      <c r="AU199" s="63" t="str">
        <f aca="false">IF(Tasks[[#This Row],[Task Name]]="","",IF(Tasks[[#This Row],[_IsSummary]],MAX(INDEX(Tasks[_LeafLateFinish],Tasks[[#This Row],[_Row]]+1):INDEX(Tasks[_LeafLateFinish],Tasks[[#This Row],[_Row]]+Tasks[[#This Row],[_Descendants]])),Tasks[[#This Row],[_LeafLateFinish]]))</f>
        <v/>
      </c>
      <c r="AV199" s="47"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5"/>
      <c r="BA1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6"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7"/>
      <c r="BJ199" s="22"/>
      <c r="BK199" s="47" t="str">
        <f aca="false">IF(OR(Tasks[[#This Row],[Task Name]]="",Tasks[[#This Row],[Baseline Duration]]=""),"",Tasks[[#This Row],[_SpanDays]]-N(Tasks[[#This Row],[Baseline Duration]]))</f>
        <v/>
      </c>
      <c r="BL199" s="86" t="str">
        <f aca="false">IF(OR(Tasks[[#This Row],[Task Name]]="",Tasks[[#This Row],[Baseline Work]]=""),"",Tasks[[#This Row],[Work]]-N(Tasks[[#This Row],[Baseline Work]]))</f>
        <v/>
      </c>
      <c r="BM199" s="63" t="str">
        <f aca="false">IF(Tasks[[#This Row],[Task Name]]="","",IF(OR(TakeBaseline="Yes",N(Tasks[[#This Row],[Baseline Start]])=0),Tasks[[#This Row],[Start]],Tasks[[#This Row],[Baseline Start]]))</f>
        <v/>
      </c>
      <c r="BN199" s="63" t="str">
        <f aca="false">IF(Tasks[[#This Row],[Task Name]]="","",IF(OR(TakeBaseline="Yes",N(Tasks[[#This Row],[Baseline Finish]])=0),Tasks[[#This Row],[Finish]],Tasks[[#This Row],[Baseline Finish]]))</f>
        <v/>
      </c>
      <c r="BO199" s="21" t="str">
        <f aca="false">IF(Tasks[[#This Row],[Task Name]]="","",IF(OR(TakeBaseline="Yes",N(Tasks[[#This Row],[Baseline Duration]])=0),Tasks[[#This Row],[_SpanDays]],Tasks[[#This Row],[Baseline Duration]]))</f>
        <v/>
      </c>
      <c r="BP199" s="86" t="str">
        <f aca="false">IF(Tasks[[#This Row],[Task Name]]="","",IF(OR(TakeBaseline="Yes",N(Tasks[[#This Row],[Baseline Work]])=0),Tasks[[#This Row],[Work]],Tasks[[#This Row],[Baseline Work]]))</f>
        <v/>
      </c>
      <c r="BQ199" s="7"/>
      <c r="BR199" s="7"/>
      <c r="BS199" s="22"/>
      <c r="BT199" s="88"/>
      <c r="BU199" s="23"/>
      <c r="BV199" s="23"/>
      <c r="BW199" s="23"/>
      <c r="BX199" s="89" t="str">
        <f aca="false">IF(AND(Tasks[[#This Row],[_IsLeaf]]=1,ISNUMBER(Tasks[[#This Row],[Optimistic]]),ISNUMBER(Tasks[[#This Row],[Pessimistic]])),ROUND((Tasks[[#This Row],[Optimistic]]+4*N(Tasks[[#This Row],[_Days]])+Tasks[[#This Row],[Pessimistic]])/6,1),"")</f>
        <v/>
      </c>
      <c r="BY199" s="87"/>
      <c r="BZ199" s="87"/>
      <c r="CA199" s="22"/>
      <c r="CB199" s="43" t="str">
        <f aca="false">IF(Tasks[[#This Row],[Task Name]]="","",MAX(1,N(Tasks[[#This Row],[Level]])))</f>
        <v/>
      </c>
      <c r="CC199" s="43" t="n">
        <f aca="false">ROW()-ROW(Tasks[[#Headers],[ID]])</f>
        <v>194</v>
      </c>
      <c r="CD199" s="43" t="n">
        <f aca="false">IF(OR(Tasks[[#This Row],[Task Name]]="",Tasks[[#This Row],[_Level]]&lt;=1),0,IFERROR(LOOKUP(2,1/(Tasks[[#Headers],[_Level]]:Tasks[[#This Row],[_Level]]=Tasks[[#This Row],[_Level]]-1),ROW(Tasks[[#Headers],[_Level]]:Tasks[[#This Row],[_Level]])),0))</f>
        <v>0</v>
      </c>
      <c r="CE199" s="43" t="n">
        <f aca="false">IFERROR(N(INDEX(Tasks[_Level],Tasks[[#This Row],[_Row]]+1)),0)</f>
        <v>0</v>
      </c>
      <c r="CF199" s="90" t="b">
        <f aca="false">AND(Tasks[[#This Row],[Task Name]]&lt;&gt;"",Tasks[[#This Row],[_NextLevel]]&gt;Tasks[[#This Row],[_Level]])</f>
        <v>0</v>
      </c>
      <c r="CG199" s="43" t="n">
        <f aca="false">IF(Tasks[[#This Row],[_IsSummary]],COUNTIF(Tasks[WBS],Tasks[[#This Row],[WBS]]&amp;".*"),0)</f>
        <v>0</v>
      </c>
      <c r="CH199" s="43" t="n">
        <f aca="false">IF(AND(Tasks[[#This Row],[Task Name]]&lt;&gt;"",NOT(Tasks[[#This Row],[_IsSummary]])),1,0)</f>
        <v>0</v>
      </c>
      <c r="CI199" s="43" t="n">
        <f aca="false">IF(N(Tasks[[#This Row],[_Pred1UID]])=0,0,IFERROR(MATCH(Tasks[[#This Row],[_Pred1UID]],Tasks[UID],0),-1))</f>
        <v>0</v>
      </c>
      <c r="CJ199" s="43" t="n">
        <f aca="false">IF(N(Tasks[[#This Row],[_Pred2UID]])=0,0,IFERROR(MATCH(Tasks[[#This Row],[_Pred2UID]],Tasks[UID],0),-1))</f>
        <v>0</v>
      </c>
      <c r="CK199" s="43" t="n">
        <f aca="false">IF(N(Tasks[[#This Row],[_Pred3UID]])=0,0,IFERROR(MATCH(Tasks[[#This Row],[_Pred3UID]],Tasks[UID],0),-1))</f>
        <v>0</v>
      </c>
      <c r="CL199" s="43" t="n">
        <f aca="false">IF(N(Tasks[[#This Row],[_Pred4UID]])=0,0,IFERROR(MATCH(Tasks[[#This Row],[_Pred4UID]],Tasks[UID],0),-1))</f>
        <v>0</v>
      </c>
      <c r="CM1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9" s="91" t="n">
        <f aca="false">IF(OR(Tasks[[#This Row],[_ConstraintCode]]=2,Tasks[[#This Row],[_ConstraintCode]]=3,Tasks[[#This Row],[_ConstraintCode]]=4,Tasks[[#This Row],[_ConstraintCode]]=6),Tasks[[#This Row],[_ConstraintStart]],0)</f>
        <v>0</v>
      </c>
      <c r="CP199" s="91" t="n">
        <f aca="false">IF(OR(Tasks[[#This Row],[_ConstraintCode]]=2,Tasks[[#This Row],[_ConstraintCode]]=3,Tasks[[#This Row],[_ConstraintCode]]=5,Tasks[[#This Row],[_ConstraintCode]]=7),Tasks[[#This Row],[_ConstraintStart]],2958465)</f>
        <v>2958465</v>
      </c>
      <c r="CQ1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91" t="str">
        <f aca="false">IF(NOT(Tasks[[#This Row],[_IsLeaf]]=1),"",IF(N(Tasks[[#This Row],[_Days]])&lt;=0,Tasks[[#This Row],[_LeafCalcStart]],WORKDAY.INTL(Tasks[[#This Row],[_LeafCalcStart]],Tasks[[#This Row],[_Days]]-1,WorkWeek,Holidays)))</f>
        <v/>
      </c>
      <c r="CS1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3" t="str">
        <f aca="false">IF(Tasks[[#This Row],[_Predecessors]]="","",TRIM(MID(SUBSTITUTE(SUBSTITUTE(SUBSTITUTE(UPPER(Tasks[[#This Row],[_Predecessors]]),";",",")," ",""),",",REPT(" ",99)),1,99)))</f>
        <v/>
      </c>
      <c r="CV199" s="43" t="str">
        <f aca="false">IF(Tasks[[#This Row],[_Pred1Text]]="","",IFERROR(VALUE(LEFT(Tasks[[#This Row],[_Pred1Text]],MIN(FIND("F",Tasks[[#This Row],[_Pred1Text]]&amp;"F"),FIND("S",Tasks[[#This Row],[_Pred1Text]]&amp;"S"),FIND("+",Tasks[[#This Row],[_Pred1Text]]&amp;"+"),FIND("-",Tasks[[#This Row],[_Pred1Text]]&amp;"-"))-1)),""))</f>
        <v/>
      </c>
      <c r="CW1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3" t="str">
        <f aca="false">IF(Tasks[[#This Row],[_Pred1Text]]="","",TRIM(MID(SUBSTITUTE(SUBSTITUTE(SUBSTITUTE(UPPER(Tasks[[#This Row],[_Predecessors]]),";",",")," ",""),",",REPT(" ",99)),100,99)))</f>
        <v/>
      </c>
      <c r="CZ199" s="43" t="str">
        <f aca="false">IF(Tasks[[#This Row],[_Pred2Text]]="","",IFERROR(VALUE(LEFT(Tasks[[#This Row],[_Pred2Text]],MIN(FIND("F",Tasks[[#This Row],[_Pred2Text]]&amp;"F"),FIND("S",Tasks[[#This Row],[_Pred2Text]]&amp;"S"),FIND("+",Tasks[[#This Row],[_Pred2Text]]&amp;"+"),FIND("-",Tasks[[#This Row],[_Pred2Text]]&amp;"-"))-1)),""))</f>
        <v/>
      </c>
      <c r="DA1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3" t="str">
        <f aca="false">IF(Tasks[[#This Row],[_Pred2Text]]="","",TRIM(MID(SUBSTITUTE(SUBSTITUTE(SUBSTITUTE(UPPER(Tasks[[#This Row],[_Predecessors]]),";",",")," ",""),",",REPT(" ",99)),199,99)))</f>
        <v/>
      </c>
      <c r="DD199" s="43" t="str">
        <f aca="false">IF(Tasks[[#This Row],[_Pred3Text]]="","",IFERROR(VALUE(LEFT(Tasks[[#This Row],[_Pred3Text]],MIN(FIND("F",Tasks[[#This Row],[_Pred3Text]]&amp;"F"),FIND("S",Tasks[[#This Row],[_Pred3Text]]&amp;"S"),FIND("+",Tasks[[#This Row],[_Pred3Text]]&amp;"+"),FIND("-",Tasks[[#This Row],[_Pred3Text]]&amp;"-"))-1)),""))</f>
        <v/>
      </c>
      <c r="DE1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3" t="str">
        <f aca="false">IF(Tasks[[#This Row],[_Pred3Text]]="","",TRIM(MID(SUBSTITUTE(SUBSTITUTE(SUBSTITUTE(UPPER(Tasks[[#This Row],[_Predecessors]]),";",",")," ",""),",",REPT(" ",99)),298,99)))</f>
        <v/>
      </c>
      <c r="DH199" s="43" t="str">
        <f aca="false">IF(Tasks[[#This Row],[_Pred4Text]]="","",IFERROR(VALUE(LEFT(Tasks[[#This Row],[_Pred4Text]],MIN(FIND("F",Tasks[[#This Row],[_Pred4Text]]&amp;"F"),FIND("S",Tasks[[#This Row],[_Pred4Text]]&amp;"S"),FIND("+",Tasks[[#This Row],[_Pred4Text]]&amp;"+"),FIND("-",Tasks[[#This Row],[_Pred4Text]]&amp;"-"))-1)),""))</f>
        <v/>
      </c>
      <c r="DI1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3" t="str">
        <f aca="false">IF(OR(Tasks[[#This Row],[Task Name]]="",Tasks[[#This Row],[_Resources]]=""),"",TRIM(MID(SUBSTITUTE(Tasks[[#This Row],[_Resources]],",",REPT(" ",99)),1,99)))</f>
        <v/>
      </c>
      <c r="DL199" s="43" t="str">
        <f aca="false">IF(Tasks[[#This Row],[_Res1Text]]="","",TRIM(MID(SUBSTITUTE(Tasks[[#This Row],[_Resources]],",",REPT(" ",99)),100,99)))</f>
        <v/>
      </c>
      <c r="DM199" s="43" t="str">
        <f aca="false">IF(Tasks[[#This Row],[_Res2Text]]="","",TRIM(MID(SUBSTITUTE(Tasks[[#This Row],[_Resources]],",",REPT(" ",99)),199,99)))</f>
        <v/>
      </c>
      <c r="DN199" s="43" t="str">
        <f aca="false">IF(Tasks[[#This Row],[_Res3Text]]="","",TRIM(MID(SUBSTITUTE(Tasks[[#This Row],[_Resources]],",",REPT(" ",99)),298,99)))</f>
        <v/>
      </c>
      <c r="DO199" s="43" t="n">
        <f aca="false">IF(Tasks[[#This Row],[_Res1Text]]="",0,IFERROR(MATCH(TRIM(LEFT(Tasks[[#This Row],[_Res1Text]],FIND("[",Tasks[[#This Row],[_Res1Text]]&amp;"[")-1)),res_Name,0),IFERROR(MATCH(TRIM(LEFT(Tasks[[#This Row],[_Res1Text]],FIND("[",Tasks[[#This Row],[_Res1Text]]&amp;"[")-1)),res_Initials,0),0)))</f>
        <v>0</v>
      </c>
      <c r="DP199" s="43" t="n">
        <f aca="false">IF(Tasks[[#This Row],[_Res2Text]]="",0,IFERROR(MATCH(TRIM(LEFT(Tasks[[#This Row],[_Res2Text]],FIND("[",Tasks[[#This Row],[_Res2Text]]&amp;"[")-1)),res_Name,0),IFERROR(MATCH(TRIM(LEFT(Tasks[[#This Row],[_Res2Text]],FIND("[",Tasks[[#This Row],[_Res2Text]]&amp;"[")-1)),res_Initials,0),0)))</f>
        <v>0</v>
      </c>
      <c r="DQ199" s="43" t="n">
        <f aca="false">IF(Tasks[[#This Row],[_Res3Text]]="",0,IFERROR(MATCH(TRIM(LEFT(Tasks[[#This Row],[_Res3Text]],FIND("[",Tasks[[#This Row],[_Res3Text]]&amp;"[")-1)),res_Name,0),IFERROR(MATCH(TRIM(LEFT(Tasks[[#This Row],[_Res3Text]],FIND("[",Tasks[[#This Row],[_Res3Text]]&amp;"[")-1)),res_Initials,0),0)))</f>
        <v>0</v>
      </c>
      <c r="DR199" s="43" t="n">
        <f aca="false">IF(Tasks[[#This Row],[_Res4Text]]="",0,IFERROR(MATCH(TRIM(LEFT(Tasks[[#This Row],[_Res4Text]],FIND("[",Tasks[[#This Row],[_Res4Text]]&amp;"[")-1)),res_Name,0),IFERROR(MATCH(TRIM(LEFT(Tasks[[#This Row],[_Res4Text]],FIND("[",Tasks[[#This Row],[_Res4Text]]&amp;"[")-1)),res_Initials,0),0)))</f>
        <v>0</v>
      </c>
      <c r="DS199" s="43" t="str">
        <f aca="false">IF(Tasks[[#This Row],[_Res1Text]]="","",IF(Tasks[[#This Row],[_Res1Row]]&gt;0,INDEX(res_Name,Tasks[[#This Row],[_Res1Row]]),TRIM(LEFT(Tasks[[#This Row],[_Res1Text]],FIND("[",Tasks[[#This Row],[_Res1Text]]&amp;"[")-1))))</f>
        <v/>
      </c>
      <c r="DT1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3" t="n">
        <f aca="false">IF(NOT(Tasks[[#This Row],[_IsLeaf]]=1),0,(Tasks[[#This Row],[_Resource1]]&lt;&gt;"")+(Tasks[[#This Row],[_Res2]]&lt;&gt;"")+(Tasks[[#This Row],[_Res3]]&lt;&gt;"")+(Tasks[[#This Row],[_Res4]]&lt;&gt;""))</f>
        <v>0</v>
      </c>
      <c r="DV199" s="43" t="str">
        <f aca="false">IF(Tasks[[#This Row],[_Res2Text]]="","",IF(Tasks[[#This Row],[_Res2Row]]&gt;0,INDEX(res_Name,Tasks[[#This Row],[_Res2Row]]),TRIM(LEFT(Tasks[[#This Row],[_Res2Text]],FIND("[",Tasks[[#This Row],[_Res2Text]]&amp;"[")-1))))</f>
        <v/>
      </c>
      <c r="DW1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3" t="n">
        <f aca="false">IF(OR(NOT(Tasks[[#This Row],[_IsLeaf]]=1),Tasks[[#This Row],[_Res2Row]]=0),0,N(Tasks[[#This Row],[_Days]])*HoursPerDay*IF(Tasks[[#This Row],[_Res2Units]]="",DefaultUnits,Tasks[[#This Row],[_Res2Units]]))</f>
        <v>0</v>
      </c>
      <c r="DY199" s="43" t="n">
        <f aca="false">IF(AND(AND(Tasks[[#This Row],[_IsLeaf]]=1,Tasks[[#This Row],[_LeafTotalWork]]&gt;0),Tasks[[#This Row],[_Res2Work]]&gt;0),Tasks[[#This Row],[_Res2Work]]/(Tasks[[#This Row],[_FinishWorkday]]-Tasks[[#This Row],[_StartWorkday]]+1),0)</f>
        <v>0</v>
      </c>
      <c r="DZ199" s="43" t="n">
        <f aca="false">Tasks[[#This Row],[_Res2WorkPerWD]]*MAX(0,Tasks[[#This Row],[_StartWorkday]]-1)</f>
        <v>0</v>
      </c>
      <c r="EA199" s="43" t="n">
        <f aca="false">Tasks[[#This Row],[_Res2Work]]*Tasks[[#This Row],[_LeafProgress]]</f>
        <v>0</v>
      </c>
      <c r="EB199" s="43" t="str">
        <f aca="false">IF(Tasks[[#This Row],[_Res3Text]]="","",IF(Tasks[[#This Row],[_Res3Row]]&gt;0,INDEX(res_Name,Tasks[[#This Row],[_Res3Row]]),TRIM(LEFT(Tasks[[#This Row],[_Res3Text]],FIND("[",Tasks[[#This Row],[_Res3Text]]&amp;"[")-1))))</f>
        <v/>
      </c>
      <c r="EC1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3" t="n">
        <f aca="false">IF(OR(NOT(Tasks[[#This Row],[_IsLeaf]]=1),Tasks[[#This Row],[_Res3Row]]=0),0,N(Tasks[[#This Row],[_Days]])*HoursPerDay*IF(Tasks[[#This Row],[_Res3Units]]="",DefaultUnits,Tasks[[#This Row],[_Res3Units]]))</f>
        <v>0</v>
      </c>
      <c r="EE199" s="43" t="n">
        <f aca="false">IF(AND(AND(Tasks[[#This Row],[_IsLeaf]]=1,Tasks[[#This Row],[_LeafTotalWork]]&gt;0),Tasks[[#This Row],[_Res3Work]]&gt;0),Tasks[[#This Row],[_Res3Work]]/(Tasks[[#This Row],[_FinishWorkday]]-Tasks[[#This Row],[_StartWorkday]]+1),0)</f>
        <v>0</v>
      </c>
      <c r="EF199" s="43" t="n">
        <f aca="false">Tasks[[#This Row],[_Res3WorkPerWD]]*MAX(0,Tasks[[#This Row],[_StartWorkday]]-1)</f>
        <v>0</v>
      </c>
      <c r="EG199" s="43" t="n">
        <f aca="false">Tasks[[#This Row],[_Res3Work]]*Tasks[[#This Row],[_LeafProgress]]</f>
        <v>0</v>
      </c>
      <c r="EH199" s="43" t="str">
        <f aca="false">IF(Tasks[[#This Row],[_Res4Text]]="","",IF(Tasks[[#This Row],[_Res4Row]]&gt;0,INDEX(res_Name,Tasks[[#This Row],[_Res4Row]]),TRIM(LEFT(Tasks[[#This Row],[_Res4Text]],FIND("[",Tasks[[#This Row],[_Res4Text]]&amp;"[")-1))))</f>
        <v/>
      </c>
      <c r="EI1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3" t="n">
        <f aca="false">IF(OR(NOT(Tasks[[#This Row],[_IsLeaf]]=1),Tasks[[#This Row],[_Res4Row]]=0),0,N(Tasks[[#This Row],[_Days]])*HoursPerDay*IF(Tasks[[#This Row],[_Res4Units]]="",DefaultUnits,Tasks[[#This Row],[_Res4Units]]))</f>
        <v>0</v>
      </c>
      <c r="EK199" s="43" t="n">
        <f aca="false">IF(AND(AND(Tasks[[#This Row],[_IsLeaf]]=1,Tasks[[#This Row],[_LeafTotalWork]]&gt;0),Tasks[[#This Row],[_Res4Work]]&gt;0),Tasks[[#This Row],[_Res4Work]]/(Tasks[[#This Row],[_FinishWorkday]]-Tasks[[#This Row],[_StartWorkday]]+1),0)</f>
        <v>0</v>
      </c>
      <c r="EL199" s="43" t="n">
        <f aca="false">Tasks[[#This Row],[_Res4WorkPerWD]]*MAX(0,Tasks[[#This Row],[_StartWorkday]]-1)</f>
        <v>0</v>
      </c>
      <c r="EM199" s="43" t="n">
        <f aca="false">Tasks[[#This Row],[_Res4Work]]*Tasks[[#This Row],[_LeafProgress]]</f>
        <v>0</v>
      </c>
      <c r="EN199" s="43" t="n">
        <f aca="false">IF(ISNUMBER(Tasks[[#This Row],[% Complete]]),Tasks[[#This Row],[% Complete]],IF(Tasks[[#This Row],[Stage]]="",0,IFERROR(INDEX(stg_Pct,MATCH(Tasks[[#This Row],[Stage]],stg_Name,0)),0)))</f>
        <v>0</v>
      </c>
      <c r="EO199" s="43" t="n">
        <f aca="false">IF(NOT(Tasks[[#This Row],[_IsLeaf]]=1),0,IF(N(Tasks[[#This Row],[Actual Finish]])&gt;0,1,MIN(1,Tasks[[#This Row],[_Pct]])))</f>
        <v>0</v>
      </c>
      <c r="EP199" s="43" t="n">
        <f aca="false">IF(OR(NOT(Tasks[[#This Row],[_IsLeaf]]=1),Tasks[[#This Row],[_Res1Row]]=0),0,N(Tasks[[#This Row],[_Days]])*HoursPerDay*IF(Tasks[[#This Row],[_Units1]]="",DefaultUnits,Tasks[[#This Row],[_Units1]]))</f>
        <v>0</v>
      </c>
      <c r="EQ199" s="43" t="n">
        <f aca="false">Tasks[[#This Row],[_LeafWork]]+Tasks[[#This Row],[_Res2Work]]+Tasks[[#This Row],[_Res3Work]]+Tasks[[#This Row],[_Res4Work]]</f>
        <v>0</v>
      </c>
      <c r="ER1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3" t="n">
        <f aca="false">IF(NOT(Tasks[[#This Row],[_IsLeaf]]=1),0,MAX(_xlfn.MAXIFS(Tasks[_Row],Tasks[_Pred1UID],Tasks[[#This Row],[UID]]),_xlfn.MAXIFS(Tasks[_Row],Tasks[_Pred2UID],Tasks[[#This Row],[UID]]),_xlfn.MAXIFS(Tasks[_Row],Tasks[_Pred3UID],Tasks[[#This Row],[UID]]),_xlfn.MAXIFS(Tasks[_Row],Tasks[_Pred4UID],Tasks[[#This Row],[UID]])))</f>
        <v>0</v>
      </c>
      <c r="FA1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91" t="str">
        <f aca="false">IF(NOT(Tasks[[#This Row],[_IsLeaf]]=1),"",IF(N(Tasks[[#This Row],[_Days]])&lt;=0,Tasks[[#This Row],[_LeafLateFinish]],WORKDAY.INTL(Tasks[[#This Row],[_LeafLateFinish]],-(Tasks[[#This Row],[_Days]]-1),WorkWeek,Holidays)))</f>
        <v/>
      </c>
      <c r="FD1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9" s="90" t="b">
        <f aca="false">AND(Tasks[[#This Row],[_IsLeaf]]=1,Tasks[[#This Row],[_LeafProgress]]&lt;1,N(Tasks[[#This Row],[_LeafTotalSlack]])&lt;=CriticalSlackDays)</f>
        <v>0</v>
      </c>
      <c r="FF199" s="43" t="n">
        <f aca="false">IF(AND(Tasks[[#This Row],[_IsLeaf]]=1,Tasks[[#This Row],[_ConstraintCode]]=1,Tasks[[#This Row],[Mode]]&lt;&gt;"Manual",N(Tasks[[#This Row],[Actual Start]])=0),MAX(0,N(Tasks[[#This Row],[Free Slack]])),0)</f>
        <v>0</v>
      </c>
      <c r="FG199" s="91" t="str">
        <f aca="false">IF(NOT(Tasks[[#This Row],[_IsLeaf]]=1),"",IF(Tasks[[#This Row],[_AlapShift]]=0,Tasks[[#This Row],[_LeafCalcStart]],WORKDAY.INTL(Tasks[[#This Row],[_LeafCalcStart]],Tasks[[#This Row],[_AlapShift]],WorkWeek,Holidays)))</f>
        <v/>
      </c>
      <c r="FH199" s="91" t="str">
        <f aca="false">IF(NOT(Tasks[[#This Row],[_IsLeaf]]=1),"",IF(Tasks[[#This Row],[_AlapShift]]=0,Tasks[[#This Row],[_LeafCalcFinish]],WORKDAY.INTL(Tasks[[#This Row],[_LeafCalcFinish]],Tasks[[#This Row],[_AlapShift]],WorkWeek,Holidays)))</f>
        <v/>
      </c>
      <c r="FI199" s="91" t="str">
        <f aca="false">IF(NOT(Tasks[[#This Row],[_IsLeaf]]=1),"",IF(Tasks[[#This Row],[_AlapShift]]=0,Tasks[[#This Row],[_LeafFcstStart]],WORKDAY.INTL(Tasks[[#This Row],[_LeafFcstStart]],Tasks[[#This Row],[_AlapShift]],WorkWeek,Holidays)))</f>
        <v/>
      </c>
      <c r="FJ199" s="91" t="str">
        <f aca="false">IF(NOT(Tasks[[#This Row],[_IsLeaf]]=1),"",IF(Tasks[[#This Row],[_AlapShift]]=0,Tasks[[#This Row],[_LeafFcstFinish]],WORKDAY.INTL(Tasks[[#This Row],[_LeafFcstFinish]],Tasks[[#This Row],[_AlapShift]],WorkWeek,Holidays)))</f>
        <v/>
      </c>
      <c r="FK199" s="91" t="str">
        <f aca="false">IF(Tasks[[#This Row],[Task Name]]="","",IF(Tasks[[#This Row],[_IsSummary]],MIN(INDEX(Tasks[_ShownCalcStart],Tasks[[#This Row],[_Row]]+1):INDEX(Tasks[_ShownCalcStart],Tasks[[#This Row],[_Row]]+Tasks[[#This Row],[_Descendants]])),Tasks[[#This Row],[_ShownCalcStart]]))</f>
        <v/>
      </c>
      <c r="FL199" s="91" t="str">
        <f aca="false">IF(Tasks[[#This Row],[Task Name]]="","",IF(Tasks[[#This Row],[_IsSummary]],MAX(INDEX(Tasks[_ShownCalcFinish],Tasks[[#This Row],[_Row]]+1):INDEX(Tasks[_ShownCalcFinish],Tasks[[#This Row],[_Row]]+Tasks[[#This Row],[_Descendants]])),Tasks[[#This Row],[_ShownCalcFinish]]))</f>
        <v/>
      </c>
      <c r="FM1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9" s="43" t="n">
        <f aca="false">IF(AND(Tasks[[#This Row],[_IsLeaf]]=1,Tasks[[#This Row],[_LeafTotalWork]]&gt;0),NETWORKDAYS.INTL(ProjectStart,Tasks[[#This Row],[_ShownFcstStart]],WorkWeek,Holidays),0)</f>
        <v>0</v>
      </c>
      <c r="FZ199" s="43" t="n">
        <f aca="false">IF(AND(Tasks[[#This Row],[_IsLeaf]]=1,Tasks[[#This Row],[_LeafTotalWork]]&gt;0),MAX(Tasks[[#This Row],[_StartWorkday]],NETWORKDAYS.INTL(ProjectStart,Tasks[[#This Row],[_ShownFcstFinish]],WorkWeek,Holidays)),0)</f>
        <v>0</v>
      </c>
      <c r="GA199" s="43" t="n">
        <f aca="false">IF(AND(Tasks[[#This Row],[_IsLeaf]]=1,Tasks[[#This Row],[_LeafTotalWork]]&gt;0),Tasks[[#This Row],[_LeafWork]]/(Tasks[[#This Row],[_FinishWorkday]]-Tasks[[#This Row],[_StartWorkday]]+1),0)</f>
        <v>0</v>
      </c>
      <c r="GB199" s="43" t="n">
        <f aca="false">Tasks[[#This Row],[_WorkPerWorkday]]*(Tasks[[#This Row],[_StartWorkday]]-1)</f>
        <v>-0</v>
      </c>
      <c r="GC199" s="43" t="n">
        <f aca="false">IF(Tasks[[#This Row],[_IsLeaf]]=1,MAX(N(Tasks[[#This Row],[_Days]]),0.1),0)</f>
        <v>0</v>
      </c>
      <c r="GD199" s="43" t="n">
        <f aca="false">Tasks[[#This Row],[_WeightDur]]*Tasks[[#This Row],[_LeafProgress]]</f>
        <v>0</v>
      </c>
      <c r="GE199" s="43" t="n">
        <f aca="false">Tasks[[#This Row],[_WeightDur]]*Tasks[[#This Row],[_PlannedPct]]</f>
        <v>0</v>
      </c>
      <c r="GF1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3" t="str">
        <f aca="false">IF(AND(Tasks[[#This Row],[_IsLeaf]]=1,N(Tasks[[#This Row],[_Days]])=0,Tasks[[#This Row],[_LeafProgress]]&lt;1),Tasks[[#This Row],[_ShownFcstFinish]]+Tasks[[#This Row],[_Row]]/100000,"")</f>
        <v/>
      </c>
      <c r="GH1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9" s="43" t="str">
        <f aca="false">IF(Tasks[[#This Row],[Task Name]]="","",LEFT(Tasks[[#This Row],[WBS]],FIND(".",Tasks[[#This Row],[WBS]]&amp;".")-1))</f>
        <v/>
      </c>
      <c r="GJ199" s="43" t="str">
        <f aca="false">IF(AND(Tasks[[#This Row],[Task Name]]&lt;&gt;"",Tasks[[#This Row],[_Level]]=1),Tasks[[#This Row],[_Row]],"")</f>
        <v/>
      </c>
      <c r="GK199" s="43" t="str">
        <f aca="false">IF(AND(Tasks[[#This Row],[_IsLeaf]]=1,N(Tasks[[#This Row],[_Days]])=0),Tasks[[#This Row],[Planned Finish]]+Tasks[[#This Row],[_Row]]/100000,"")</f>
        <v/>
      </c>
      <c r="GL199" s="43" t="str">
        <f aca="false">IF(AND(Tasks[[#This Row],[_IsLeaf]]=1,Tasks[[#This Row],[_LeafProgress]]&lt;1,OR(N(Tasks[[#This Row],[Finish Var]])&gt;0,Tasks[[#This Row],[Status]]="Late Start")),MAX(0,Tasks[[#This Row],[Finish Var]])+1-Tasks[[#This Row],[_Row]]/1000000,"")</f>
        <v/>
      </c>
      <c r="GM199" s="43" t="str">
        <f aca="false">IF(AND(Tasks[[#This Row],[_IsLeaf]]=1,N(Tasks[[#This Row],[Actual Start]])=0,Tasks[[#This Row],[_ShownFcstStart]]&gt;=StatusDate,Tasks[[#This Row],[_ShownFcstStart]]&lt;=LookaheadEnd),Tasks[[#This Row],[_ShownFcstStart]]+Tasks[[#This Row],[_Row]]/100000,"")</f>
        <v/>
      </c>
      <c r="GN199" s="43" t="str">
        <f aca="false">IF(AND(Tasks[[#This Row],[_IsLeaf]]=1,Tasks[[#This Row],[_LeafProgress]]&lt;1,Tasks[[#This Row],[_ShownFcstFinish]]&gt;=StatusDate,Tasks[[#This Row],[_ShownFcstFinish]]&lt;=LookaheadEnd),Tasks[[#This Row],[_ShownFcstFinish]]+Tasks[[#This Row],[_Row]]/100000,"")</f>
        <v/>
      </c>
      <c r="GO199" s="43" t="str">
        <f aca="false">IF(Tasks[[#This Row],[_LeafCritical]],Tasks[[#This Row],[_ShownFcstStart]]+Tasks[[#This Row],[_Row]]/100000,"")</f>
        <v/>
      </c>
      <c r="GP199" s="43" t="n">
        <f aca="false">Tasks[[#This Row],[_LeafWork]]*Tasks[[#This Row],[_LeafProgress]]</f>
        <v>0</v>
      </c>
      <c r="GQ199" s="91" t="str">
        <f aca="false">IF(AND(Tasks[[#This Row],[_IsLeaf]]=1,Tasks[[#This Row],[_LeafProgress]]&gt;=1),IF(N(Tasks[[#This Row],[Actual Finish]])&gt;0,Tasks[[#This Row],[Actual Finish]],Tasks[[#This Row],[_ShownFcstFinish]]),"")</f>
        <v/>
      </c>
      <c r="GR199" s="43" t="n">
        <f aca="false">IF(Tasks[[#This Row],[_IsLeaf]]=1,N(Tasks[[#This Row],[Story Points]]),0)</f>
        <v>0</v>
      </c>
      <c r="GS199" s="43" t="str">
        <f aca="false">""</f>
        <v/>
      </c>
      <c r="GT199" s="90" t="b">
        <f aca="false">IF(Tasks[[#This Row],[Task Name]]="",FALSE(),AND(Tasks[[#This Row],[_IsLeaf]]=1,N(Tasks[[#This Row],[_Days]])=0))</f>
        <v>0</v>
      </c>
      <c r="GU199" s="91" t="n">
        <f aca="false">IF(Tasks[[#This Row],[Task Name]]="",0,IF(AND(Tasks[[#This Row],[_IsLeaf]]=1,NOT(Tasks[[#This Row],[_IsMilestone]]),N(Tasks[[#This Row],[Progress]])&gt;0),Tasks[[#This Row],[Start]],0))</f>
        <v>0</v>
      </c>
      <c r="GV199" s="91" t="n">
        <f aca="false">IF(Tasks[[#This Row],[_DoneFrom]]=0,0,IF(Tasks[[#This Row],[Progress]]&gt;=1,Tasks[[#This Row],[Finish]],MAX(Tasks[[#This Row],[_DoneFrom]],Tasks[[#This Row],[Start]]+ROUND((Tasks[[#This Row],[Finish]]-Tasks[[#This Row],[Start]]+1)*Tasks[[#This Row],[Progress]],0)-1)))</f>
        <v>0</v>
      </c>
      <c r="GW199" s="91" t="n">
        <f aca="false">IF(Tasks[[#This Row],[Task Name]]="",0,IF(OR(NOT(Tasks[[#This Row],[_IsLeaf]]=1),Tasks[[#This Row],[_IsMilestone]],N(Tasks[[#This Row],[Progress]])&gt;=1),0,IF(Tasks[[#This Row],[_DoneTo]]&gt;0,Tasks[[#This Row],[_DoneTo]]+1,Tasks[[#This Row],[Start]])))</f>
        <v>0</v>
      </c>
      <c r="GX199" s="91" t="n">
        <f aca="false">IF(Tasks[[#This Row],[_RemFrom]]=0,0,Tasks[[#This Row],[Finish]])</f>
        <v>0</v>
      </c>
      <c r="GY199" s="90" t="b">
        <f aca="false">IF(Tasks[[#This Row],[Task Name]]="",FALSE(),OR(NOT(BaselineSet),N(Tasks[[#This Row],[Baseline Start]])&gt;0))</f>
        <v>0</v>
      </c>
      <c r="GZ19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92" t="str">
        <f aca="false">IF(Tasks[[#This Row],[_IsLeaf]]=1,Tasks[[#This Row],[_Row]],"")</f>
        <v/>
      </c>
      <c r="HD199" s="92" t="str">
        <f aca="false">IFERROR(INDEX(Tasks[UID],SMALL(Tasks[_PickKey],Tasks[[#This Row],[_Row]]))&amp;" "&amp;INDEX(Tasks[Task Name],SMALL(Tasks[_PickKey],Tasks[[#This Row],[_Row]])),"")</f>
        <v/>
      </c>
      <c r="HE199" s="43" t="str">
        <f aca="false">IF(Tasks[[#This Row],[Task Name]]="","",IF(Tasks[[#This Row],[_IsSummary]],NETWORKDAYS.INTL(Tasks[[#This Row],[Start]],Tasks[[#This Row],[Finish]],WorkWeek,Holidays),N(Tasks[[#This Row],[_Days]])))</f>
        <v/>
      </c>
      <c r="HF199" s="43" t="n">
        <f aca="false">IF(Tasks[[#This Row],[Expected]]="",0,((Tasks[[#This Row],[Pessimistic]]-Tasks[[#This Row],[Optimistic]])/6)^2)</f>
        <v>0</v>
      </c>
      <c r="HG199" s="43" t="n">
        <f aca="false">IF(Tasks[[#This Row],[Expected]]="",0,Tasks[[#This Row],[Expected]]-N(Tasks[[#This Row],[_Days]]))</f>
        <v>0</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4"/>
      <c r="U200" s="23"/>
      <c r="V200" s="84"/>
      <c r="W200" s="23"/>
      <c r="X200" s="84"/>
      <c r="Y200" s="23"/>
      <c r="Z200" s="84"/>
      <c r="AA200" s="23"/>
      <c r="AB200" s="23"/>
      <c r="AC200" s="7"/>
      <c r="AD200" s="7"/>
      <c r="AE200" s="63" t="str">
        <f aca="false">IF(Tasks[[#This Row],[Task Name]]="","",IF(Tasks[[#This Row],[_IsSummary]],MIN(INDEX(Tasks[_ShownFcstStart],Tasks[[#This Row],[_Row]]+1):INDEX(Tasks[_ShownFcstStart],Tasks[[#This Row],[_Row]]+Tasks[[#This Row],[_Descendants]])),Tasks[[#This Row],[_ShownFcstStart]]))</f>
        <v/>
      </c>
      <c r="AF200" s="63"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0" s="7"/>
      <c r="AK200" s="22"/>
      <c r="AL200" s="23"/>
      <c r="AM200" s="7"/>
      <c r="AN200" s="47"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3" t="str">
        <f aca="false">IF(Tasks[[#This Row],[Task Name]]="","",IF(N(Tasks[[#This Row],[Baseline Start]])&gt;0,Tasks[[#This Row],[Baseline Start]],Tasks[[#This Row],[_CalcStart]]))</f>
        <v/>
      </c>
      <c r="AR200" s="63" t="str">
        <f aca="false">IF(Tasks[[#This Row],[Task Name]]="","",IF(N(Tasks[[#This Row],[Baseline Finish]])&gt;0,Tasks[[#This Row],[Baseline Finish]],Tasks[[#This Row],[_CalcFinish]]))</f>
        <v/>
      </c>
      <c r="AS200" s="47" t="str">
        <f aca="false">IF(Tasks[[#This Row],[Task Name]]="","",IF(Tasks[[#This Row],[Start]]&gt;=Tasks[[#This Row],[Planned Start]],NETWORKDAYS.INTL(Tasks[[#This Row],[Planned Start]],Tasks[[#This Row],[Start]],WorkWeek,Holidays)-1,1-NETWORKDAYS.INTL(Tasks[[#This Row],[Start]],Tasks[[#This Row],[Planned Start]],WorkWeek,Holidays)))</f>
        <v/>
      </c>
      <c r="AT200" s="63" t="str">
        <f aca="false">IF(Tasks[[#This Row],[Task Name]]="","",IF(Tasks[[#This Row],[_IsSummary]],MIN(INDEX(Tasks[_LeafLateStart],Tasks[[#This Row],[_Row]]+1):INDEX(Tasks[_LeafLateStart],Tasks[[#This Row],[_Row]]+Tasks[[#This Row],[_Descendants]])),Tasks[[#This Row],[_LeafLateStart]]))</f>
        <v/>
      </c>
      <c r="AU200" s="63" t="str">
        <f aca="false">IF(Tasks[[#This Row],[Task Name]]="","",IF(Tasks[[#This Row],[_IsSummary]],MAX(INDEX(Tasks[_LeafLateFinish],Tasks[[#This Row],[_Row]]+1):INDEX(Tasks[_LeafLateFinish],Tasks[[#This Row],[_Row]]+Tasks[[#This Row],[_Descendants]])),Tasks[[#This Row],[_LeafLateFinish]]))</f>
        <v/>
      </c>
      <c r="AV200" s="47"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5"/>
      <c r="BA2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6"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7"/>
      <c r="BJ200" s="22"/>
      <c r="BK200" s="47" t="str">
        <f aca="false">IF(OR(Tasks[[#This Row],[Task Name]]="",Tasks[[#This Row],[Baseline Duration]]=""),"",Tasks[[#This Row],[_SpanDays]]-N(Tasks[[#This Row],[Baseline Duration]]))</f>
        <v/>
      </c>
      <c r="BL200" s="86" t="str">
        <f aca="false">IF(OR(Tasks[[#This Row],[Task Name]]="",Tasks[[#This Row],[Baseline Work]]=""),"",Tasks[[#This Row],[Work]]-N(Tasks[[#This Row],[Baseline Work]]))</f>
        <v/>
      </c>
      <c r="BM200" s="63" t="str">
        <f aca="false">IF(Tasks[[#This Row],[Task Name]]="","",IF(OR(TakeBaseline="Yes",N(Tasks[[#This Row],[Baseline Start]])=0),Tasks[[#This Row],[Start]],Tasks[[#This Row],[Baseline Start]]))</f>
        <v/>
      </c>
      <c r="BN200" s="63" t="str">
        <f aca="false">IF(Tasks[[#This Row],[Task Name]]="","",IF(OR(TakeBaseline="Yes",N(Tasks[[#This Row],[Baseline Finish]])=0),Tasks[[#This Row],[Finish]],Tasks[[#This Row],[Baseline Finish]]))</f>
        <v/>
      </c>
      <c r="BO200" s="21" t="str">
        <f aca="false">IF(Tasks[[#This Row],[Task Name]]="","",IF(OR(TakeBaseline="Yes",N(Tasks[[#This Row],[Baseline Duration]])=0),Tasks[[#This Row],[_SpanDays]],Tasks[[#This Row],[Baseline Duration]]))</f>
        <v/>
      </c>
      <c r="BP200" s="86" t="str">
        <f aca="false">IF(Tasks[[#This Row],[Task Name]]="","",IF(OR(TakeBaseline="Yes",N(Tasks[[#This Row],[Baseline Work]])=0),Tasks[[#This Row],[Work]],Tasks[[#This Row],[Baseline Work]]))</f>
        <v/>
      </c>
      <c r="BQ200" s="7"/>
      <c r="BR200" s="7"/>
      <c r="BS200" s="22"/>
      <c r="BT200" s="88"/>
      <c r="BU200" s="23"/>
      <c r="BV200" s="23"/>
      <c r="BW200" s="23"/>
      <c r="BX200" s="89" t="str">
        <f aca="false">IF(AND(Tasks[[#This Row],[_IsLeaf]]=1,ISNUMBER(Tasks[[#This Row],[Optimistic]]),ISNUMBER(Tasks[[#This Row],[Pessimistic]])),ROUND((Tasks[[#This Row],[Optimistic]]+4*N(Tasks[[#This Row],[_Days]])+Tasks[[#This Row],[Pessimistic]])/6,1),"")</f>
        <v/>
      </c>
      <c r="BY200" s="87"/>
      <c r="BZ200" s="87"/>
      <c r="CA200" s="22"/>
      <c r="CB200" s="43" t="str">
        <f aca="false">IF(Tasks[[#This Row],[Task Name]]="","",MAX(1,N(Tasks[[#This Row],[Level]])))</f>
        <v/>
      </c>
      <c r="CC200" s="43" t="n">
        <f aca="false">ROW()-ROW(Tasks[[#Headers],[ID]])</f>
        <v>195</v>
      </c>
      <c r="CD200" s="43" t="n">
        <f aca="false">IF(OR(Tasks[[#This Row],[Task Name]]="",Tasks[[#This Row],[_Level]]&lt;=1),0,IFERROR(LOOKUP(2,1/(Tasks[[#Headers],[_Level]]:Tasks[[#This Row],[_Level]]=Tasks[[#This Row],[_Level]]-1),ROW(Tasks[[#Headers],[_Level]]:Tasks[[#This Row],[_Level]])),0))</f>
        <v>0</v>
      </c>
      <c r="CE200" s="43" t="n">
        <f aca="false">IFERROR(N(INDEX(Tasks[_Level],Tasks[[#This Row],[_Row]]+1)),0)</f>
        <v>0</v>
      </c>
      <c r="CF200" s="90" t="b">
        <f aca="false">AND(Tasks[[#This Row],[Task Name]]&lt;&gt;"",Tasks[[#This Row],[_NextLevel]]&gt;Tasks[[#This Row],[_Level]])</f>
        <v>0</v>
      </c>
      <c r="CG200" s="43" t="n">
        <f aca="false">IF(Tasks[[#This Row],[_IsSummary]],COUNTIF(Tasks[WBS],Tasks[[#This Row],[WBS]]&amp;".*"),0)</f>
        <v>0</v>
      </c>
      <c r="CH200" s="43" t="n">
        <f aca="false">IF(AND(Tasks[[#This Row],[Task Name]]&lt;&gt;"",NOT(Tasks[[#This Row],[_IsSummary]])),1,0)</f>
        <v>0</v>
      </c>
      <c r="CI200" s="43" t="n">
        <f aca="false">IF(N(Tasks[[#This Row],[_Pred1UID]])=0,0,IFERROR(MATCH(Tasks[[#This Row],[_Pred1UID]],Tasks[UID],0),-1))</f>
        <v>0</v>
      </c>
      <c r="CJ200" s="43" t="n">
        <f aca="false">IF(N(Tasks[[#This Row],[_Pred2UID]])=0,0,IFERROR(MATCH(Tasks[[#This Row],[_Pred2UID]],Tasks[UID],0),-1))</f>
        <v>0</v>
      </c>
      <c r="CK200" s="43" t="n">
        <f aca="false">IF(N(Tasks[[#This Row],[_Pred3UID]])=0,0,IFERROR(MATCH(Tasks[[#This Row],[_Pred3UID]],Tasks[UID],0),-1))</f>
        <v>0</v>
      </c>
      <c r="CL200" s="43" t="n">
        <f aca="false">IF(N(Tasks[[#This Row],[_Pred4UID]])=0,0,IFERROR(MATCH(Tasks[[#This Row],[_Pred4UID]],Tasks[UID],0),-1))</f>
        <v>0</v>
      </c>
      <c r="CM2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0" s="91" t="n">
        <f aca="false">IF(OR(Tasks[[#This Row],[_ConstraintCode]]=2,Tasks[[#This Row],[_ConstraintCode]]=3,Tasks[[#This Row],[_ConstraintCode]]=4,Tasks[[#This Row],[_ConstraintCode]]=6),Tasks[[#This Row],[_ConstraintStart]],0)</f>
        <v>0</v>
      </c>
      <c r="CP200" s="91" t="n">
        <f aca="false">IF(OR(Tasks[[#This Row],[_ConstraintCode]]=2,Tasks[[#This Row],[_ConstraintCode]]=3,Tasks[[#This Row],[_ConstraintCode]]=5,Tasks[[#This Row],[_ConstraintCode]]=7),Tasks[[#This Row],[_ConstraintStart]],2958465)</f>
        <v>2958465</v>
      </c>
      <c r="CQ2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91" t="str">
        <f aca="false">IF(NOT(Tasks[[#This Row],[_IsLeaf]]=1),"",IF(N(Tasks[[#This Row],[_Days]])&lt;=0,Tasks[[#This Row],[_LeafCalcStart]],WORKDAY.INTL(Tasks[[#This Row],[_LeafCalcStart]],Tasks[[#This Row],[_Days]]-1,WorkWeek,Holidays)))</f>
        <v/>
      </c>
      <c r="CS2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3" t="str">
        <f aca="false">IF(Tasks[[#This Row],[_Predecessors]]="","",TRIM(MID(SUBSTITUTE(SUBSTITUTE(SUBSTITUTE(UPPER(Tasks[[#This Row],[_Predecessors]]),";",",")," ",""),",",REPT(" ",99)),1,99)))</f>
        <v/>
      </c>
      <c r="CV200" s="43" t="str">
        <f aca="false">IF(Tasks[[#This Row],[_Pred1Text]]="","",IFERROR(VALUE(LEFT(Tasks[[#This Row],[_Pred1Text]],MIN(FIND("F",Tasks[[#This Row],[_Pred1Text]]&amp;"F"),FIND("S",Tasks[[#This Row],[_Pred1Text]]&amp;"S"),FIND("+",Tasks[[#This Row],[_Pred1Text]]&amp;"+"),FIND("-",Tasks[[#This Row],[_Pred1Text]]&amp;"-"))-1)),""))</f>
        <v/>
      </c>
      <c r="CW2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3" t="str">
        <f aca="false">IF(Tasks[[#This Row],[_Pred1Text]]="","",TRIM(MID(SUBSTITUTE(SUBSTITUTE(SUBSTITUTE(UPPER(Tasks[[#This Row],[_Predecessors]]),";",",")," ",""),",",REPT(" ",99)),100,99)))</f>
        <v/>
      </c>
      <c r="CZ200" s="43" t="str">
        <f aca="false">IF(Tasks[[#This Row],[_Pred2Text]]="","",IFERROR(VALUE(LEFT(Tasks[[#This Row],[_Pred2Text]],MIN(FIND("F",Tasks[[#This Row],[_Pred2Text]]&amp;"F"),FIND("S",Tasks[[#This Row],[_Pred2Text]]&amp;"S"),FIND("+",Tasks[[#This Row],[_Pred2Text]]&amp;"+"),FIND("-",Tasks[[#This Row],[_Pred2Text]]&amp;"-"))-1)),""))</f>
        <v/>
      </c>
      <c r="DA2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3" t="str">
        <f aca="false">IF(Tasks[[#This Row],[_Pred2Text]]="","",TRIM(MID(SUBSTITUTE(SUBSTITUTE(SUBSTITUTE(UPPER(Tasks[[#This Row],[_Predecessors]]),";",",")," ",""),",",REPT(" ",99)),199,99)))</f>
        <v/>
      </c>
      <c r="DD200" s="43" t="str">
        <f aca="false">IF(Tasks[[#This Row],[_Pred3Text]]="","",IFERROR(VALUE(LEFT(Tasks[[#This Row],[_Pred3Text]],MIN(FIND("F",Tasks[[#This Row],[_Pred3Text]]&amp;"F"),FIND("S",Tasks[[#This Row],[_Pred3Text]]&amp;"S"),FIND("+",Tasks[[#This Row],[_Pred3Text]]&amp;"+"),FIND("-",Tasks[[#This Row],[_Pred3Text]]&amp;"-"))-1)),""))</f>
        <v/>
      </c>
      <c r="DE2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3" t="str">
        <f aca="false">IF(Tasks[[#This Row],[_Pred3Text]]="","",TRIM(MID(SUBSTITUTE(SUBSTITUTE(SUBSTITUTE(UPPER(Tasks[[#This Row],[_Predecessors]]),";",",")," ",""),",",REPT(" ",99)),298,99)))</f>
        <v/>
      </c>
      <c r="DH200" s="43" t="str">
        <f aca="false">IF(Tasks[[#This Row],[_Pred4Text]]="","",IFERROR(VALUE(LEFT(Tasks[[#This Row],[_Pred4Text]],MIN(FIND("F",Tasks[[#This Row],[_Pred4Text]]&amp;"F"),FIND("S",Tasks[[#This Row],[_Pred4Text]]&amp;"S"),FIND("+",Tasks[[#This Row],[_Pred4Text]]&amp;"+"),FIND("-",Tasks[[#This Row],[_Pred4Text]]&amp;"-"))-1)),""))</f>
        <v/>
      </c>
      <c r="DI2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3" t="str">
        <f aca="false">IF(OR(Tasks[[#This Row],[Task Name]]="",Tasks[[#This Row],[_Resources]]=""),"",TRIM(MID(SUBSTITUTE(Tasks[[#This Row],[_Resources]],",",REPT(" ",99)),1,99)))</f>
        <v/>
      </c>
      <c r="DL200" s="43" t="str">
        <f aca="false">IF(Tasks[[#This Row],[_Res1Text]]="","",TRIM(MID(SUBSTITUTE(Tasks[[#This Row],[_Resources]],",",REPT(" ",99)),100,99)))</f>
        <v/>
      </c>
      <c r="DM200" s="43" t="str">
        <f aca="false">IF(Tasks[[#This Row],[_Res2Text]]="","",TRIM(MID(SUBSTITUTE(Tasks[[#This Row],[_Resources]],",",REPT(" ",99)),199,99)))</f>
        <v/>
      </c>
      <c r="DN200" s="43" t="str">
        <f aca="false">IF(Tasks[[#This Row],[_Res3Text]]="","",TRIM(MID(SUBSTITUTE(Tasks[[#This Row],[_Resources]],",",REPT(" ",99)),298,99)))</f>
        <v/>
      </c>
      <c r="DO200" s="43" t="n">
        <f aca="false">IF(Tasks[[#This Row],[_Res1Text]]="",0,IFERROR(MATCH(TRIM(LEFT(Tasks[[#This Row],[_Res1Text]],FIND("[",Tasks[[#This Row],[_Res1Text]]&amp;"[")-1)),res_Name,0),IFERROR(MATCH(TRIM(LEFT(Tasks[[#This Row],[_Res1Text]],FIND("[",Tasks[[#This Row],[_Res1Text]]&amp;"[")-1)),res_Initials,0),0)))</f>
        <v>0</v>
      </c>
      <c r="DP200" s="43" t="n">
        <f aca="false">IF(Tasks[[#This Row],[_Res2Text]]="",0,IFERROR(MATCH(TRIM(LEFT(Tasks[[#This Row],[_Res2Text]],FIND("[",Tasks[[#This Row],[_Res2Text]]&amp;"[")-1)),res_Name,0),IFERROR(MATCH(TRIM(LEFT(Tasks[[#This Row],[_Res2Text]],FIND("[",Tasks[[#This Row],[_Res2Text]]&amp;"[")-1)),res_Initials,0),0)))</f>
        <v>0</v>
      </c>
      <c r="DQ200" s="43" t="n">
        <f aca="false">IF(Tasks[[#This Row],[_Res3Text]]="",0,IFERROR(MATCH(TRIM(LEFT(Tasks[[#This Row],[_Res3Text]],FIND("[",Tasks[[#This Row],[_Res3Text]]&amp;"[")-1)),res_Name,0),IFERROR(MATCH(TRIM(LEFT(Tasks[[#This Row],[_Res3Text]],FIND("[",Tasks[[#This Row],[_Res3Text]]&amp;"[")-1)),res_Initials,0),0)))</f>
        <v>0</v>
      </c>
      <c r="DR200" s="43" t="n">
        <f aca="false">IF(Tasks[[#This Row],[_Res4Text]]="",0,IFERROR(MATCH(TRIM(LEFT(Tasks[[#This Row],[_Res4Text]],FIND("[",Tasks[[#This Row],[_Res4Text]]&amp;"[")-1)),res_Name,0),IFERROR(MATCH(TRIM(LEFT(Tasks[[#This Row],[_Res4Text]],FIND("[",Tasks[[#This Row],[_Res4Text]]&amp;"[")-1)),res_Initials,0),0)))</f>
        <v>0</v>
      </c>
      <c r="DS200" s="43" t="str">
        <f aca="false">IF(Tasks[[#This Row],[_Res1Text]]="","",IF(Tasks[[#This Row],[_Res1Row]]&gt;0,INDEX(res_Name,Tasks[[#This Row],[_Res1Row]]),TRIM(LEFT(Tasks[[#This Row],[_Res1Text]],FIND("[",Tasks[[#This Row],[_Res1Text]]&amp;"[")-1))))</f>
        <v/>
      </c>
      <c r="DT2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3" t="n">
        <f aca="false">IF(NOT(Tasks[[#This Row],[_IsLeaf]]=1),0,(Tasks[[#This Row],[_Resource1]]&lt;&gt;"")+(Tasks[[#This Row],[_Res2]]&lt;&gt;"")+(Tasks[[#This Row],[_Res3]]&lt;&gt;"")+(Tasks[[#This Row],[_Res4]]&lt;&gt;""))</f>
        <v>0</v>
      </c>
      <c r="DV200" s="43" t="str">
        <f aca="false">IF(Tasks[[#This Row],[_Res2Text]]="","",IF(Tasks[[#This Row],[_Res2Row]]&gt;0,INDEX(res_Name,Tasks[[#This Row],[_Res2Row]]),TRIM(LEFT(Tasks[[#This Row],[_Res2Text]],FIND("[",Tasks[[#This Row],[_Res2Text]]&amp;"[")-1))))</f>
        <v/>
      </c>
      <c r="DW2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3" t="n">
        <f aca="false">IF(OR(NOT(Tasks[[#This Row],[_IsLeaf]]=1),Tasks[[#This Row],[_Res2Row]]=0),0,N(Tasks[[#This Row],[_Days]])*HoursPerDay*IF(Tasks[[#This Row],[_Res2Units]]="",DefaultUnits,Tasks[[#This Row],[_Res2Units]]))</f>
        <v>0</v>
      </c>
      <c r="DY200" s="43" t="n">
        <f aca="false">IF(AND(AND(Tasks[[#This Row],[_IsLeaf]]=1,Tasks[[#This Row],[_LeafTotalWork]]&gt;0),Tasks[[#This Row],[_Res2Work]]&gt;0),Tasks[[#This Row],[_Res2Work]]/(Tasks[[#This Row],[_FinishWorkday]]-Tasks[[#This Row],[_StartWorkday]]+1),0)</f>
        <v>0</v>
      </c>
      <c r="DZ200" s="43" t="n">
        <f aca="false">Tasks[[#This Row],[_Res2WorkPerWD]]*MAX(0,Tasks[[#This Row],[_StartWorkday]]-1)</f>
        <v>0</v>
      </c>
      <c r="EA200" s="43" t="n">
        <f aca="false">Tasks[[#This Row],[_Res2Work]]*Tasks[[#This Row],[_LeafProgress]]</f>
        <v>0</v>
      </c>
      <c r="EB200" s="43" t="str">
        <f aca="false">IF(Tasks[[#This Row],[_Res3Text]]="","",IF(Tasks[[#This Row],[_Res3Row]]&gt;0,INDEX(res_Name,Tasks[[#This Row],[_Res3Row]]),TRIM(LEFT(Tasks[[#This Row],[_Res3Text]],FIND("[",Tasks[[#This Row],[_Res3Text]]&amp;"[")-1))))</f>
        <v/>
      </c>
      <c r="EC2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3" t="n">
        <f aca="false">IF(OR(NOT(Tasks[[#This Row],[_IsLeaf]]=1),Tasks[[#This Row],[_Res3Row]]=0),0,N(Tasks[[#This Row],[_Days]])*HoursPerDay*IF(Tasks[[#This Row],[_Res3Units]]="",DefaultUnits,Tasks[[#This Row],[_Res3Units]]))</f>
        <v>0</v>
      </c>
      <c r="EE200" s="43" t="n">
        <f aca="false">IF(AND(AND(Tasks[[#This Row],[_IsLeaf]]=1,Tasks[[#This Row],[_LeafTotalWork]]&gt;0),Tasks[[#This Row],[_Res3Work]]&gt;0),Tasks[[#This Row],[_Res3Work]]/(Tasks[[#This Row],[_FinishWorkday]]-Tasks[[#This Row],[_StartWorkday]]+1),0)</f>
        <v>0</v>
      </c>
      <c r="EF200" s="43" t="n">
        <f aca="false">Tasks[[#This Row],[_Res3WorkPerWD]]*MAX(0,Tasks[[#This Row],[_StartWorkday]]-1)</f>
        <v>0</v>
      </c>
      <c r="EG200" s="43" t="n">
        <f aca="false">Tasks[[#This Row],[_Res3Work]]*Tasks[[#This Row],[_LeafProgress]]</f>
        <v>0</v>
      </c>
      <c r="EH200" s="43" t="str">
        <f aca="false">IF(Tasks[[#This Row],[_Res4Text]]="","",IF(Tasks[[#This Row],[_Res4Row]]&gt;0,INDEX(res_Name,Tasks[[#This Row],[_Res4Row]]),TRIM(LEFT(Tasks[[#This Row],[_Res4Text]],FIND("[",Tasks[[#This Row],[_Res4Text]]&amp;"[")-1))))</f>
        <v/>
      </c>
      <c r="EI2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3" t="n">
        <f aca="false">IF(OR(NOT(Tasks[[#This Row],[_IsLeaf]]=1),Tasks[[#This Row],[_Res4Row]]=0),0,N(Tasks[[#This Row],[_Days]])*HoursPerDay*IF(Tasks[[#This Row],[_Res4Units]]="",DefaultUnits,Tasks[[#This Row],[_Res4Units]]))</f>
        <v>0</v>
      </c>
      <c r="EK200" s="43" t="n">
        <f aca="false">IF(AND(AND(Tasks[[#This Row],[_IsLeaf]]=1,Tasks[[#This Row],[_LeafTotalWork]]&gt;0),Tasks[[#This Row],[_Res4Work]]&gt;0),Tasks[[#This Row],[_Res4Work]]/(Tasks[[#This Row],[_FinishWorkday]]-Tasks[[#This Row],[_StartWorkday]]+1),0)</f>
        <v>0</v>
      </c>
      <c r="EL200" s="43" t="n">
        <f aca="false">Tasks[[#This Row],[_Res4WorkPerWD]]*MAX(0,Tasks[[#This Row],[_StartWorkday]]-1)</f>
        <v>0</v>
      </c>
      <c r="EM200" s="43" t="n">
        <f aca="false">Tasks[[#This Row],[_Res4Work]]*Tasks[[#This Row],[_LeafProgress]]</f>
        <v>0</v>
      </c>
      <c r="EN200" s="43" t="n">
        <f aca="false">IF(ISNUMBER(Tasks[[#This Row],[% Complete]]),Tasks[[#This Row],[% Complete]],IF(Tasks[[#This Row],[Stage]]="",0,IFERROR(INDEX(stg_Pct,MATCH(Tasks[[#This Row],[Stage]],stg_Name,0)),0)))</f>
        <v>0</v>
      </c>
      <c r="EO200" s="43" t="n">
        <f aca="false">IF(NOT(Tasks[[#This Row],[_IsLeaf]]=1),0,IF(N(Tasks[[#This Row],[Actual Finish]])&gt;0,1,MIN(1,Tasks[[#This Row],[_Pct]])))</f>
        <v>0</v>
      </c>
      <c r="EP200" s="43" t="n">
        <f aca="false">IF(OR(NOT(Tasks[[#This Row],[_IsLeaf]]=1),Tasks[[#This Row],[_Res1Row]]=0),0,N(Tasks[[#This Row],[_Days]])*HoursPerDay*IF(Tasks[[#This Row],[_Units1]]="",DefaultUnits,Tasks[[#This Row],[_Units1]]))</f>
        <v>0</v>
      </c>
      <c r="EQ200" s="43" t="n">
        <f aca="false">Tasks[[#This Row],[_LeafWork]]+Tasks[[#This Row],[_Res2Work]]+Tasks[[#This Row],[_Res3Work]]+Tasks[[#This Row],[_Res4Work]]</f>
        <v>0</v>
      </c>
      <c r="ER2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3" t="n">
        <f aca="false">IF(NOT(Tasks[[#This Row],[_IsLeaf]]=1),0,MAX(_xlfn.MAXIFS(Tasks[_Row],Tasks[_Pred1UID],Tasks[[#This Row],[UID]]),_xlfn.MAXIFS(Tasks[_Row],Tasks[_Pred2UID],Tasks[[#This Row],[UID]]),_xlfn.MAXIFS(Tasks[_Row],Tasks[_Pred3UID],Tasks[[#This Row],[UID]]),_xlfn.MAXIFS(Tasks[_Row],Tasks[_Pred4UID],Tasks[[#This Row],[UID]])))</f>
        <v>0</v>
      </c>
      <c r="FA2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91" t="str">
        <f aca="false">IF(NOT(Tasks[[#This Row],[_IsLeaf]]=1),"",IF(N(Tasks[[#This Row],[_Days]])&lt;=0,Tasks[[#This Row],[_LeafLateFinish]],WORKDAY.INTL(Tasks[[#This Row],[_LeafLateFinish]],-(Tasks[[#This Row],[_Days]]-1),WorkWeek,Holidays)))</f>
        <v/>
      </c>
      <c r="FD2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0" s="90" t="b">
        <f aca="false">AND(Tasks[[#This Row],[_IsLeaf]]=1,Tasks[[#This Row],[_LeafProgress]]&lt;1,N(Tasks[[#This Row],[_LeafTotalSlack]])&lt;=CriticalSlackDays)</f>
        <v>0</v>
      </c>
      <c r="FF200" s="43" t="n">
        <f aca="false">IF(AND(Tasks[[#This Row],[_IsLeaf]]=1,Tasks[[#This Row],[_ConstraintCode]]=1,Tasks[[#This Row],[Mode]]&lt;&gt;"Manual",N(Tasks[[#This Row],[Actual Start]])=0),MAX(0,N(Tasks[[#This Row],[Free Slack]])),0)</f>
        <v>0</v>
      </c>
      <c r="FG200" s="91" t="str">
        <f aca="false">IF(NOT(Tasks[[#This Row],[_IsLeaf]]=1),"",IF(Tasks[[#This Row],[_AlapShift]]=0,Tasks[[#This Row],[_LeafCalcStart]],WORKDAY.INTL(Tasks[[#This Row],[_LeafCalcStart]],Tasks[[#This Row],[_AlapShift]],WorkWeek,Holidays)))</f>
        <v/>
      </c>
      <c r="FH200" s="91" t="str">
        <f aca="false">IF(NOT(Tasks[[#This Row],[_IsLeaf]]=1),"",IF(Tasks[[#This Row],[_AlapShift]]=0,Tasks[[#This Row],[_LeafCalcFinish]],WORKDAY.INTL(Tasks[[#This Row],[_LeafCalcFinish]],Tasks[[#This Row],[_AlapShift]],WorkWeek,Holidays)))</f>
        <v/>
      </c>
      <c r="FI200" s="91" t="str">
        <f aca="false">IF(NOT(Tasks[[#This Row],[_IsLeaf]]=1),"",IF(Tasks[[#This Row],[_AlapShift]]=0,Tasks[[#This Row],[_LeafFcstStart]],WORKDAY.INTL(Tasks[[#This Row],[_LeafFcstStart]],Tasks[[#This Row],[_AlapShift]],WorkWeek,Holidays)))</f>
        <v/>
      </c>
      <c r="FJ200" s="91" t="str">
        <f aca="false">IF(NOT(Tasks[[#This Row],[_IsLeaf]]=1),"",IF(Tasks[[#This Row],[_AlapShift]]=0,Tasks[[#This Row],[_LeafFcstFinish]],WORKDAY.INTL(Tasks[[#This Row],[_LeafFcstFinish]],Tasks[[#This Row],[_AlapShift]],WorkWeek,Holidays)))</f>
        <v/>
      </c>
      <c r="FK200" s="91" t="str">
        <f aca="false">IF(Tasks[[#This Row],[Task Name]]="","",IF(Tasks[[#This Row],[_IsSummary]],MIN(INDEX(Tasks[_ShownCalcStart],Tasks[[#This Row],[_Row]]+1):INDEX(Tasks[_ShownCalcStart],Tasks[[#This Row],[_Row]]+Tasks[[#This Row],[_Descendants]])),Tasks[[#This Row],[_ShownCalcStart]]))</f>
        <v/>
      </c>
      <c r="FL200" s="91" t="str">
        <f aca="false">IF(Tasks[[#This Row],[Task Name]]="","",IF(Tasks[[#This Row],[_IsSummary]],MAX(INDEX(Tasks[_ShownCalcFinish],Tasks[[#This Row],[_Row]]+1):INDEX(Tasks[_ShownCalcFinish],Tasks[[#This Row],[_Row]]+Tasks[[#This Row],[_Descendants]])),Tasks[[#This Row],[_ShownCalcFinish]]))</f>
        <v/>
      </c>
      <c r="FM2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0" s="43" t="n">
        <f aca="false">IF(AND(Tasks[[#This Row],[_IsLeaf]]=1,Tasks[[#This Row],[_LeafTotalWork]]&gt;0),NETWORKDAYS.INTL(ProjectStart,Tasks[[#This Row],[_ShownFcstStart]],WorkWeek,Holidays),0)</f>
        <v>0</v>
      </c>
      <c r="FZ200" s="43" t="n">
        <f aca="false">IF(AND(Tasks[[#This Row],[_IsLeaf]]=1,Tasks[[#This Row],[_LeafTotalWork]]&gt;0),MAX(Tasks[[#This Row],[_StartWorkday]],NETWORKDAYS.INTL(ProjectStart,Tasks[[#This Row],[_ShownFcstFinish]],WorkWeek,Holidays)),0)</f>
        <v>0</v>
      </c>
      <c r="GA200" s="43" t="n">
        <f aca="false">IF(AND(Tasks[[#This Row],[_IsLeaf]]=1,Tasks[[#This Row],[_LeafTotalWork]]&gt;0),Tasks[[#This Row],[_LeafWork]]/(Tasks[[#This Row],[_FinishWorkday]]-Tasks[[#This Row],[_StartWorkday]]+1),0)</f>
        <v>0</v>
      </c>
      <c r="GB200" s="43" t="n">
        <f aca="false">Tasks[[#This Row],[_WorkPerWorkday]]*(Tasks[[#This Row],[_StartWorkday]]-1)</f>
        <v>-0</v>
      </c>
      <c r="GC200" s="43" t="n">
        <f aca="false">IF(Tasks[[#This Row],[_IsLeaf]]=1,MAX(N(Tasks[[#This Row],[_Days]]),0.1),0)</f>
        <v>0</v>
      </c>
      <c r="GD200" s="43" t="n">
        <f aca="false">Tasks[[#This Row],[_WeightDur]]*Tasks[[#This Row],[_LeafProgress]]</f>
        <v>0</v>
      </c>
      <c r="GE200" s="43" t="n">
        <f aca="false">Tasks[[#This Row],[_WeightDur]]*Tasks[[#This Row],[_PlannedPct]]</f>
        <v>0</v>
      </c>
      <c r="GF2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3" t="str">
        <f aca="false">IF(AND(Tasks[[#This Row],[_IsLeaf]]=1,N(Tasks[[#This Row],[_Days]])=0,Tasks[[#This Row],[_LeafProgress]]&lt;1),Tasks[[#This Row],[_ShownFcstFinish]]+Tasks[[#This Row],[_Row]]/100000,"")</f>
        <v/>
      </c>
      <c r="GH2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0" s="43" t="str">
        <f aca="false">IF(Tasks[[#This Row],[Task Name]]="","",LEFT(Tasks[[#This Row],[WBS]],FIND(".",Tasks[[#This Row],[WBS]]&amp;".")-1))</f>
        <v/>
      </c>
      <c r="GJ200" s="43" t="str">
        <f aca="false">IF(AND(Tasks[[#This Row],[Task Name]]&lt;&gt;"",Tasks[[#This Row],[_Level]]=1),Tasks[[#This Row],[_Row]],"")</f>
        <v/>
      </c>
      <c r="GK200" s="43" t="str">
        <f aca="false">IF(AND(Tasks[[#This Row],[_IsLeaf]]=1,N(Tasks[[#This Row],[_Days]])=0),Tasks[[#This Row],[Planned Finish]]+Tasks[[#This Row],[_Row]]/100000,"")</f>
        <v/>
      </c>
      <c r="GL200" s="43" t="str">
        <f aca="false">IF(AND(Tasks[[#This Row],[_IsLeaf]]=1,Tasks[[#This Row],[_LeafProgress]]&lt;1,OR(N(Tasks[[#This Row],[Finish Var]])&gt;0,Tasks[[#This Row],[Status]]="Late Start")),MAX(0,Tasks[[#This Row],[Finish Var]])+1-Tasks[[#This Row],[_Row]]/1000000,"")</f>
        <v/>
      </c>
      <c r="GM200" s="43" t="str">
        <f aca="false">IF(AND(Tasks[[#This Row],[_IsLeaf]]=1,N(Tasks[[#This Row],[Actual Start]])=0,Tasks[[#This Row],[_ShownFcstStart]]&gt;=StatusDate,Tasks[[#This Row],[_ShownFcstStart]]&lt;=LookaheadEnd),Tasks[[#This Row],[_ShownFcstStart]]+Tasks[[#This Row],[_Row]]/100000,"")</f>
        <v/>
      </c>
      <c r="GN200" s="43" t="str">
        <f aca="false">IF(AND(Tasks[[#This Row],[_IsLeaf]]=1,Tasks[[#This Row],[_LeafProgress]]&lt;1,Tasks[[#This Row],[_ShownFcstFinish]]&gt;=StatusDate,Tasks[[#This Row],[_ShownFcstFinish]]&lt;=LookaheadEnd),Tasks[[#This Row],[_ShownFcstFinish]]+Tasks[[#This Row],[_Row]]/100000,"")</f>
        <v/>
      </c>
      <c r="GO200" s="43" t="str">
        <f aca="false">IF(Tasks[[#This Row],[_LeafCritical]],Tasks[[#This Row],[_ShownFcstStart]]+Tasks[[#This Row],[_Row]]/100000,"")</f>
        <v/>
      </c>
      <c r="GP200" s="43" t="n">
        <f aca="false">Tasks[[#This Row],[_LeafWork]]*Tasks[[#This Row],[_LeafProgress]]</f>
        <v>0</v>
      </c>
      <c r="GQ200" s="91" t="str">
        <f aca="false">IF(AND(Tasks[[#This Row],[_IsLeaf]]=1,Tasks[[#This Row],[_LeafProgress]]&gt;=1),IF(N(Tasks[[#This Row],[Actual Finish]])&gt;0,Tasks[[#This Row],[Actual Finish]],Tasks[[#This Row],[_ShownFcstFinish]]),"")</f>
        <v/>
      </c>
      <c r="GR200" s="43" t="n">
        <f aca="false">IF(Tasks[[#This Row],[_IsLeaf]]=1,N(Tasks[[#This Row],[Story Points]]),0)</f>
        <v>0</v>
      </c>
      <c r="GS200" s="43" t="str">
        <f aca="false">""</f>
        <v/>
      </c>
      <c r="GT200" s="90" t="b">
        <f aca="false">IF(Tasks[[#This Row],[Task Name]]="",FALSE(),AND(Tasks[[#This Row],[_IsLeaf]]=1,N(Tasks[[#This Row],[_Days]])=0))</f>
        <v>0</v>
      </c>
      <c r="GU200" s="91" t="n">
        <f aca="false">IF(Tasks[[#This Row],[Task Name]]="",0,IF(AND(Tasks[[#This Row],[_IsLeaf]]=1,NOT(Tasks[[#This Row],[_IsMilestone]]),N(Tasks[[#This Row],[Progress]])&gt;0),Tasks[[#This Row],[Start]],0))</f>
        <v>0</v>
      </c>
      <c r="GV200" s="91" t="n">
        <f aca="false">IF(Tasks[[#This Row],[_DoneFrom]]=0,0,IF(Tasks[[#This Row],[Progress]]&gt;=1,Tasks[[#This Row],[Finish]],MAX(Tasks[[#This Row],[_DoneFrom]],Tasks[[#This Row],[Start]]+ROUND((Tasks[[#This Row],[Finish]]-Tasks[[#This Row],[Start]]+1)*Tasks[[#This Row],[Progress]],0)-1)))</f>
        <v>0</v>
      </c>
      <c r="GW200" s="91" t="n">
        <f aca="false">IF(Tasks[[#This Row],[Task Name]]="",0,IF(OR(NOT(Tasks[[#This Row],[_IsLeaf]]=1),Tasks[[#This Row],[_IsMilestone]],N(Tasks[[#This Row],[Progress]])&gt;=1),0,IF(Tasks[[#This Row],[_DoneTo]]&gt;0,Tasks[[#This Row],[_DoneTo]]+1,Tasks[[#This Row],[Start]])))</f>
        <v>0</v>
      </c>
      <c r="GX200" s="91" t="n">
        <f aca="false">IF(Tasks[[#This Row],[_RemFrom]]=0,0,Tasks[[#This Row],[Finish]])</f>
        <v>0</v>
      </c>
      <c r="GY200" s="90" t="b">
        <f aca="false">IF(Tasks[[#This Row],[Task Name]]="",FALSE(),OR(NOT(BaselineSet),N(Tasks[[#This Row],[Baseline Start]])&gt;0))</f>
        <v>0</v>
      </c>
      <c r="GZ20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92" t="str">
        <f aca="false">IF(Tasks[[#This Row],[_IsLeaf]]=1,Tasks[[#This Row],[_Row]],"")</f>
        <v/>
      </c>
      <c r="HD200" s="92" t="str">
        <f aca="false">IFERROR(INDEX(Tasks[UID],SMALL(Tasks[_PickKey],Tasks[[#This Row],[_Row]]))&amp;" "&amp;INDEX(Tasks[Task Name],SMALL(Tasks[_PickKey],Tasks[[#This Row],[_Row]])),"")</f>
        <v/>
      </c>
      <c r="HE200" s="43" t="str">
        <f aca="false">IF(Tasks[[#This Row],[Task Name]]="","",IF(Tasks[[#This Row],[_IsSummary]],NETWORKDAYS.INTL(Tasks[[#This Row],[Start]],Tasks[[#This Row],[Finish]],WorkWeek,Holidays),N(Tasks[[#This Row],[_Days]])))</f>
        <v/>
      </c>
      <c r="HF200" s="43" t="n">
        <f aca="false">IF(Tasks[[#This Row],[Expected]]="",0,((Tasks[[#This Row],[Pessimistic]]-Tasks[[#This Row],[Optimistic]])/6)^2)</f>
        <v>0</v>
      </c>
      <c r="HG200" s="43" t="n">
        <f aca="false">IF(Tasks[[#This Row],[Expected]]="",0,Tasks[[#This Row],[Expected]]-N(Tasks[[#This Row],[_Days]]))</f>
        <v>0</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4"/>
      <c r="U201" s="23"/>
      <c r="V201" s="84"/>
      <c r="W201" s="23"/>
      <c r="X201" s="84"/>
      <c r="Y201" s="23"/>
      <c r="Z201" s="84"/>
      <c r="AA201" s="23"/>
      <c r="AB201" s="23"/>
      <c r="AC201" s="7"/>
      <c r="AD201" s="7"/>
      <c r="AE201" s="63" t="str">
        <f aca="false">IF(Tasks[[#This Row],[Task Name]]="","",IF(Tasks[[#This Row],[_IsSummary]],MIN(INDEX(Tasks[_ShownFcstStart],Tasks[[#This Row],[_Row]]+1):INDEX(Tasks[_ShownFcstStart],Tasks[[#This Row],[_Row]]+Tasks[[#This Row],[_Descendants]])),Tasks[[#This Row],[_ShownFcstStart]]))</f>
        <v/>
      </c>
      <c r="AF201" s="63"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1" s="7"/>
      <c r="AK201" s="22"/>
      <c r="AL201" s="23"/>
      <c r="AM201" s="7"/>
      <c r="AN201" s="47"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3" t="str">
        <f aca="false">IF(Tasks[[#This Row],[Task Name]]="","",IF(N(Tasks[[#This Row],[Baseline Start]])&gt;0,Tasks[[#This Row],[Baseline Start]],Tasks[[#This Row],[_CalcStart]]))</f>
        <v/>
      </c>
      <c r="AR201" s="63" t="str">
        <f aca="false">IF(Tasks[[#This Row],[Task Name]]="","",IF(N(Tasks[[#This Row],[Baseline Finish]])&gt;0,Tasks[[#This Row],[Baseline Finish]],Tasks[[#This Row],[_CalcFinish]]))</f>
        <v/>
      </c>
      <c r="AS201" s="47" t="str">
        <f aca="false">IF(Tasks[[#This Row],[Task Name]]="","",IF(Tasks[[#This Row],[Start]]&gt;=Tasks[[#This Row],[Planned Start]],NETWORKDAYS.INTL(Tasks[[#This Row],[Planned Start]],Tasks[[#This Row],[Start]],WorkWeek,Holidays)-1,1-NETWORKDAYS.INTL(Tasks[[#This Row],[Start]],Tasks[[#This Row],[Planned Start]],WorkWeek,Holidays)))</f>
        <v/>
      </c>
      <c r="AT201" s="63" t="str">
        <f aca="false">IF(Tasks[[#This Row],[Task Name]]="","",IF(Tasks[[#This Row],[_IsSummary]],MIN(INDEX(Tasks[_LeafLateStart],Tasks[[#This Row],[_Row]]+1):INDEX(Tasks[_LeafLateStart],Tasks[[#This Row],[_Row]]+Tasks[[#This Row],[_Descendants]])),Tasks[[#This Row],[_LeafLateStart]]))</f>
        <v/>
      </c>
      <c r="AU201" s="63" t="str">
        <f aca="false">IF(Tasks[[#This Row],[Task Name]]="","",IF(Tasks[[#This Row],[_IsSummary]],MAX(INDEX(Tasks[_LeafLateFinish],Tasks[[#This Row],[_Row]]+1):INDEX(Tasks[_LeafLateFinish],Tasks[[#This Row],[_Row]]+Tasks[[#This Row],[_Descendants]])),Tasks[[#This Row],[_LeafLateFinish]]))</f>
        <v/>
      </c>
      <c r="AV201" s="47"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5"/>
      <c r="BA2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6"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7"/>
      <c r="BJ201" s="22"/>
      <c r="BK201" s="47" t="str">
        <f aca="false">IF(OR(Tasks[[#This Row],[Task Name]]="",Tasks[[#This Row],[Baseline Duration]]=""),"",Tasks[[#This Row],[_SpanDays]]-N(Tasks[[#This Row],[Baseline Duration]]))</f>
        <v/>
      </c>
      <c r="BL201" s="86" t="str">
        <f aca="false">IF(OR(Tasks[[#This Row],[Task Name]]="",Tasks[[#This Row],[Baseline Work]]=""),"",Tasks[[#This Row],[Work]]-N(Tasks[[#This Row],[Baseline Work]]))</f>
        <v/>
      </c>
      <c r="BM201" s="63" t="str">
        <f aca="false">IF(Tasks[[#This Row],[Task Name]]="","",IF(OR(TakeBaseline="Yes",N(Tasks[[#This Row],[Baseline Start]])=0),Tasks[[#This Row],[Start]],Tasks[[#This Row],[Baseline Start]]))</f>
        <v/>
      </c>
      <c r="BN201" s="63" t="str">
        <f aca="false">IF(Tasks[[#This Row],[Task Name]]="","",IF(OR(TakeBaseline="Yes",N(Tasks[[#This Row],[Baseline Finish]])=0),Tasks[[#This Row],[Finish]],Tasks[[#This Row],[Baseline Finish]]))</f>
        <v/>
      </c>
      <c r="BO201" s="21" t="str">
        <f aca="false">IF(Tasks[[#This Row],[Task Name]]="","",IF(OR(TakeBaseline="Yes",N(Tasks[[#This Row],[Baseline Duration]])=0),Tasks[[#This Row],[_SpanDays]],Tasks[[#This Row],[Baseline Duration]]))</f>
        <v/>
      </c>
      <c r="BP201" s="86" t="str">
        <f aca="false">IF(Tasks[[#This Row],[Task Name]]="","",IF(OR(TakeBaseline="Yes",N(Tasks[[#This Row],[Baseline Work]])=0),Tasks[[#This Row],[Work]],Tasks[[#This Row],[Baseline Work]]))</f>
        <v/>
      </c>
      <c r="BQ201" s="7"/>
      <c r="BR201" s="7"/>
      <c r="BS201" s="22"/>
      <c r="BT201" s="88"/>
      <c r="BU201" s="23"/>
      <c r="BV201" s="23"/>
      <c r="BW201" s="23"/>
      <c r="BX201" s="89" t="str">
        <f aca="false">IF(AND(Tasks[[#This Row],[_IsLeaf]]=1,ISNUMBER(Tasks[[#This Row],[Optimistic]]),ISNUMBER(Tasks[[#This Row],[Pessimistic]])),ROUND((Tasks[[#This Row],[Optimistic]]+4*N(Tasks[[#This Row],[_Days]])+Tasks[[#This Row],[Pessimistic]])/6,1),"")</f>
        <v/>
      </c>
      <c r="BY201" s="87"/>
      <c r="BZ201" s="87"/>
      <c r="CA201" s="22"/>
      <c r="CB201" s="43" t="str">
        <f aca="false">IF(Tasks[[#This Row],[Task Name]]="","",MAX(1,N(Tasks[[#This Row],[Level]])))</f>
        <v/>
      </c>
      <c r="CC201" s="43" t="n">
        <f aca="false">ROW()-ROW(Tasks[[#Headers],[ID]])</f>
        <v>196</v>
      </c>
      <c r="CD201" s="43" t="n">
        <f aca="false">IF(OR(Tasks[[#This Row],[Task Name]]="",Tasks[[#This Row],[_Level]]&lt;=1),0,IFERROR(LOOKUP(2,1/(Tasks[[#Headers],[_Level]]:Tasks[[#This Row],[_Level]]=Tasks[[#This Row],[_Level]]-1),ROW(Tasks[[#Headers],[_Level]]:Tasks[[#This Row],[_Level]])),0))</f>
        <v>0</v>
      </c>
      <c r="CE201" s="43" t="n">
        <f aca="false">IFERROR(N(INDEX(Tasks[_Level],Tasks[[#This Row],[_Row]]+1)),0)</f>
        <v>0</v>
      </c>
      <c r="CF201" s="90" t="b">
        <f aca="false">AND(Tasks[[#This Row],[Task Name]]&lt;&gt;"",Tasks[[#This Row],[_NextLevel]]&gt;Tasks[[#This Row],[_Level]])</f>
        <v>0</v>
      </c>
      <c r="CG201" s="43" t="n">
        <f aca="false">IF(Tasks[[#This Row],[_IsSummary]],COUNTIF(Tasks[WBS],Tasks[[#This Row],[WBS]]&amp;".*"),0)</f>
        <v>0</v>
      </c>
      <c r="CH201" s="43" t="n">
        <f aca="false">IF(AND(Tasks[[#This Row],[Task Name]]&lt;&gt;"",NOT(Tasks[[#This Row],[_IsSummary]])),1,0)</f>
        <v>0</v>
      </c>
      <c r="CI201" s="43" t="n">
        <f aca="false">IF(N(Tasks[[#This Row],[_Pred1UID]])=0,0,IFERROR(MATCH(Tasks[[#This Row],[_Pred1UID]],Tasks[UID],0),-1))</f>
        <v>0</v>
      </c>
      <c r="CJ201" s="43" t="n">
        <f aca="false">IF(N(Tasks[[#This Row],[_Pred2UID]])=0,0,IFERROR(MATCH(Tasks[[#This Row],[_Pred2UID]],Tasks[UID],0),-1))</f>
        <v>0</v>
      </c>
      <c r="CK201" s="43" t="n">
        <f aca="false">IF(N(Tasks[[#This Row],[_Pred3UID]])=0,0,IFERROR(MATCH(Tasks[[#This Row],[_Pred3UID]],Tasks[UID],0),-1))</f>
        <v>0</v>
      </c>
      <c r="CL201" s="43" t="n">
        <f aca="false">IF(N(Tasks[[#This Row],[_Pred4UID]])=0,0,IFERROR(MATCH(Tasks[[#This Row],[_Pred4UID]],Tasks[UID],0),-1))</f>
        <v>0</v>
      </c>
      <c r="CM2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1" s="91" t="n">
        <f aca="false">IF(OR(Tasks[[#This Row],[_ConstraintCode]]=2,Tasks[[#This Row],[_ConstraintCode]]=3,Tasks[[#This Row],[_ConstraintCode]]=4,Tasks[[#This Row],[_ConstraintCode]]=6),Tasks[[#This Row],[_ConstraintStart]],0)</f>
        <v>0</v>
      </c>
      <c r="CP201" s="91" t="n">
        <f aca="false">IF(OR(Tasks[[#This Row],[_ConstraintCode]]=2,Tasks[[#This Row],[_ConstraintCode]]=3,Tasks[[#This Row],[_ConstraintCode]]=5,Tasks[[#This Row],[_ConstraintCode]]=7),Tasks[[#This Row],[_ConstraintStart]],2958465)</f>
        <v>2958465</v>
      </c>
      <c r="CQ2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91" t="str">
        <f aca="false">IF(NOT(Tasks[[#This Row],[_IsLeaf]]=1),"",IF(N(Tasks[[#This Row],[_Days]])&lt;=0,Tasks[[#This Row],[_LeafCalcStart]],WORKDAY.INTL(Tasks[[#This Row],[_LeafCalcStart]],Tasks[[#This Row],[_Days]]-1,WorkWeek,Holidays)))</f>
        <v/>
      </c>
      <c r="CS2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3" t="str">
        <f aca="false">IF(Tasks[[#This Row],[_Predecessors]]="","",TRIM(MID(SUBSTITUTE(SUBSTITUTE(SUBSTITUTE(UPPER(Tasks[[#This Row],[_Predecessors]]),";",",")," ",""),",",REPT(" ",99)),1,99)))</f>
        <v/>
      </c>
      <c r="CV201" s="43" t="str">
        <f aca="false">IF(Tasks[[#This Row],[_Pred1Text]]="","",IFERROR(VALUE(LEFT(Tasks[[#This Row],[_Pred1Text]],MIN(FIND("F",Tasks[[#This Row],[_Pred1Text]]&amp;"F"),FIND("S",Tasks[[#This Row],[_Pred1Text]]&amp;"S"),FIND("+",Tasks[[#This Row],[_Pred1Text]]&amp;"+"),FIND("-",Tasks[[#This Row],[_Pred1Text]]&amp;"-"))-1)),""))</f>
        <v/>
      </c>
      <c r="CW2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3" t="str">
        <f aca="false">IF(Tasks[[#This Row],[_Pred1Text]]="","",TRIM(MID(SUBSTITUTE(SUBSTITUTE(SUBSTITUTE(UPPER(Tasks[[#This Row],[_Predecessors]]),";",",")," ",""),",",REPT(" ",99)),100,99)))</f>
        <v/>
      </c>
      <c r="CZ201" s="43" t="str">
        <f aca="false">IF(Tasks[[#This Row],[_Pred2Text]]="","",IFERROR(VALUE(LEFT(Tasks[[#This Row],[_Pred2Text]],MIN(FIND("F",Tasks[[#This Row],[_Pred2Text]]&amp;"F"),FIND("S",Tasks[[#This Row],[_Pred2Text]]&amp;"S"),FIND("+",Tasks[[#This Row],[_Pred2Text]]&amp;"+"),FIND("-",Tasks[[#This Row],[_Pred2Text]]&amp;"-"))-1)),""))</f>
        <v/>
      </c>
      <c r="DA2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3" t="str">
        <f aca="false">IF(Tasks[[#This Row],[_Pred2Text]]="","",TRIM(MID(SUBSTITUTE(SUBSTITUTE(SUBSTITUTE(UPPER(Tasks[[#This Row],[_Predecessors]]),";",",")," ",""),",",REPT(" ",99)),199,99)))</f>
        <v/>
      </c>
      <c r="DD201" s="43" t="str">
        <f aca="false">IF(Tasks[[#This Row],[_Pred3Text]]="","",IFERROR(VALUE(LEFT(Tasks[[#This Row],[_Pred3Text]],MIN(FIND("F",Tasks[[#This Row],[_Pred3Text]]&amp;"F"),FIND("S",Tasks[[#This Row],[_Pred3Text]]&amp;"S"),FIND("+",Tasks[[#This Row],[_Pred3Text]]&amp;"+"),FIND("-",Tasks[[#This Row],[_Pred3Text]]&amp;"-"))-1)),""))</f>
        <v/>
      </c>
      <c r="DE2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3" t="str">
        <f aca="false">IF(Tasks[[#This Row],[_Pred3Text]]="","",TRIM(MID(SUBSTITUTE(SUBSTITUTE(SUBSTITUTE(UPPER(Tasks[[#This Row],[_Predecessors]]),";",",")," ",""),",",REPT(" ",99)),298,99)))</f>
        <v/>
      </c>
      <c r="DH201" s="43" t="str">
        <f aca="false">IF(Tasks[[#This Row],[_Pred4Text]]="","",IFERROR(VALUE(LEFT(Tasks[[#This Row],[_Pred4Text]],MIN(FIND("F",Tasks[[#This Row],[_Pred4Text]]&amp;"F"),FIND("S",Tasks[[#This Row],[_Pred4Text]]&amp;"S"),FIND("+",Tasks[[#This Row],[_Pred4Text]]&amp;"+"),FIND("-",Tasks[[#This Row],[_Pred4Text]]&amp;"-"))-1)),""))</f>
        <v/>
      </c>
      <c r="DI2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3" t="str">
        <f aca="false">IF(OR(Tasks[[#This Row],[Task Name]]="",Tasks[[#This Row],[_Resources]]=""),"",TRIM(MID(SUBSTITUTE(Tasks[[#This Row],[_Resources]],",",REPT(" ",99)),1,99)))</f>
        <v/>
      </c>
      <c r="DL201" s="43" t="str">
        <f aca="false">IF(Tasks[[#This Row],[_Res1Text]]="","",TRIM(MID(SUBSTITUTE(Tasks[[#This Row],[_Resources]],",",REPT(" ",99)),100,99)))</f>
        <v/>
      </c>
      <c r="DM201" s="43" t="str">
        <f aca="false">IF(Tasks[[#This Row],[_Res2Text]]="","",TRIM(MID(SUBSTITUTE(Tasks[[#This Row],[_Resources]],",",REPT(" ",99)),199,99)))</f>
        <v/>
      </c>
      <c r="DN201" s="43" t="str">
        <f aca="false">IF(Tasks[[#This Row],[_Res3Text]]="","",TRIM(MID(SUBSTITUTE(Tasks[[#This Row],[_Resources]],",",REPT(" ",99)),298,99)))</f>
        <v/>
      </c>
      <c r="DO201" s="43" t="n">
        <f aca="false">IF(Tasks[[#This Row],[_Res1Text]]="",0,IFERROR(MATCH(TRIM(LEFT(Tasks[[#This Row],[_Res1Text]],FIND("[",Tasks[[#This Row],[_Res1Text]]&amp;"[")-1)),res_Name,0),IFERROR(MATCH(TRIM(LEFT(Tasks[[#This Row],[_Res1Text]],FIND("[",Tasks[[#This Row],[_Res1Text]]&amp;"[")-1)),res_Initials,0),0)))</f>
        <v>0</v>
      </c>
      <c r="DP201" s="43" t="n">
        <f aca="false">IF(Tasks[[#This Row],[_Res2Text]]="",0,IFERROR(MATCH(TRIM(LEFT(Tasks[[#This Row],[_Res2Text]],FIND("[",Tasks[[#This Row],[_Res2Text]]&amp;"[")-1)),res_Name,0),IFERROR(MATCH(TRIM(LEFT(Tasks[[#This Row],[_Res2Text]],FIND("[",Tasks[[#This Row],[_Res2Text]]&amp;"[")-1)),res_Initials,0),0)))</f>
        <v>0</v>
      </c>
      <c r="DQ201" s="43" t="n">
        <f aca="false">IF(Tasks[[#This Row],[_Res3Text]]="",0,IFERROR(MATCH(TRIM(LEFT(Tasks[[#This Row],[_Res3Text]],FIND("[",Tasks[[#This Row],[_Res3Text]]&amp;"[")-1)),res_Name,0),IFERROR(MATCH(TRIM(LEFT(Tasks[[#This Row],[_Res3Text]],FIND("[",Tasks[[#This Row],[_Res3Text]]&amp;"[")-1)),res_Initials,0),0)))</f>
        <v>0</v>
      </c>
      <c r="DR201" s="43" t="n">
        <f aca="false">IF(Tasks[[#This Row],[_Res4Text]]="",0,IFERROR(MATCH(TRIM(LEFT(Tasks[[#This Row],[_Res4Text]],FIND("[",Tasks[[#This Row],[_Res4Text]]&amp;"[")-1)),res_Name,0),IFERROR(MATCH(TRIM(LEFT(Tasks[[#This Row],[_Res4Text]],FIND("[",Tasks[[#This Row],[_Res4Text]]&amp;"[")-1)),res_Initials,0),0)))</f>
        <v>0</v>
      </c>
      <c r="DS201" s="43" t="str">
        <f aca="false">IF(Tasks[[#This Row],[_Res1Text]]="","",IF(Tasks[[#This Row],[_Res1Row]]&gt;0,INDEX(res_Name,Tasks[[#This Row],[_Res1Row]]),TRIM(LEFT(Tasks[[#This Row],[_Res1Text]],FIND("[",Tasks[[#This Row],[_Res1Text]]&amp;"[")-1))))</f>
        <v/>
      </c>
      <c r="DT2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3" t="n">
        <f aca="false">IF(NOT(Tasks[[#This Row],[_IsLeaf]]=1),0,(Tasks[[#This Row],[_Resource1]]&lt;&gt;"")+(Tasks[[#This Row],[_Res2]]&lt;&gt;"")+(Tasks[[#This Row],[_Res3]]&lt;&gt;"")+(Tasks[[#This Row],[_Res4]]&lt;&gt;""))</f>
        <v>0</v>
      </c>
      <c r="DV201" s="43" t="str">
        <f aca="false">IF(Tasks[[#This Row],[_Res2Text]]="","",IF(Tasks[[#This Row],[_Res2Row]]&gt;0,INDEX(res_Name,Tasks[[#This Row],[_Res2Row]]),TRIM(LEFT(Tasks[[#This Row],[_Res2Text]],FIND("[",Tasks[[#This Row],[_Res2Text]]&amp;"[")-1))))</f>
        <v/>
      </c>
      <c r="DW2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3" t="n">
        <f aca="false">IF(OR(NOT(Tasks[[#This Row],[_IsLeaf]]=1),Tasks[[#This Row],[_Res2Row]]=0),0,N(Tasks[[#This Row],[_Days]])*HoursPerDay*IF(Tasks[[#This Row],[_Res2Units]]="",DefaultUnits,Tasks[[#This Row],[_Res2Units]]))</f>
        <v>0</v>
      </c>
      <c r="DY201" s="43" t="n">
        <f aca="false">IF(AND(AND(Tasks[[#This Row],[_IsLeaf]]=1,Tasks[[#This Row],[_LeafTotalWork]]&gt;0),Tasks[[#This Row],[_Res2Work]]&gt;0),Tasks[[#This Row],[_Res2Work]]/(Tasks[[#This Row],[_FinishWorkday]]-Tasks[[#This Row],[_StartWorkday]]+1),0)</f>
        <v>0</v>
      </c>
      <c r="DZ201" s="43" t="n">
        <f aca="false">Tasks[[#This Row],[_Res2WorkPerWD]]*MAX(0,Tasks[[#This Row],[_StartWorkday]]-1)</f>
        <v>0</v>
      </c>
      <c r="EA201" s="43" t="n">
        <f aca="false">Tasks[[#This Row],[_Res2Work]]*Tasks[[#This Row],[_LeafProgress]]</f>
        <v>0</v>
      </c>
      <c r="EB201" s="43" t="str">
        <f aca="false">IF(Tasks[[#This Row],[_Res3Text]]="","",IF(Tasks[[#This Row],[_Res3Row]]&gt;0,INDEX(res_Name,Tasks[[#This Row],[_Res3Row]]),TRIM(LEFT(Tasks[[#This Row],[_Res3Text]],FIND("[",Tasks[[#This Row],[_Res3Text]]&amp;"[")-1))))</f>
        <v/>
      </c>
      <c r="EC2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3" t="n">
        <f aca="false">IF(OR(NOT(Tasks[[#This Row],[_IsLeaf]]=1),Tasks[[#This Row],[_Res3Row]]=0),0,N(Tasks[[#This Row],[_Days]])*HoursPerDay*IF(Tasks[[#This Row],[_Res3Units]]="",DefaultUnits,Tasks[[#This Row],[_Res3Units]]))</f>
        <v>0</v>
      </c>
      <c r="EE201" s="43" t="n">
        <f aca="false">IF(AND(AND(Tasks[[#This Row],[_IsLeaf]]=1,Tasks[[#This Row],[_LeafTotalWork]]&gt;0),Tasks[[#This Row],[_Res3Work]]&gt;0),Tasks[[#This Row],[_Res3Work]]/(Tasks[[#This Row],[_FinishWorkday]]-Tasks[[#This Row],[_StartWorkday]]+1),0)</f>
        <v>0</v>
      </c>
      <c r="EF201" s="43" t="n">
        <f aca="false">Tasks[[#This Row],[_Res3WorkPerWD]]*MAX(0,Tasks[[#This Row],[_StartWorkday]]-1)</f>
        <v>0</v>
      </c>
      <c r="EG201" s="43" t="n">
        <f aca="false">Tasks[[#This Row],[_Res3Work]]*Tasks[[#This Row],[_LeafProgress]]</f>
        <v>0</v>
      </c>
      <c r="EH201" s="43" t="str">
        <f aca="false">IF(Tasks[[#This Row],[_Res4Text]]="","",IF(Tasks[[#This Row],[_Res4Row]]&gt;0,INDEX(res_Name,Tasks[[#This Row],[_Res4Row]]),TRIM(LEFT(Tasks[[#This Row],[_Res4Text]],FIND("[",Tasks[[#This Row],[_Res4Text]]&amp;"[")-1))))</f>
        <v/>
      </c>
      <c r="EI2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3" t="n">
        <f aca="false">IF(OR(NOT(Tasks[[#This Row],[_IsLeaf]]=1),Tasks[[#This Row],[_Res4Row]]=0),0,N(Tasks[[#This Row],[_Days]])*HoursPerDay*IF(Tasks[[#This Row],[_Res4Units]]="",DefaultUnits,Tasks[[#This Row],[_Res4Units]]))</f>
        <v>0</v>
      </c>
      <c r="EK201" s="43" t="n">
        <f aca="false">IF(AND(AND(Tasks[[#This Row],[_IsLeaf]]=1,Tasks[[#This Row],[_LeafTotalWork]]&gt;0),Tasks[[#This Row],[_Res4Work]]&gt;0),Tasks[[#This Row],[_Res4Work]]/(Tasks[[#This Row],[_FinishWorkday]]-Tasks[[#This Row],[_StartWorkday]]+1),0)</f>
        <v>0</v>
      </c>
      <c r="EL201" s="43" t="n">
        <f aca="false">Tasks[[#This Row],[_Res4WorkPerWD]]*MAX(0,Tasks[[#This Row],[_StartWorkday]]-1)</f>
        <v>0</v>
      </c>
      <c r="EM201" s="43" t="n">
        <f aca="false">Tasks[[#This Row],[_Res4Work]]*Tasks[[#This Row],[_LeafProgress]]</f>
        <v>0</v>
      </c>
      <c r="EN201" s="43" t="n">
        <f aca="false">IF(ISNUMBER(Tasks[[#This Row],[% Complete]]),Tasks[[#This Row],[% Complete]],IF(Tasks[[#This Row],[Stage]]="",0,IFERROR(INDEX(stg_Pct,MATCH(Tasks[[#This Row],[Stage]],stg_Name,0)),0)))</f>
        <v>0</v>
      </c>
      <c r="EO201" s="43" t="n">
        <f aca="false">IF(NOT(Tasks[[#This Row],[_IsLeaf]]=1),0,IF(N(Tasks[[#This Row],[Actual Finish]])&gt;0,1,MIN(1,Tasks[[#This Row],[_Pct]])))</f>
        <v>0</v>
      </c>
      <c r="EP201" s="43" t="n">
        <f aca="false">IF(OR(NOT(Tasks[[#This Row],[_IsLeaf]]=1),Tasks[[#This Row],[_Res1Row]]=0),0,N(Tasks[[#This Row],[_Days]])*HoursPerDay*IF(Tasks[[#This Row],[_Units1]]="",DefaultUnits,Tasks[[#This Row],[_Units1]]))</f>
        <v>0</v>
      </c>
      <c r="EQ201" s="43" t="n">
        <f aca="false">Tasks[[#This Row],[_LeafWork]]+Tasks[[#This Row],[_Res2Work]]+Tasks[[#This Row],[_Res3Work]]+Tasks[[#This Row],[_Res4Work]]</f>
        <v>0</v>
      </c>
      <c r="ER2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3" t="n">
        <f aca="false">IF(NOT(Tasks[[#This Row],[_IsLeaf]]=1),0,MAX(_xlfn.MAXIFS(Tasks[_Row],Tasks[_Pred1UID],Tasks[[#This Row],[UID]]),_xlfn.MAXIFS(Tasks[_Row],Tasks[_Pred2UID],Tasks[[#This Row],[UID]]),_xlfn.MAXIFS(Tasks[_Row],Tasks[_Pred3UID],Tasks[[#This Row],[UID]]),_xlfn.MAXIFS(Tasks[_Row],Tasks[_Pred4UID],Tasks[[#This Row],[UID]])))</f>
        <v>0</v>
      </c>
      <c r="FA2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91" t="str">
        <f aca="false">IF(NOT(Tasks[[#This Row],[_IsLeaf]]=1),"",IF(N(Tasks[[#This Row],[_Days]])&lt;=0,Tasks[[#This Row],[_LeafLateFinish]],WORKDAY.INTL(Tasks[[#This Row],[_LeafLateFinish]],-(Tasks[[#This Row],[_Days]]-1),WorkWeek,Holidays)))</f>
        <v/>
      </c>
      <c r="FD2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1" s="90" t="b">
        <f aca="false">AND(Tasks[[#This Row],[_IsLeaf]]=1,Tasks[[#This Row],[_LeafProgress]]&lt;1,N(Tasks[[#This Row],[_LeafTotalSlack]])&lt;=CriticalSlackDays)</f>
        <v>0</v>
      </c>
      <c r="FF201" s="43" t="n">
        <f aca="false">IF(AND(Tasks[[#This Row],[_IsLeaf]]=1,Tasks[[#This Row],[_ConstraintCode]]=1,Tasks[[#This Row],[Mode]]&lt;&gt;"Manual",N(Tasks[[#This Row],[Actual Start]])=0),MAX(0,N(Tasks[[#This Row],[Free Slack]])),0)</f>
        <v>0</v>
      </c>
      <c r="FG201" s="91" t="str">
        <f aca="false">IF(NOT(Tasks[[#This Row],[_IsLeaf]]=1),"",IF(Tasks[[#This Row],[_AlapShift]]=0,Tasks[[#This Row],[_LeafCalcStart]],WORKDAY.INTL(Tasks[[#This Row],[_LeafCalcStart]],Tasks[[#This Row],[_AlapShift]],WorkWeek,Holidays)))</f>
        <v/>
      </c>
      <c r="FH201" s="91" t="str">
        <f aca="false">IF(NOT(Tasks[[#This Row],[_IsLeaf]]=1),"",IF(Tasks[[#This Row],[_AlapShift]]=0,Tasks[[#This Row],[_LeafCalcFinish]],WORKDAY.INTL(Tasks[[#This Row],[_LeafCalcFinish]],Tasks[[#This Row],[_AlapShift]],WorkWeek,Holidays)))</f>
        <v/>
      </c>
      <c r="FI201" s="91" t="str">
        <f aca="false">IF(NOT(Tasks[[#This Row],[_IsLeaf]]=1),"",IF(Tasks[[#This Row],[_AlapShift]]=0,Tasks[[#This Row],[_LeafFcstStart]],WORKDAY.INTL(Tasks[[#This Row],[_LeafFcstStart]],Tasks[[#This Row],[_AlapShift]],WorkWeek,Holidays)))</f>
        <v/>
      </c>
      <c r="FJ201" s="91" t="str">
        <f aca="false">IF(NOT(Tasks[[#This Row],[_IsLeaf]]=1),"",IF(Tasks[[#This Row],[_AlapShift]]=0,Tasks[[#This Row],[_LeafFcstFinish]],WORKDAY.INTL(Tasks[[#This Row],[_LeafFcstFinish]],Tasks[[#This Row],[_AlapShift]],WorkWeek,Holidays)))</f>
        <v/>
      </c>
      <c r="FK201" s="91" t="str">
        <f aca="false">IF(Tasks[[#This Row],[Task Name]]="","",IF(Tasks[[#This Row],[_IsSummary]],MIN(INDEX(Tasks[_ShownCalcStart],Tasks[[#This Row],[_Row]]+1):INDEX(Tasks[_ShownCalcStart],Tasks[[#This Row],[_Row]]+Tasks[[#This Row],[_Descendants]])),Tasks[[#This Row],[_ShownCalcStart]]))</f>
        <v/>
      </c>
      <c r="FL201" s="91" t="str">
        <f aca="false">IF(Tasks[[#This Row],[Task Name]]="","",IF(Tasks[[#This Row],[_IsSummary]],MAX(INDEX(Tasks[_ShownCalcFinish],Tasks[[#This Row],[_Row]]+1):INDEX(Tasks[_ShownCalcFinish],Tasks[[#This Row],[_Row]]+Tasks[[#This Row],[_Descendants]])),Tasks[[#This Row],[_ShownCalcFinish]]))</f>
        <v/>
      </c>
      <c r="FM2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1" s="43" t="n">
        <f aca="false">IF(AND(Tasks[[#This Row],[_IsLeaf]]=1,Tasks[[#This Row],[_LeafTotalWork]]&gt;0),NETWORKDAYS.INTL(ProjectStart,Tasks[[#This Row],[_ShownFcstStart]],WorkWeek,Holidays),0)</f>
        <v>0</v>
      </c>
      <c r="FZ201" s="43" t="n">
        <f aca="false">IF(AND(Tasks[[#This Row],[_IsLeaf]]=1,Tasks[[#This Row],[_LeafTotalWork]]&gt;0),MAX(Tasks[[#This Row],[_StartWorkday]],NETWORKDAYS.INTL(ProjectStart,Tasks[[#This Row],[_ShownFcstFinish]],WorkWeek,Holidays)),0)</f>
        <v>0</v>
      </c>
      <c r="GA201" s="43" t="n">
        <f aca="false">IF(AND(Tasks[[#This Row],[_IsLeaf]]=1,Tasks[[#This Row],[_LeafTotalWork]]&gt;0),Tasks[[#This Row],[_LeafWork]]/(Tasks[[#This Row],[_FinishWorkday]]-Tasks[[#This Row],[_StartWorkday]]+1),0)</f>
        <v>0</v>
      </c>
      <c r="GB201" s="43" t="n">
        <f aca="false">Tasks[[#This Row],[_WorkPerWorkday]]*(Tasks[[#This Row],[_StartWorkday]]-1)</f>
        <v>-0</v>
      </c>
      <c r="GC201" s="43" t="n">
        <f aca="false">IF(Tasks[[#This Row],[_IsLeaf]]=1,MAX(N(Tasks[[#This Row],[_Days]]),0.1),0)</f>
        <v>0</v>
      </c>
      <c r="GD201" s="43" t="n">
        <f aca="false">Tasks[[#This Row],[_WeightDur]]*Tasks[[#This Row],[_LeafProgress]]</f>
        <v>0</v>
      </c>
      <c r="GE201" s="43" t="n">
        <f aca="false">Tasks[[#This Row],[_WeightDur]]*Tasks[[#This Row],[_PlannedPct]]</f>
        <v>0</v>
      </c>
      <c r="GF2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3" t="str">
        <f aca="false">IF(AND(Tasks[[#This Row],[_IsLeaf]]=1,N(Tasks[[#This Row],[_Days]])=0,Tasks[[#This Row],[_LeafProgress]]&lt;1),Tasks[[#This Row],[_ShownFcstFinish]]+Tasks[[#This Row],[_Row]]/100000,"")</f>
        <v/>
      </c>
      <c r="GH2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1" s="43" t="str">
        <f aca="false">IF(Tasks[[#This Row],[Task Name]]="","",LEFT(Tasks[[#This Row],[WBS]],FIND(".",Tasks[[#This Row],[WBS]]&amp;".")-1))</f>
        <v/>
      </c>
      <c r="GJ201" s="43" t="str">
        <f aca="false">IF(AND(Tasks[[#This Row],[Task Name]]&lt;&gt;"",Tasks[[#This Row],[_Level]]=1),Tasks[[#This Row],[_Row]],"")</f>
        <v/>
      </c>
      <c r="GK201" s="43" t="str">
        <f aca="false">IF(AND(Tasks[[#This Row],[_IsLeaf]]=1,N(Tasks[[#This Row],[_Days]])=0),Tasks[[#This Row],[Planned Finish]]+Tasks[[#This Row],[_Row]]/100000,"")</f>
        <v/>
      </c>
      <c r="GL201" s="43" t="str">
        <f aca="false">IF(AND(Tasks[[#This Row],[_IsLeaf]]=1,Tasks[[#This Row],[_LeafProgress]]&lt;1,OR(N(Tasks[[#This Row],[Finish Var]])&gt;0,Tasks[[#This Row],[Status]]="Late Start")),MAX(0,Tasks[[#This Row],[Finish Var]])+1-Tasks[[#This Row],[_Row]]/1000000,"")</f>
        <v/>
      </c>
      <c r="GM201" s="43" t="str">
        <f aca="false">IF(AND(Tasks[[#This Row],[_IsLeaf]]=1,N(Tasks[[#This Row],[Actual Start]])=0,Tasks[[#This Row],[_ShownFcstStart]]&gt;=StatusDate,Tasks[[#This Row],[_ShownFcstStart]]&lt;=LookaheadEnd),Tasks[[#This Row],[_ShownFcstStart]]+Tasks[[#This Row],[_Row]]/100000,"")</f>
        <v/>
      </c>
      <c r="GN201" s="43" t="str">
        <f aca="false">IF(AND(Tasks[[#This Row],[_IsLeaf]]=1,Tasks[[#This Row],[_LeafProgress]]&lt;1,Tasks[[#This Row],[_ShownFcstFinish]]&gt;=StatusDate,Tasks[[#This Row],[_ShownFcstFinish]]&lt;=LookaheadEnd),Tasks[[#This Row],[_ShownFcstFinish]]+Tasks[[#This Row],[_Row]]/100000,"")</f>
        <v/>
      </c>
      <c r="GO201" s="43" t="str">
        <f aca="false">IF(Tasks[[#This Row],[_LeafCritical]],Tasks[[#This Row],[_ShownFcstStart]]+Tasks[[#This Row],[_Row]]/100000,"")</f>
        <v/>
      </c>
      <c r="GP201" s="43" t="n">
        <f aca="false">Tasks[[#This Row],[_LeafWork]]*Tasks[[#This Row],[_LeafProgress]]</f>
        <v>0</v>
      </c>
      <c r="GQ201" s="91" t="str">
        <f aca="false">IF(AND(Tasks[[#This Row],[_IsLeaf]]=1,Tasks[[#This Row],[_LeafProgress]]&gt;=1),IF(N(Tasks[[#This Row],[Actual Finish]])&gt;0,Tasks[[#This Row],[Actual Finish]],Tasks[[#This Row],[_ShownFcstFinish]]),"")</f>
        <v/>
      </c>
      <c r="GR201" s="43" t="n">
        <f aca="false">IF(Tasks[[#This Row],[_IsLeaf]]=1,N(Tasks[[#This Row],[Story Points]]),0)</f>
        <v>0</v>
      </c>
      <c r="GS201" s="43" t="str">
        <f aca="false">""</f>
        <v/>
      </c>
      <c r="GT201" s="90" t="b">
        <f aca="false">IF(Tasks[[#This Row],[Task Name]]="",FALSE(),AND(Tasks[[#This Row],[_IsLeaf]]=1,N(Tasks[[#This Row],[_Days]])=0))</f>
        <v>0</v>
      </c>
      <c r="GU201" s="91" t="n">
        <f aca="false">IF(Tasks[[#This Row],[Task Name]]="",0,IF(AND(Tasks[[#This Row],[_IsLeaf]]=1,NOT(Tasks[[#This Row],[_IsMilestone]]),N(Tasks[[#This Row],[Progress]])&gt;0),Tasks[[#This Row],[Start]],0))</f>
        <v>0</v>
      </c>
      <c r="GV201" s="91" t="n">
        <f aca="false">IF(Tasks[[#This Row],[_DoneFrom]]=0,0,IF(Tasks[[#This Row],[Progress]]&gt;=1,Tasks[[#This Row],[Finish]],MAX(Tasks[[#This Row],[_DoneFrom]],Tasks[[#This Row],[Start]]+ROUND((Tasks[[#This Row],[Finish]]-Tasks[[#This Row],[Start]]+1)*Tasks[[#This Row],[Progress]],0)-1)))</f>
        <v>0</v>
      </c>
      <c r="GW201" s="91" t="n">
        <f aca="false">IF(Tasks[[#This Row],[Task Name]]="",0,IF(OR(NOT(Tasks[[#This Row],[_IsLeaf]]=1),Tasks[[#This Row],[_IsMilestone]],N(Tasks[[#This Row],[Progress]])&gt;=1),0,IF(Tasks[[#This Row],[_DoneTo]]&gt;0,Tasks[[#This Row],[_DoneTo]]+1,Tasks[[#This Row],[Start]])))</f>
        <v>0</v>
      </c>
      <c r="GX201" s="91" t="n">
        <f aca="false">IF(Tasks[[#This Row],[_RemFrom]]=0,0,Tasks[[#This Row],[Finish]])</f>
        <v>0</v>
      </c>
      <c r="GY201" s="90" t="b">
        <f aca="false">IF(Tasks[[#This Row],[Task Name]]="",FALSE(),OR(NOT(BaselineSet),N(Tasks[[#This Row],[Baseline Start]])&gt;0))</f>
        <v>0</v>
      </c>
      <c r="GZ20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92" t="str">
        <f aca="false">IF(Tasks[[#This Row],[_IsLeaf]]=1,Tasks[[#This Row],[_Row]],"")</f>
        <v/>
      </c>
      <c r="HD201" s="92" t="str">
        <f aca="false">IFERROR(INDEX(Tasks[UID],SMALL(Tasks[_PickKey],Tasks[[#This Row],[_Row]]))&amp;" "&amp;INDEX(Tasks[Task Name],SMALL(Tasks[_PickKey],Tasks[[#This Row],[_Row]])),"")</f>
        <v/>
      </c>
      <c r="HE201" s="43" t="str">
        <f aca="false">IF(Tasks[[#This Row],[Task Name]]="","",IF(Tasks[[#This Row],[_IsSummary]],NETWORKDAYS.INTL(Tasks[[#This Row],[Start]],Tasks[[#This Row],[Finish]],WorkWeek,Holidays),N(Tasks[[#This Row],[_Days]])))</f>
        <v/>
      </c>
      <c r="HF201" s="43" t="n">
        <f aca="false">IF(Tasks[[#This Row],[Expected]]="",0,((Tasks[[#This Row],[Pessimistic]]-Tasks[[#This Row],[Optimistic]])/6)^2)</f>
        <v>0</v>
      </c>
      <c r="HG201" s="43" t="n">
        <f aca="false">IF(Tasks[[#This Row],[Expected]]="",0,Tasks[[#This Row],[Expected]]-N(Tasks[[#This Row],[_Days]]))</f>
        <v>0</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4"/>
      <c r="U202" s="23"/>
      <c r="V202" s="84"/>
      <c r="W202" s="23"/>
      <c r="X202" s="84"/>
      <c r="Y202" s="23"/>
      <c r="Z202" s="84"/>
      <c r="AA202" s="23"/>
      <c r="AB202" s="23"/>
      <c r="AC202" s="7"/>
      <c r="AD202" s="7"/>
      <c r="AE202" s="63" t="str">
        <f aca="false">IF(Tasks[[#This Row],[Task Name]]="","",IF(Tasks[[#This Row],[_IsSummary]],MIN(INDEX(Tasks[_ShownFcstStart],Tasks[[#This Row],[_Row]]+1):INDEX(Tasks[_ShownFcstStart],Tasks[[#This Row],[_Row]]+Tasks[[#This Row],[_Descendants]])),Tasks[[#This Row],[_ShownFcstStart]]))</f>
        <v/>
      </c>
      <c r="AF202" s="63"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2" s="7"/>
      <c r="AK202" s="22"/>
      <c r="AL202" s="23"/>
      <c r="AM202" s="7"/>
      <c r="AN202" s="47"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3" t="str">
        <f aca="false">IF(Tasks[[#This Row],[Task Name]]="","",IF(N(Tasks[[#This Row],[Baseline Start]])&gt;0,Tasks[[#This Row],[Baseline Start]],Tasks[[#This Row],[_CalcStart]]))</f>
        <v/>
      </c>
      <c r="AR202" s="63" t="str">
        <f aca="false">IF(Tasks[[#This Row],[Task Name]]="","",IF(N(Tasks[[#This Row],[Baseline Finish]])&gt;0,Tasks[[#This Row],[Baseline Finish]],Tasks[[#This Row],[_CalcFinish]]))</f>
        <v/>
      </c>
      <c r="AS202" s="47" t="str">
        <f aca="false">IF(Tasks[[#This Row],[Task Name]]="","",IF(Tasks[[#This Row],[Start]]&gt;=Tasks[[#This Row],[Planned Start]],NETWORKDAYS.INTL(Tasks[[#This Row],[Planned Start]],Tasks[[#This Row],[Start]],WorkWeek,Holidays)-1,1-NETWORKDAYS.INTL(Tasks[[#This Row],[Start]],Tasks[[#This Row],[Planned Start]],WorkWeek,Holidays)))</f>
        <v/>
      </c>
      <c r="AT202" s="63" t="str">
        <f aca="false">IF(Tasks[[#This Row],[Task Name]]="","",IF(Tasks[[#This Row],[_IsSummary]],MIN(INDEX(Tasks[_LeafLateStart],Tasks[[#This Row],[_Row]]+1):INDEX(Tasks[_LeafLateStart],Tasks[[#This Row],[_Row]]+Tasks[[#This Row],[_Descendants]])),Tasks[[#This Row],[_LeafLateStart]]))</f>
        <v/>
      </c>
      <c r="AU202" s="63" t="str">
        <f aca="false">IF(Tasks[[#This Row],[Task Name]]="","",IF(Tasks[[#This Row],[_IsSummary]],MAX(INDEX(Tasks[_LeafLateFinish],Tasks[[#This Row],[_Row]]+1):INDEX(Tasks[_LeafLateFinish],Tasks[[#This Row],[_Row]]+Tasks[[#This Row],[_Descendants]])),Tasks[[#This Row],[_LeafLateFinish]]))</f>
        <v/>
      </c>
      <c r="AV202" s="47"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5"/>
      <c r="BA2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6"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7"/>
      <c r="BJ202" s="22"/>
      <c r="BK202" s="47" t="str">
        <f aca="false">IF(OR(Tasks[[#This Row],[Task Name]]="",Tasks[[#This Row],[Baseline Duration]]=""),"",Tasks[[#This Row],[_SpanDays]]-N(Tasks[[#This Row],[Baseline Duration]]))</f>
        <v/>
      </c>
      <c r="BL202" s="86" t="str">
        <f aca="false">IF(OR(Tasks[[#This Row],[Task Name]]="",Tasks[[#This Row],[Baseline Work]]=""),"",Tasks[[#This Row],[Work]]-N(Tasks[[#This Row],[Baseline Work]]))</f>
        <v/>
      </c>
      <c r="BM202" s="63" t="str">
        <f aca="false">IF(Tasks[[#This Row],[Task Name]]="","",IF(OR(TakeBaseline="Yes",N(Tasks[[#This Row],[Baseline Start]])=0),Tasks[[#This Row],[Start]],Tasks[[#This Row],[Baseline Start]]))</f>
        <v/>
      </c>
      <c r="BN202" s="63" t="str">
        <f aca="false">IF(Tasks[[#This Row],[Task Name]]="","",IF(OR(TakeBaseline="Yes",N(Tasks[[#This Row],[Baseline Finish]])=0),Tasks[[#This Row],[Finish]],Tasks[[#This Row],[Baseline Finish]]))</f>
        <v/>
      </c>
      <c r="BO202" s="21" t="str">
        <f aca="false">IF(Tasks[[#This Row],[Task Name]]="","",IF(OR(TakeBaseline="Yes",N(Tasks[[#This Row],[Baseline Duration]])=0),Tasks[[#This Row],[_SpanDays]],Tasks[[#This Row],[Baseline Duration]]))</f>
        <v/>
      </c>
      <c r="BP202" s="86" t="str">
        <f aca="false">IF(Tasks[[#This Row],[Task Name]]="","",IF(OR(TakeBaseline="Yes",N(Tasks[[#This Row],[Baseline Work]])=0),Tasks[[#This Row],[Work]],Tasks[[#This Row],[Baseline Work]]))</f>
        <v/>
      </c>
      <c r="BQ202" s="7"/>
      <c r="BR202" s="7"/>
      <c r="BS202" s="22"/>
      <c r="BT202" s="88"/>
      <c r="BU202" s="23"/>
      <c r="BV202" s="23"/>
      <c r="BW202" s="23"/>
      <c r="BX202" s="89" t="str">
        <f aca="false">IF(AND(Tasks[[#This Row],[_IsLeaf]]=1,ISNUMBER(Tasks[[#This Row],[Optimistic]]),ISNUMBER(Tasks[[#This Row],[Pessimistic]])),ROUND((Tasks[[#This Row],[Optimistic]]+4*N(Tasks[[#This Row],[_Days]])+Tasks[[#This Row],[Pessimistic]])/6,1),"")</f>
        <v/>
      </c>
      <c r="BY202" s="87"/>
      <c r="BZ202" s="87"/>
      <c r="CA202" s="22"/>
      <c r="CB202" s="43" t="str">
        <f aca="false">IF(Tasks[[#This Row],[Task Name]]="","",MAX(1,N(Tasks[[#This Row],[Level]])))</f>
        <v/>
      </c>
      <c r="CC202" s="43" t="n">
        <f aca="false">ROW()-ROW(Tasks[[#Headers],[ID]])</f>
        <v>197</v>
      </c>
      <c r="CD202" s="43" t="n">
        <f aca="false">IF(OR(Tasks[[#This Row],[Task Name]]="",Tasks[[#This Row],[_Level]]&lt;=1),0,IFERROR(LOOKUP(2,1/(Tasks[[#Headers],[_Level]]:Tasks[[#This Row],[_Level]]=Tasks[[#This Row],[_Level]]-1),ROW(Tasks[[#Headers],[_Level]]:Tasks[[#This Row],[_Level]])),0))</f>
        <v>0</v>
      </c>
      <c r="CE202" s="43" t="n">
        <f aca="false">IFERROR(N(INDEX(Tasks[_Level],Tasks[[#This Row],[_Row]]+1)),0)</f>
        <v>0</v>
      </c>
      <c r="CF202" s="90" t="b">
        <f aca="false">AND(Tasks[[#This Row],[Task Name]]&lt;&gt;"",Tasks[[#This Row],[_NextLevel]]&gt;Tasks[[#This Row],[_Level]])</f>
        <v>0</v>
      </c>
      <c r="CG202" s="43" t="n">
        <f aca="false">IF(Tasks[[#This Row],[_IsSummary]],COUNTIF(Tasks[WBS],Tasks[[#This Row],[WBS]]&amp;".*"),0)</f>
        <v>0</v>
      </c>
      <c r="CH202" s="43" t="n">
        <f aca="false">IF(AND(Tasks[[#This Row],[Task Name]]&lt;&gt;"",NOT(Tasks[[#This Row],[_IsSummary]])),1,0)</f>
        <v>0</v>
      </c>
      <c r="CI202" s="43" t="n">
        <f aca="false">IF(N(Tasks[[#This Row],[_Pred1UID]])=0,0,IFERROR(MATCH(Tasks[[#This Row],[_Pred1UID]],Tasks[UID],0),-1))</f>
        <v>0</v>
      </c>
      <c r="CJ202" s="43" t="n">
        <f aca="false">IF(N(Tasks[[#This Row],[_Pred2UID]])=0,0,IFERROR(MATCH(Tasks[[#This Row],[_Pred2UID]],Tasks[UID],0),-1))</f>
        <v>0</v>
      </c>
      <c r="CK202" s="43" t="n">
        <f aca="false">IF(N(Tasks[[#This Row],[_Pred3UID]])=0,0,IFERROR(MATCH(Tasks[[#This Row],[_Pred3UID]],Tasks[UID],0),-1))</f>
        <v>0</v>
      </c>
      <c r="CL202" s="43" t="n">
        <f aca="false">IF(N(Tasks[[#This Row],[_Pred4UID]])=0,0,IFERROR(MATCH(Tasks[[#This Row],[_Pred4UID]],Tasks[UID],0),-1))</f>
        <v>0</v>
      </c>
      <c r="CM2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2" s="91" t="n">
        <f aca="false">IF(OR(Tasks[[#This Row],[_ConstraintCode]]=2,Tasks[[#This Row],[_ConstraintCode]]=3,Tasks[[#This Row],[_ConstraintCode]]=4,Tasks[[#This Row],[_ConstraintCode]]=6),Tasks[[#This Row],[_ConstraintStart]],0)</f>
        <v>0</v>
      </c>
      <c r="CP202" s="91" t="n">
        <f aca="false">IF(OR(Tasks[[#This Row],[_ConstraintCode]]=2,Tasks[[#This Row],[_ConstraintCode]]=3,Tasks[[#This Row],[_ConstraintCode]]=5,Tasks[[#This Row],[_ConstraintCode]]=7),Tasks[[#This Row],[_ConstraintStart]],2958465)</f>
        <v>2958465</v>
      </c>
      <c r="CQ2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91" t="str">
        <f aca="false">IF(NOT(Tasks[[#This Row],[_IsLeaf]]=1),"",IF(N(Tasks[[#This Row],[_Days]])&lt;=0,Tasks[[#This Row],[_LeafCalcStart]],WORKDAY.INTL(Tasks[[#This Row],[_LeafCalcStart]],Tasks[[#This Row],[_Days]]-1,WorkWeek,Holidays)))</f>
        <v/>
      </c>
      <c r="CS2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3" t="str">
        <f aca="false">IF(Tasks[[#This Row],[_Predecessors]]="","",TRIM(MID(SUBSTITUTE(SUBSTITUTE(SUBSTITUTE(UPPER(Tasks[[#This Row],[_Predecessors]]),";",",")," ",""),",",REPT(" ",99)),1,99)))</f>
        <v/>
      </c>
      <c r="CV202" s="43" t="str">
        <f aca="false">IF(Tasks[[#This Row],[_Pred1Text]]="","",IFERROR(VALUE(LEFT(Tasks[[#This Row],[_Pred1Text]],MIN(FIND("F",Tasks[[#This Row],[_Pred1Text]]&amp;"F"),FIND("S",Tasks[[#This Row],[_Pred1Text]]&amp;"S"),FIND("+",Tasks[[#This Row],[_Pred1Text]]&amp;"+"),FIND("-",Tasks[[#This Row],[_Pred1Text]]&amp;"-"))-1)),""))</f>
        <v/>
      </c>
      <c r="CW2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3" t="str">
        <f aca="false">IF(Tasks[[#This Row],[_Pred1Text]]="","",TRIM(MID(SUBSTITUTE(SUBSTITUTE(SUBSTITUTE(UPPER(Tasks[[#This Row],[_Predecessors]]),";",",")," ",""),",",REPT(" ",99)),100,99)))</f>
        <v/>
      </c>
      <c r="CZ202" s="43" t="str">
        <f aca="false">IF(Tasks[[#This Row],[_Pred2Text]]="","",IFERROR(VALUE(LEFT(Tasks[[#This Row],[_Pred2Text]],MIN(FIND("F",Tasks[[#This Row],[_Pred2Text]]&amp;"F"),FIND("S",Tasks[[#This Row],[_Pred2Text]]&amp;"S"),FIND("+",Tasks[[#This Row],[_Pred2Text]]&amp;"+"),FIND("-",Tasks[[#This Row],[_Pred2Text]]&amp;"-"))-1)),""))</f>
        <v/>
      </c>
      <c r="DA2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3" t="str">
        <f aca="false">IF(Tasks[[#This Row],[_Pred2Text]]="","",TRIM(MID(SUBSTITUTE(SUBSTITUTE(SUBSTITUTE(UPPER(Tasks[[#This Row],[_Predecessors]]),";",",")," ",""),",",REPT(" ",99)),199,99)))</f>
        <v/>
      </c>
      <c r="DD202" s="43" t="str">
        <f aca="false">IF(Tasks[[#This Row],[_Pred3Text]]="","",IFERROR(VALUE(LEFT(Tasks[[#This Row],[_Pred3Text]],MIN(FIND("F",Tasks[[#This Row],[_Pred3Text]]&amp;"F"),FIND("S",Tasks[[#This Row],[_Pred3Text]]&amp;"S"),FIND("+",Tasks[[#This Row],[_Pred3Text]]&amp;"+"),FIND("-",Tasks[[#This Row],[_Pred3Text]]&amp;"-"))-1)),""))</f>
        <v/>
      </c>
      <c r="DE2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3" t="str">
        <f aca="false">IF(Tasks[[#This Row],[_Pred3Text]]="","",TRIM(MID(SUBSTITUTE(SUBSTITUTE(SUBSTITUTE(UPPER(Tasks[[#This Row],[_Predecessors]]),";",",")," ",""),",",REPT(" ",99)),298,99)))</f>
        <v/>
      </c>
      <c r="DH202" s="43" t="str">
        <f aca="false">IF(Tasks[[#This Row],[_Pred4Text]]="","",IFERROR(VALUE(LEFT(Tasks[[#This Row],[_Pred4Text]],MIN(FIND("F",Tasks[[#This Row],[_Pred4Text]]&amp;"F"),FIND("S",Tasks[[#This Row],[_Pred4Text]]&amp;"S"),FIND("+",Tasks[[#This Row],[_Pred4Text]]&amp;"+"),FIND("-",Tasks[[#This Row],[_Pred4Text]]&amp;"-"))-1)),""))</f>
        <v/>
      </c>
      <c r="DI2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3" t="str">
        <f aca="false">IF(OR(Tasks[[#This Row],[Task Name]]="",Tasks[[#This Row],[_Resources]]=""),"",TRIM(MID(SUBSTITUTE(Tasks[[#This Row],[_Resources]],",",REPT(" ",99)),1,99)))</f>
        <v/>
      </c>
      <c r="DL202" s="43" t="str">
        <f aca="false">IF(Tasks[[#This Row],[_Res1Text]]="","",TRIM(MID(SUBSTITUTE(Tasks[[#This Row],[_Resources]],",",REPT(" ",99)),100,99)))</f>
        <v/>
      </c>
      <c r="DM202" s="43" t="str">
        <f aca="false">IF(Tasks[[#This Row],[_Res2Text]]="","",TRIM(MID(SUBSTITUTE(Tasks[[#This Row],[_Resources]],",",REPT(" ",99)),199,99)))</f>
        <v/>
      </c>
      <c r="DN202" s="43" t="str">
        <f aca="false">IF(Tasks[[#This Row],[_Res3Text]]="","",TRIM(MID(SUBSTITUTE(Tasks[[#This Row],[_Resources]],",",REPT(" ",99)),298,99)))</f>
        <v/>
      </c>
      <c r="DO202" s="43" t="n">
        <f aca="false">IF(Tasks[[#This Row],[_Res1Text]]="",0,IFERROR(MATCH(TRIM(LEFT(Tasks[[#This Row],[_Res1Text]],FIND("[",Tasks[[#This Row],[_Res1Text]]&amp;"[")-1)),res_Name,0),IFERROR(MATCH(TRIM(LEFT(Tasks[[#This Row],[_Res1Text]],FIND("[",Tasks[[#This Row],[_Res1Text]]&amp;"[")-1)),res_Initials,0),0)))</f>
        <v>0</v>
      </c>
      <c r="DP202" s="43" t="n">
        <f aca="false">IF(Tasks[[#This Row],[_Res2Text]]="",0,IFERROR(MATCH(TRIM(LEFT(Tasks[[#This Row],[_Res2Text]],FIND("[",Tasks[[#This Row],[_Res2Text]]&amp;"[")-1)),res_Name,0),IFERROR(MATCH(TRIM(LEFT(Tasks[[#This Row],[_Res2Text]],FIND("[",Tasks[[#This Row],[_Res2Text]]&amp;"[")-1)),res_Initials,0),0)))</f>
        <v>0</v>
      </c>
      <c r="DQ202" s="43" t="n">
        <f aca="false">IF(Tasks[[#This Row],[_Res3Text]]="",0,IFERROR(MATCH(TRIM(LEFT(Tasks[[#This Row],[_Res3Text]],FIND("[",Tasks[[#This Row],[_Res3Text]]&amp;"[")-1)),res_Name,0),IFERROR(MATCH(TRIM(LEFT(Tasks[[#This Row],[_Res3Text]],FIND("[",Tasks[[#This Row],[_Res3Text]]&amp;"[")-1)),res_Initials,0),0)))</f>
        <v>0</v>
      </c>
      <c r="DR202" s="43" t="n">
        <f aca="false">IF(Tasks[[#This Row],[_Res4Text]]="",0,IFERROR(MATCH(TRIM(LEFT(Tasks[[#This Row],[_Res4Text]],FIND("[",Tasks[[#This Row],[_Res4Text]]&amp;"[")-1)),res_Name,0),IFERROR(MATCH(TRIM(LEFT(Tasks[[#This Row],[_Res4Text]],FIND("[",Tasks[[#This Row],[_Res4Text]]&amp;"[")-1)),res_Initials,0),0)))</f>
        <v>0</v>
      </c>
      <c r="DS202" s="43" t="str">
        <f aca="false">IF(Tasks[[#This Row],[_Res1Text]]="","",IF(Tasks[[#This Row],[_Res1Row]]&gt;0,INDEX(res_Name,Tasks[[#This Row],[_Res1Row]]),TRIM(LEFT(Tasks[[#This Row],[_Res1Text]],FIND("[",Tasks[[#This Row],[_Res1Text]]&amp;"[")-1))))</f>
        <v/>
      </c>
      <c r="DT2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3" t="n">
        <f aca="false">IF(NOT(Tasks[[#This Row],[_IsLeaf]]=1),0,(Tasks[[#This Row],[_Resource1]]&lt;&gt;"")+(Tasks[[#This Row],[_Res2]]&lt;&gt;"")+(Tasks[[#This Row],[_Res3]]&lt;&gt;"")+(Tasks[[#This Row],[_Res4]]&lt;&gt;""))</f>
        <v>0</v>
      </c>
      <c r="DV202" s="43" t="str">
        <f aca="false">IF(Tasks[[#This Row],[_Res2Text]]="","",IF(Tasks[[#This Row],[_Res2Row]]&gt;0,INDEX(res_Name,Tasks[[#This Row],[_Res2Row]]),TRIM(LEFT(Tasks[[#This Row],[_Res2Text]],FIND("[",Tasks[[#This Row],[_Res2Text]]&amp;"[")-1))))</f>
        <v/>
      </c>
      <c r="DW2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3" t="n">
        <f aca="false">IF(OR(NOT(Tasks[[#This Row],[_IsLeaf]]=1),Tasks[[#This Row],[_Res2Row]]=0),0,N(Tasks[[#This Row],[_Days]])*HoursPerDay*IF(Tasks[[#This Row],[_Res2Units]]="",DefaultUnits,Tasks[[#This Row],[_Res2Units]]))</f>
        <v>0</v>
      </c>
      <c r="DY202" s="43" t="n">
        <f aca="false">IF(AND(AND(Tasks[[#This Row],[_IsLeaf]]=1,Tasks[[#This Row],[_LeafTotalWork]]&gt;0),Tasks[[#This Row],[_Res2Work]]&gt;0),Tasks[[#This Row],[_Res2Work]]/(Tasks[[#This Row],[_FinishWorkday]]-Tasks[[#This Row],[_StartWorkday]]+1),0)</f>
        <v>0</v>
      </c>
      <c r="DZ202" s="43" t="n">
        <f aca="false">Tasks[[#This Row],[_Res2WorkPerWD]]*MAX(0,Tasks[[#This Row],[_StartWorkday]]-1)</f>
        <v>0</v>
      </c>
      <c r="EA202" s="43" t="n">
        <f aca="false">Tasks[[#This Row],[_Res2Work]]*Tasks[[#This Row],[_LeafProgress]]</f>
        <v>0</v>
      </c>
      <c r="EB202" s="43" t="str">
        <f aca="false">IF(Tasks[[#This Row],[_Res3Text]]="","",IF(Tasks[[#This Row],[_Res3Row]]&gt;0,INDEX(res_Name,Tasks[[#This Row],[_Res3Row]]),TRIM(LEFT(Tasks[[#This Row],[_Res3Text]],FIND("[",Tasks[[#This Row],[_Res3Text]]&amp;"[")-1))))</f>
        <v/>
      </c>
      <c r="EC2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3" t="n">
        <f aca="false">IF(OR(NOT(Tasks[[#This Row],[_IsLeaf]]=1),Tasks[[#This Row],[_Res3Row]]=0),0,N(Tasks[[#This Row],[_Days]])*HoursPerDay*IF(Tasks[[#This Row],[_Res3Units]]="",DefaultUnits,Tasks[[#This Row],[_Res3Units]]))</f>
        <v>0</v>
      </c>
      <c r="EE202" s="43" t="n">
        <f aca="false">IF(AND(AND(Tasks[[#This Row],[_IsLeaf]]=1,Tasks[[#This Row],[_LeafTotalWork]]&gt;0),Tasks[[#This Row],[_Res3Work]]&gt;0),Tasks[[#This Row],[_Res3Work]]/(Tasks[[#This Row],[_FinishWorkday]]-Tasks[[#This Row],[_StartWorkday]]+1),0)</f>
        <v>0</v>
      </c>
      <c r="EF202" s="43" t="n">
        <f aca="false">Tasks[[#This Row],[_Res3WorkPerWD]]*MAX(0,Tasks[[#This Row],[_StartWorkday]]-1)</f>
        <v>0</v>
      </c>
      <c r="EG202" s="43" t="n">
        <f aca="false">Tasks[[#This Row],[_Res3Work]]*Tasks[[#This Row],[_LeafProgress]]</f>
        <v>0</v>
      </c>
      <c r="EH202" s="43" t="str">
        <f aca="false">IF(Tasks[[#This Row],[_Res4Text]]="","",IF(Tasks[[#This Row],[_Res4Row]]&gt;0,INDEX(res_Name,Tasks[[#This Row],[_Res4Row]]),TRIM(LEFT(Tasks[[#This Row],[_Res4Text]],FIND("[",Tasks[[#This Row],[_Res4Text]]&amp;"[")-1))))</f>
        <v/>
      </c>
      <c r="EI2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3" t="n">
        <f aca="false">IF(OR(NOT(Tasks[[#This Row],[_IsLeaf]]=1),Tasks[[#This Row],[_Res4Row]]=0),0,N(Tasks[[#This Row],[_Days]])*HoursPerDay*IF(Tasks[[#This Row],[_Res4Units]]="",DefaultUnits,Tasks[[#This Row],[_Res4Units]]))</f>
        <v>0</v>
      </c>
      <c r="EK202" s="43" t="n">
        <f aca="false">IF(AND(AND(Tasks[[#This Row],[_IsLeaf]]=1,Tasks[[#This Row],[_LeafTotalWork]]&gt;0),Tasks[[#This Row],[_Res4Work]]&gt;0),Tasks[[#This Row],[_Res4Work]]/(Tasks[[#This Row],[_FinishWorkday]]-Tasks[[#This Row],[_StartWorkday]]+1),0)</f>
        <v>0</v>
      </c>
      <c r="EL202" s="43" t="n">
        <f aca="false">Tasks[[#This Row],[_Res4WorkPerWD]]*MAX(0,Tasks[[#This Row],[_StartWorkday]]-1)</f>
        <v>0</v>
      </c>
      <c r="EM202" s="43" t="n">
        <f aca="false">Tasks[[#This Row],[_Res4Work]]*Tasks[[#This Row],[_LeafProgress]]</f>
        <v>0</v>
      </c>
      <c r="EN202" s="43" t="n">
        <f aca="false">IF(ISNUMBER(Tasks[[#This Row],[% Complete]]),Tasks[[#This Row],[% Complete]],IF(Tasks[[#This Row],[Stage]]="",0,IFERROR(INDEX(stg_Pct,MATCH(Tasks[[#This Row],[Stage]],stg_Name,0)),0)))</f>
        <v>0</v>
      </c>
      <c r="EO202" s="43" t="n">
        <f aca="false">IF(NOT(Tasks[[#This Row],[_IsLeaf]]=1),0,IF(N(Tasks[[#This Row],[Actual Finish]])&gt;0,1,MIN(1,Tasks[[#This Row],[_Pct]])))</f>
        <v>0</v>
      </c>
      <c r="EP202" s="43" t="n">
        <f aca="false">IF(OR(NOT(Tasks[[#This Row],[_IsLeaf]]=1),Tasks[[#This Row],[_Res1Row]]=0),0,N(Tasks[[#This Row],[_Days]])*HoursPerDay*IF(Tasks[[#This Row],[_Units1]]="",DefaultUnits,Tasks[[#This Row],[_Units1]]))</f>
        <v>0</v>
      </c>
      <c r="EQ202" s="43" t="n">
        <f aca="false">Tasks[[#This Row],[_LeafWork]]+Tasks[[#This Row],[_Res2Work]]+Tasks[[#This Row],[_Res3Work]]+Tasks[[#This Row],[_Res4Work]]</f>
        <v>0</v>
      </c>
      <c r="ER2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3" t="n">
        <f aca="false">IF(NOT(Tasks[[#This Row],[_IsLeaf]]=1),0,MAX(_xlfn.MAXIFS(Tasks[_Row],Tasks[_Pred1UID],Tasks[[#This Row],[UID]]),_xlfn.MAXIFS(Tasks[_Row],Tasks[_Pred2UID],Tasks[[#This Row],[UID]]),_xlfn.MAXIFS(Tasks[_Row],Tasks[_Pred3UID],Tasks[[#This Row],[UID]]),_xlfn.MAXIFS(Tasks[_Row],Tasks[_Pred4UID],Tasks[[#This Row],[UID]])))</f>
        <v>0</v>
      </c>
      <c r="FA2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91" t="str">
        <f aca="false">IF(NOT(Tasks[[#This Row],[_IsLeaf]]=1),"",IF(N(Tasks[[#This Row],[_Days]])&lt;=0,Tasks[[#This Row],[_LeafLateFinish]],WORKDAY.INTL(Tasks[[#This Row],[_LeafLateFinish]],-(Tasks[[#This Row],[_Days]]-1),WorkWeek,Holidays)))</f>
        <v/>
      </c>
      <c r="FD2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2" s="90" t="b">
        <f aca="false">AND(Tasks[[#This Row],[_IsLeaf]]=1,Tasks[[#This Row],[_LeafProgress]]&lt;1,N(Tasks[[#This Row],[_LeafTotalSlack]])&lt;=CriticalSlackDays)</f>
        <v>0</v>
      </c>
      <c r="FF202" s="43" t="n">
        <f aca="false">IF(AND(Tasks[[#This Row],[_IsLeaf]]=1,Tasks[[#This Row],[_ConstraintCode]]=1,Tasks[[#This Row],[Mode]]&lt;&gt;"Manual",N(Tasks[[#This Row],[Actual Start]])=0),MAX(0,N(Tasks[[#This Row],[Free Slack]])),0)</f>
        <v>0</v>
      </c>
      <c r="FG202" s="91" t="str">
        <f aca="false">IF(NOT(Tasks[[#This Row],[_IsLeaf]]=1),"",IF(Tasks[[#This Row],[_AlapShift]]=0,Tasks[[#This Row],[_LeafCalcStart]],WORKDAY.INTL(Tasks[[#This Row],[_LeafCalcStart]],Tasks[[#This Row],[_AlapShift]],WorkWeek,Holidays)))</f>
        <v/>
      </c>
      <c r="FH202" s="91" t="str">
        <f aca="false">IF(NOT(Tasks[[#This Row],[_IsLeaf]]=1),"",IF(Tasks[[#This Row],[_AlapShift]]=0,Tasks[[#This Row],[_LeafCalcFinish]],WORKDAY.INTL(Tasks[[#This Row],[_LeafCalcFinish]],Tasks[[#This Row],[_AlapShift]],WorkWeek,Holidays)))</f>
        <v/>
      </c>
      <c r="FI202" s="91" t="str">
        <f aca="false">IF(NOT(Tasks[[#This Row],[_IsLeaf]]=1),"",IF(Tasks[[#This Row],[_AlapShift]]=0,Tasks[[#This Row],[_LeafFcstStart]],WORKDAY.INTL(Tasks[[#This Row],[_LeafFcstStart]],Tasks[[#This Row],[_AlapShift]],WorkWeek,Holidays)))</f>
        <v/>
      </c>
      <c r="FJ202" s="91" t="str">
        <f aca="false">IF(NOT(Tasks[[#This Row],[_IsLeaf]]=1),"",IF(Tasks[[#This Row],[_AlapShift]]=0,Tasks[[#This Row],[_LeafFcstFinish]],WORKDAY.INTL(Tasks[[#This Row],[_LeafFcstFinish]],Tasks[[#This Row],[_AlapShift]],WorkWeek,Holidays)))</f>
        <v/>
      </c>
      <c r="FK202" s="91" t="str">
        <f aca="false">IF(Tasks[[#This Row],[Task Name]]="","",IF(Tasks[[#This Row],[_IsSummary]],MIN(INDEX(Tasks[_ShownCalcStart],Tasks[[#This Row],[_Row]]+1):INDEX(Tasks[_ShownCalcStart],Tasks[[#This Row],[_Row]]+Tasks[[#This Row],[_Descendants]])),Tasks[[#This Row],[_ShownCalcStart]]))</f>
        <v/>
      </c>
      <c r="FL202" s="91" t="str">
        <f aca="false">IF(Tasks[[#This Row],[Task Name]]="","",IF(Tasks[[#This Row],[_IsSummary]],MAX(INDEX(Tasks[_ShownCalcFinish],Tasks[[#This Row],[_Row]]+1):INDEX(Tasks[_ShownCalcFinish],Tasks[[#This Row],[_Row]]+Tasks[[#This Row],[_Descendants]])),Tasks[[#This Row],[_ShownCalcFinish]]))</f>
        <v/>
      </c>
      <c r="FM2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2" s="43" t="n">
        <f aca="false">IF(AND(Tasks[[#This Row],[_IsLeaf]]=1,Tasks[[#This Row],[_LeafTotalWork]]&gt;0),NETWORKDAYS.INTL(ProjectStart,Tasks[[#This Row],[_ShownFcstStart]],WorkWeek,Holidays),0)</f>
        <v>0</v>
      </c>
      <c r="FZ202" s="43" t="n">
        <f aca="false">IF(AND(Tasks[[#This Row],[_IsLeaf]]=1,Tasks[[#This Row],[_LeafTotalWork]]&gt;0),MAX(Tasks[[#This Row],[_StartWorkday]],NETWORKDAYS.INTL(ProjectStart,Tasks[[#This Row],[_ShownFcstFinish]],WorkWeek,Holidays)),0)</f>
        <v>0</v>
      </c>
      <c r="GA202" s="43" t="n">
        <f aca="false">IF(AND(Tasks[[#This Row],[_IsLeaf]]=1,Tasks[[#This Row],[_LeafTotalWork]]&gt;0),Tasks[[#This Row],[_LeafWork]]/(Tasks[[#This Row],[_FinishWorkday]]-Tasks[[#This Row],[_StartWorkday]]+1),0)</f>
        <v>0</v>
      </c>
      <c r="GB202" s="43" t="n">
        <f aca="false">Tasks[[#This Row],[_WorkPerWorkday]]*(Tasks[[#This Row],[_StartWorkday]]-1)</f>
        <v>-0</v>
      </c>
      <c r="GC202" s="43" t="n">
        <f aca="false">IF(Tasks[[#This Row],[_IsLeaf]]=1,MAX(N(Tasks[[#This Row],[_Days]]),0.1),0)</f>
        <v>0</v>
      </c>
      <c r="GD202" s="43" t="n">
        <f aca="false">Tasks[[#This Row],[_WeightDur]]*Tasks[[#This Row],[_LeafProgress]]</f>
        <v>0</v>
      </c>
      <c r="GE202" s="43" t="n">
        <f aca="false">Tasks[[#This Row],[_WeightDur]]*Tasks[[#This Row],[_PlannedPct]]</f>
        <v>0</v>
      </c>
      <c r="GF2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3" t="str">
        <f aca="false">IF(AND(Tasks[[#This Row],[_IsLeaf]]=1,N(Tasks[[#This Row],[_Days]])=0,Tasks[[#This Row],[_LeafProgress]]&lt;1),Tasks[[#This Row],[_ShownFcstFinish]]+Tasks[[#This Row],[_Row]]/100000,"")</f>
        <v/>
      </c>
      <c r="GH2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2" s="43" t="str">
        <f aca="false">IF(Tasks[[#This Row],[Task Name]]="","",LEFT(Tasks[[#This Row],[WBS]],FIND(".",Tasks[[#This Row],[WBS]]&amp;".")-1))</f>
        <v/>
      </c>
      <c r="GJ202" s="43" t="str">
        <f aca="false">IF(AND(Tasks[[#This Row],[Task Name]]&lt;&gt;"",Tasks[[#This Row],[_Level]]=1),Tasks[[#This Row],[_Row]],"")</f>
        <v/>
      </c>
      <c r="GK202" s="43" t="str">
        <f aca="false">IF(AND(Tasks[[#This Row],[_IsLeaf]]=1,N(Tasks[[#This Row],[_Days]])=0),Tasks[[#This Row],[Planned Finish]]+Tasks[[#This Row],[_Row]]/100000,"")</f>
        <v/>
      </c>
      <c r="GL202" s="43" t="str">
        <f aca="false">IF(AND(Tasks[[#This Row],[_IsLeaf]]=1,Tasks[[#This Row],[_LeafProgress]]&lt;1,OR(N(Tasks[[#This Row],[Finish Var]])&gt;0,Tasks[[#This Row],[Status]]="Late Start")),MAX(0,Tasks[[#This Row],[Finish Var]])+1-Tasks[[#This Row],[_Row]]/1000000,"")</f>
        <v/>
      </c>
      <c r="GM202" s="43" t="str">
        <f aca="false">IF(AND(Tasks[[#This Row],[_IsLeaf]]=1,N(Tasks[[#This Row],[Actual Start]])=0,Tasks[[#This Row],[_ShownFcstStart]]&gt;=StatusDate,Tasks[[#This Row],[_ShownFcstStart]]&lt;=LookaheadEnd),Tasks[[#This Row],[_ShownFcstStart]]+Tasks[[#This Row],[_Row]]/100000,"")</f>
        <v/>
      </c>
      <c r="GN202" s="43" t="str">
        <f aca="false">IF(AND(Tasks[[#This Row],[_IsLeaf]]=1,Tasks[[#This Row],[_LeafProgress]]&lt;1,Tasks[[#This Row],[_ShownFcstFinish]]&gt;=StatusDate,Tasks[[#This Row],[_ShownFcstFinish]]&lt;=LookaheadEnd),Tasks[[#This Row],[_ShownFcstFinish]]+Tasks[[#This Row],[_Row]]/100000,"")</f>
        <v/>
      </c>
      <c r="GO202" s="43" t="str">
        <f aca="false">IF(Tasks[[#This Row],[_LeafCritical]],Tasks[[#This Row],[_ShownFcstStart]]+Tasks[[#This Row],[_Row]]/100000,"")</f>
        <v/>
      </c>
      <c r="GP202" s="43" t="n">
        <f aca="false">Tasks[[#This Row],[_LeafWork]]*Tasks[[#This Row],[_LeafProgress]]</f>
        <v>0</v>
      </c>
      <c r="GQ202" s="91" t="str">
        <f aca="false">IF(AND(Tasks[[#This Row],[_IsLeaf]]=1,Tasks[[#This Row],[_LeafProgress]]&gt;=1),IF(N(Tasks[[#This Row],[Actual Finish]])&gt;0,Tasks[[#This Row],[Actual Finish]],Tasks[[#This Row],[_ShownFcstFinish]]),"")</f>
        <v/>
      </c>
      <c r="GR202" s="43" t="n">
        <f aca="false">IF(Tasks[[#This Row],[_IsLeaf]]=1,N(Tasks[[#This Row],[Story Points]]),0)</f>
        <v>0</v>
      </c>
      <c r="GS202" s="43" t="str">
        <f aca="false">""</f>
        <v/>
      </c>
      <c r="GT202" s="90" t="b">
        <f aca="false">IF(Tasks[[#This Row],[Task Name]]="",FALSE(),AND(Tasks[[#This Row],[_IsLeaf]]=1,N(Tasks[[#This Row],[_Days]])=0))</f>
        <v>0</v>
      </c>
      <c r="GU202" s="91" t="n">
        <f aca="false">IF(Tasks[[#This Row],[Task Name]]="",0,IF(AND(Tasks[[#This Row],[_IsLeaf]]=1,NOT(Tasks[[#This Row],[_IsMilestone]]),N(Tasks[[#This Row],[Progress]])&gt;0),Tasks[[#This Row],[Start]],0))</f>
        <v>0</v>
      </c>
      <c r="GV202" s="91" t="n">
        <f aca="false">IF(Tasks[[#This Row],[_DoneFrom]]=0,0,IF(Tasks[[#This Row],[Progress]]&gt;=1,Tasks[[#This Row],[Finish]],MAX(Tasks[[#This Row],[_DoneFrom]],Tasks[[#This Row],[Start]]+ROUND((Tasks[[#This Row],[Finish]]-Tasks[[#This Row],[Start]]+1)*Tasks[[#This Row],[Progress]],0)-1)))</f>
        <v>0</v>
      </c>
      <c r="GW202" s="91" t="n">
        <f aca="false">IF(Tasks[[#This Row],[Task Name]]="",0,IF(OR(NOT(Tasks[[#This Row],[_IsLeaf]]=1),Tasks[[#This Row],[_IsMilestone]],N(Tasks[[#This Row],[Progress]])&gt;=1),0,IF(Tasks[[#This Row],[_DoneTo]]&gt;0,Tasks[[#This Row],[_DoneTo]]+1,Tasks[[#This Row],[Start]])))</f>
        <v>0</v>
      </c>
      <c r="GX202" s="91" t="n">
        <f aca="false">IF(Tasks[[#This Row],[_RemFrom]]=0,0,Tasks[[#This Row],[Finish]])</f>
        <v>0</v>
      </c>
      <c r="GY202" s="90" t="b">
        <f aca="false">IF(Tasks[[#This Row],[Task Name]]="",FALSE(),OR(NOT(BaselineSet),N(Tasks[[#This Row],[Baseline Start]])&gt;0))</f>
        <v>0</v>
      </c>
      <c r="GZ20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92" t="str">
        <f aca="false">IF(Tasks[[#This Row],[_IsLeaf]]=1,Tasks[[#This Row],[_Row]],"")</f>
        <v/>
      </c>
      <c r="HD202" s="92" t="str">
        <f aca="false">IFERROR(INDEX(Tasks[UID],SMALL(Tasks[_PickKey],Tasks[[#This Row],[_Row]]))&amp;" "&amp;INDEX(Tasks[Task Name],SMALL(Tasks[_PickKey],Tasks[[#This Row],[_Row]])),"")</f>
        <v/>
      </c>
      <c r="HE202" s="43" t="str">
        <f aca="false">IF(Tasks[[#This Row],[Task Name]]="","",IF(Tasks[[#This Row],[_IsSummary]],NETWORKDAYS.INTL(Tasks[[#This Row],[Start]],Tasks[[#This Row],[Finish]],WorkWeek,Holidays),N(Tasks[[#This Row],[_Days]])))</f>
        <v/>
      </c>
      <c r="HF202" s="43" t="n">
        <f aca="false">IF(Tasks[[#This Row],[Expected]]="",0,((Tasks[[#This Row],[Pessimistic]]-Tasks[[#This Row],[Optimistic]])/6)^2)</f>
        <v>0</v>
      </c>
      <c r="HG202" s="43" t="n">
        <f aca="false">IF(Tasks[[#This Row],[Expected]]="",0,Tasks[[#This Row],[Expected]]-N(Tasks[[#This Row],[_Days]]))</f>
        <v>0</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4"/>
      <c r="U203" s="23"/>
      <c r="V203" s="84"/>
      <c r="W203" s="23"/>
      <c r="X203" s="84"/>
      <c r="Y203" s="23"/>
      <c r="Z203" s="84"/>
      <c r="AA203" s="23"/>
      <c r="AB203" s="23"/>
      <c r="AC203" s="7"/>
      <c r="AD203" s="7"/>
      <c r="AE203" s="63" t="str">
        <f aca="false">IF(Tasks[[#This Row],[Task Name]]="","",IF(Tasks[[#This Row],[_IsSummary]],MIN(INDEX(Tasks[_ShownFcstStart],Tasks[[#This Row],[_Row]]+1):INDEX(Tasks[_ShownFcstStart],Tasks[[#This Row],[_Row]]+Tasks[[#This Row],[_Descendants]])),Tasks[[#This Row],[_ShownFcstStart]]))</f>
        <v/>
      </c>
      <c r="AF203" s="63"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3" s="7"/>
      <c r="AK203" s="22"/>
      <c r="AL203" s="23"/>
      <c r="AM203" s="7"/>
      <c r="AN203" s="47"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3" t="str">
        <f aca="false">IF(Tasks[[#This Row],[Task Name]]="","",IF(N(Tasks[[#This Row],[Baseline Start]])&gt;0,Tasks[[#This Row],[Baseline Start]],Tasks[[#This Row],[_CalcStart]]))</f>
        <v/>
      </c>
      <c r="AR203" s="63" t="str">
        <f aca="false">IF(Tasks[[#This Row],[Task Name]]="","",IF(N(Tasks[[#This Row],[Baseline Finish]])&gt;0,Tasks[[#This Row],[Baseline Finish]],Tasks[[#This Row],[_CalcFinish]]))</f>
        <v/>
      </c>
      <c r="AS203" s="47" t="str">
        <f aca="false">IF(Tasks[[#This Row],[Task Name]]="","",IF(Tasks[[#This Row],[Start]]&gt;=Tasks[[#This Row],[Planned Start]],NETWORKDAYS.INTL(Tasks[[#This Row],[Planned Start]],Tasks[[#This Row],[Start]],WorkWeek,Holidays)-1,1-NETWORKDAYS.INTL(Tasks[[#This Row],[Start]],Tasks[[#This Row],[Planned Start]],WorkWeek,Holidays)))</f>
        <v/>
      </c>
      <c r="AT203" s="63" t="str">
        <f aca="false">IF(Tasks[[#This Row],[Task Name]]="","",IF(Tasks[[#This Row],[_IsSummary]],MIN(INDEX(Tasks[_LeafLateStart],Tasks[[#This Row],[_Row]]+1):INDEX(Tasks[_LeafLateStart],Tasks[[#This Row],[_Row]]+Tasks[[#This Row],[_Descendants]])),Tasks[[#This Row],[_LeafLateStart]]))</f>
        <v/>
      </c>
      <c r="AU203" s="63" t="str">
        <f aca="false">IF(Tasks[[#This Row],[Task Name]]="","",IF(Tasks[[#This Row],[_IsSummary]],MAX(INDEX(Tasks[_LeafLateFinish],Tasks[[#This Row],[_Row]]+1):INDEX(Tasks[_LeafLateFinish],Tasks[[#This Row],[_Row]]+Tasks[[#This Row],[_Descendants]])),Tasks[[#This Row],[_LeafLateFinish]]))</f>
        <v/>
      </c>
      <c r="AV203" s="47"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5"/>
      <c r="BA2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6"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7"/>
      <c r="BJ203" s="22"/>
      <c r="BK203" s="47" t="str">
        <f aca="false">IF(OR(Tasks[[#This Row],[Task Name]]="",Tasks[[#This Row],[Baseline Duration]]=""),"",Tasks[[#This Row],[_SpanDays]]-N(Tasks[[#This Row],[Baseline Duration]]))</f>
        <v/>
      </c>
      <c r="BL203" s="86" t="str">
        <f aca="false">IF(OR(Tasks[[#This Row],[Task Name]]="",Tasks[[#This Row],[Baseline Work]]=""),"",Tasks[[#This Row],[Work]]-N(Tasks[[#This Row],[Baseline Work]]))</f>
        <v/>
      </c>
      <c r="BM203" s="63" t="str">
        <f aca="false">IF(Tasks[[#This Row],[Task Name]]="","",IF(OR(TakeBaseline="Yes",N(Tasks[[#This Row],[Baseline Start]])=0),Tasks[[#This Row],[Start]],Tasks[[#This Row],[Baseline Start]]))</f>
        <v/>
      </c>
      <c r="BN203" s="63" t="str">
        <f aca="false">IF(Tasks[[#This Row],[Task Name]]="","",IF(OR(TakeBaseline="Yes",N(Tasks[[#This Row],[Baseline Finish]])=0),Tasks[[#This Row],[Finish]],Tasks[[#This Row],[Baseline Finish]]))</f>
        <v/>
      </c>
      <c r="BO203" s="21" t="str">
        <f aca="false">IF(Tasks[[#This Row],[Task Name]]="","",IF(OR(TakeBaseline="Yes",N(Tasks[[#This Row],[Baseline Duration]])=0),Tasks[[#This Row],[_SpanDays]],Tasks[[#This Row],[Baseline Duration]]))</f>
        <v/>
      </c>
      <c r="BP203" s="86" t="str">
        <f aca="false">IF(Tasks[[#This Row],[Task Name]]="","",IF(OR(TakeBaseline="Yes",N(Tasks[[#This Row],[Baseline Work]])=0),Tasks[[#This Row],[Work]],Tasks[[#This Row],[Baseline Work]]))</f>
        <v/>
      </c>
      <c r="BQ203" s="7"/>
      <c r="BR203" s="7"/>
      <c r="BS203" s="22"/>
      <c r="BT203" s="88"/>
      <c r="BU203" s="23"/>
      <c r="BV203" s="23"/>
      <c r="BW203" s="23"/>
      <c r="BX203" s="89" t="str">
        <f aca="false">IF(AND(Tasks[[#This Row],[_IsLeaf]]=1,ISNUMBER(Tasks[[#This Row],[Optimistic]]),ISNUMBER(Tasks[[#This Row],[Pessimistic]])),ROUND((Tasks[[#This Row],[Optimistic]]+4*N(Tasks[[#This Row],[_Days]])+Tasks[[#This Row],[Pessimistic]])/6,1),"")</f>
        <v/>
      </c>
      <c r="BY203" s="87"/>
      <c r="BZ203" s="87"/>
      <c r="CA203" s="22"/>
      <c r="CB203" s="43" t="str">
        <f aca="false">IF(Tasks[[#This Row],[Task Name]]="","",MAX(1,N(Tasks[[#This Row],[Level]])))</f>
        <v/>
      </c>
      <c r="CC203" s="43" t="n">
        <f aca="false">ROW()-ROW(Tasks[[#Headers],[ID]])</f>
        <v>198</v>
      </c>
      <c r="CD203" s="43" t="n">
        <f aca="false">IF(OR(Tasks[[#This Row],[Task Name]]="",Tasks[[#This Row],[_Level]]&lt;=1),0,IFERROR(LOOKUP(2,1/(Tasks[[#Headers],[_Level]]:Tasks[[#This Row],[_Level]]=Tasks[[#This Row],[_Level]]-1),ROW(Tasks[[#Headers],[_Level]]:Tasks[[#This Row],[_Level]])),0))</f>
        <v>0</v>
      </c>
      <c r="CE203" s="43" t="n">
        <f aca="false">IFERROR(N(INDEX(Tasks[_Level],Tasks[[#This Row],[_Row]]+1)),0)</f>
        <v>0</v>
      </c>
      <c r="CF203" s="90" t="b">
        <f aca="false">AND(Tasks[[#This Row],[Task Name]]&lt;&gt;"",Tasks[[#This Row],[_NextLevel]]&gt;Tasks[[#This Row],[_Level]])</f>
        <v>0</v>
      </c>
      <c r="CG203" s="43" t="n">
        <f aca="false">IF(Tasks[[#This Row],[_IsSummary]],COUNTIF(Tasks[WBS],Tasks[[#This Row],[WBS]]&amp;".*"),0)</f>
        <v>0</v>
      </c>
      <c r="CH203" s="43" t="n">
        <f aca="false">IF(AND(Tasks[[#This Row],[Task Name]]&lt;&gt;"",NOT(Tasks[[#This Row],[_IsSummary]])),1,0)</f>
        <v>0</v>
      </c>
      <c r="CI203" s="43" t="n">
        <f aca="false">IF(N(Tasks[[#This Row],[_Pred1UID]])=0,0,IFERROR(MATCH(Tasks[[#This Row],[_Pred1UID]],Tasks[UID],0),-1))</f>
        <v>0</v>
      </c>
      <c r="CJ203" s="43" t="n">
        <f aca="false">IF(N(Tasks[[#This Row],[_Pred2UID]])=0,0,IFERROR(MATCH(Tasks[[#This Row],[_Pred2UID]],Tasks[UID],0),-1))</f>
        <v>0</v>
      </c>
      <c r="CK203" s="43" t="n">
        <f aca="false">IF(N(Tasks[[#This Row],[_Pred3UID]])=0,0,IFERROR(MATCH(Tasks[[#This Row],[_Pred3UID]],Tasks[UID],0),-1))</f>
        <v>0</v>
      </c>
      <c r="CL203" s="43" t="n">
        <f aca="false">IF(N(Tasks[[#This Row],[_Pred4UID]])=0,0,IFERROR(MATCH(Tasks[[#This Row],[_Pred4UID]],Tasks[UID],0),-1))</f>
        <v>0</v>
      </c>
      <c r="CM2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3" s="91" t="n">
        <f aca="false">IF(OR(Tasks[[#This Row],[_ConstraintCode]]=2,Tasks[[#This Row],[_ConstraintCode]]=3,Tasks[[#This Row],[_ConstraintCode]]=4,Tasks[[#This Row],[_ConstraintCode]]=6),Tasks[[#This Row],[_ConstraintStart]],0)</f>
        <v>0</v>
      </c>
      <c r="CP203" s="91" t="n">
        <f aca="false">IF(OR(Tasks[[#This Row],[_ConstraintCode]]=2,Tasks[[#This Row],[_ConstraintCode]]=3,Tasks[[#This Row],[_ConstraintCode]]=5,Tasks[[#This Row],[_ConstraintCode]]=7),Tasks[[#This Row],[_ConstraintStart]],2958465)</f>
        <v>2958465</v>
      </c>
      <c r="CQ2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91" t="str">
        <f aca="false">IF(NOT(Tasks[[#This Row],[_IsLeaf]]=1),"",IF(N(Tasks[[#This Row],[_Days]])&lt;=0,Tasks[[#This Row],[_LeafCalcStart]],WORKDAY.INTL(Tasks[[#This Row],[_LeafCalcStart]],Tasks[[#This Row],[_Days]]-1,WorkWeek,Holidays)))</f>
        <v/>
      </c>
      <c r="CS2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3" t="str">
        <f aca="false">IF(Tasks[[#This Row],[_Predecessors]]="","",TRIM(MID(SUBSTITUTE(SUBSTITUTE(SUBSTITUTE(UPPER(Tasks[[#This Row],[_Predecessors]]),";",",")," ",""),",",REPT(" ",99)),1,99)))</f>
        <v/>
      </c>
      <c r="CV203" s="43" t="str">
        <f aca="false">IF(Tasks[[#This Row],[_Pred1Text]]="","",IFERROR(VALUE(LEFT(Tasks[[#This Row],[_Pred1Text]],MIN(FIND("F",Tasks[[#This Row],[_Pred1Text]]&amp;"F"),FIND("S",Tasks[[#This Row],[_Pred1Text]]&amp;"S"),FIND("+",Tasks[[#This Row],[_Pred1Text]]&amp;"+"),FIND("-",Tasks[[#This Row],[_Pred1Text]]&amp;"-"))-1)),""))</f>
        <v/>
      </c>
      <c r="CW2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3" t="str">
        <f aca="false">IF(Tasks[[#This Row],[_Pred1Text]]="","",TRIM(MID(SUBSTITUTE(SUBSTITUTE(SUBSTITUTE(UPPER(Tasks[[#This Row],[_Predecessors]]),";",",")," ",""),",",REPT(" ",99)),100,99)))</f>
        <v/>
      </c>
      <c r="CZ203" s="43" t="str">
        <f aca="false">IF(Tasks[[#This Row],[_Pred2Text]]="","",IFERROR(VALUE(LEFT(Tasks[[#This Row],[_Pred2Text]],MIN(FIND("F",Tasks[[#This Row],[_Pred2Text]]&amp;"F"),FIND("S",Tasks[[#This Row],[_Pred2Text]]&amp;"S"),FIND("+",Tasks[[#This Row],[_Pred2Text]]&amp;"+"),FIND("-",Tasks[[#This Row],[_Pred2Text]]&amp;"-"))-1)),""))</f>
        <v/>
      </c>
      <c r="DA2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3" t="str">
        <f aca="false">IF(Tasks[[#This Row],[_Pred2Text]]="","",TRIM(MID(SUBSTITUTE(SUBSTITUTE(SUBSTITUTE(UPPER(Tasks[[#This Row],[_Predecessors]]),";",",")," ",""),",",REPT(" ",99)),199,99)))</f>
        <v/>
      </c>
      <c r="DD203" s="43" t="str">
        <f aca="false">IF(Tasks[[#This Row],[_Pred3Text]]="","",IFERROR(VALUE(LEFT(Tasks[[#This Row],[_Pred3Text]],MIN(FIND("F",Tasks[[#This Row],[_Pred3Text]]&amp;"F"),FIND("S",Tasks[[#This Row],[_Pred3Text]]&amp;"S"),FIND("+",Tasks[[#This Row],[_Pred3Text]]&amp;"+"),FIND("-",Tasks[[#This Row],[_Pred3Text]]&amp;"-"))-1)),""))</f>
        <v/>
      </c>
      <c r="DE2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3" t="str">
        <f aca="false">IF(Tasks[[#This Row],[_Pred3Text]]="","",TRIM(MID(SUBSTITUTE(SUBSTITUTE(SUBSTITUTE(UPPER(Tasks[[#This Row],[_Predecessors]]),";",",")," ",""),",",REPT(" ",99)),298,99)))</f>
        <v/>
      </c>
      <c r="DH203" s="43" t="str">
        <f aca="false">IF(Tasks[[#This Row],[_Pred4Text]]="","",IFERROR(VALUE(LEFT(Tasks[[#This Row],[_Pred4Text]],MIN(FIND("F",Tasks[[#This Row],[_Pred4Text]]&amp;"F"),FIND("S",Tasks[[#This Row],[_Pred4Text]]&amp;"S"),FIND("+",Tasks[[#This Row],[_Pred4Text]]&amp;"+"),FIND("-",Tasks[[#This Row],[_Pred4Text]]&amp;"-"))-1)),""))</f>
        <v/>
      </c>
      <c r="DI2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3" t="str">
        <f aca="false">IF(OR(Tasks[[#This Row],[Task Name]]="",Tasks[[#This Row],[_Resources]]=""),"",TRIM(MID(SUBSTITUTE(Tasks[[#This Row],[_Resources]],",",REPT(" ",99)),1,99)))</f>
        <v/>
      </c>
      <c r="DL203" s="43" t="str">
        <f aca="false">IF(Tasks[[#This Row],[_Res1Text]]="","",TRIM(MID(SUBSTITUTE(Tasks[[#This Row],[_Resources]],",",REPT(" ",99)),100,99)))</f>
        <v/>
      </c>
      <c r="DM203" s="43" t="str">
        <f aca="false">IF(Tasks[[#This Row],[_Res2Text]]="","",TRIM(MID(SUBSTITUTE(Tasks[[#This Row],[_Resources]],",",REPT(" ",99)),199,99)))</f>
        <v/>
      </c>
      <c r="DN203" s="43" t="str">
        <f aca="false">IF(Tasks[[#This Row],[_Res3Text]]="","",TRIM(MID(SUBSTITUTE(Tasks[[#This Row],[_Resources]],",",REPT(" ",99)),298,99)))</f>
        <v/>
      </c>
      <c r="DO203" s="43" t="n">
        <f aca="false">IF(Tasks[[#This Row],[_Res1Text]]="",0,IFERROR(MATCH(TRIM(LEFT(Tasks[[#This Row],[_Res1Text]],FIND("[",Tasks[[#This Row],[_Res1Text]]&amp;"[")-1)),res_Name,0),IFERROR(MATCH(TRIM(LEFT(Tasks[[#This Row],[_Res1Text]],FIND("[",Tasks[[#This Row],[_Res1Text]]&amp;"[")-1)),res_Initials,0),0)))</f>
        <v>0</v>
      </c>
      <c r="DP203" s="43" t="n">
        <f aca="false">IF(Tasks[[#This Row],[_Res2Text]]="",0,IFERROR(MATCH(TRIM(LEFT(Tasks[[#This Row],[_Res2Text]],FIND("[",Tasks[[#This Row],[_Res2Text]]&amp;"[")-1)),res_Name,0),IFERROR(MATCH(TRIM(LEFT(Tasks[[#This Row],[_Res2Text]],FIND("[",Tasks[[#This Row],[_Res2Text]]&amp;"[")-1)),res_Initials,0),0)))</f>
        <v>0</v>
      </c>
      <c r="DQ203" s="43" t="n">
        <f aca="false">IF(Tasks[[#This Row],[_Res3Text]]="",0,IFERROR(MATCH(TRIM(LEFT(Tasks[[#This Row],[_Res3Text]],FIND("[",Tasks[[#This Row],[_Res3Text]]&amp;"[")-1)),res_Name,0),IFERROR(MATCH(TRIM(LEFT(Tasks[[#This Row],[_Res3Text]],FIND("[",Tasks[[#This Row],[_Res3Text]]&amp;"[")-1)),res_Initials,0),0)))</f>
        <v>0</v>
      </c>
      <c r="DR203" s="43" t="n">
        <f aca="false">IF(Tasks[[#This Row],[_Res4Text]]="",0,IFERROR(MATCH(TRIM(LEFT(Tasks[[#This Row],[_Res4Text]],FIND("[",Tasks[[#This Row],[_Res4Text]]&amp;"[")-1)),res_Name,0),IFERROR(MATCH(TRIM(LEFT(Tasks[[#This Row],[_Res4Text]],FIND("[",Tasks[[#This Row],[_Res4Text]]&amp;"[")-1)),res_Initials,0),0)))</f>
        <v>0</v>
      </c>
      <c r="DS203" s="43" t="str">
        <f aca="false">IF(Tasks[[#This Row],[_Res1Text]]="","",IF(Tasks[[#This Row],[_Res1Row]]&gt;0,INDEX(res_Name,Tasks[[#This Row],[_Res1Row]]),TRIM(LEFT(Tasks[[#This Row],[_Res1Text]],FIND("[",Tasks[[#This Row],[_Res1Text]]&amp;"[")-1))))</f>
        <v/>
      </c>
      <c r="DT2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3" t="n">
        <f aca="false">IF(NOT(Tasks[[#This Row],[_IsLeaf]]=1),0,(Tasks[[#This Row],[_Resource1]]&lt;&gt;"")+(Tasks[[#This Row],[_Res2]]&lt;&gt;"")+(Tasks[[#This Row],[_Res3]]&lt;&gt;"")+(Tasks[[#This Row],[_Res4]]&lt;&gt;""))</f>
        <v>0</v>
      </c>
      <c r="DV203" s="43" t="str">
        <f aca="false">IF(Tasks[[#This Row],[_Res2Text]]="","",IF(Tasks[[#This Row],[_Res2Row]]&gt;0,INDEX(res_Name,Tasks[[#This Row],[_Res2Row]]),TRIM(LEFT(Tasks[[#This Row],[_Res2Text]],FIND("[",Tasks[[#This Row],[_Res2Text]]&amp;"[")-1))))</f>
        <v/>
      </c>
      <c r="DW2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3" t="n">
        <f aca="false">IF(OR(NOT(Tasks[[#This Row],[_IsLeaf]]=1),Tasks[[#This Row],[_Res2Row]]=0),0,N(Tasks[[#This Row],[_Days]])*HoursPerDay*IF(Tasks[[#This Row],[_Res2Units]]="",DefaultUnits,Tasks[[#This Row],[_Res2Units]]))</f>
        <v>0</v>
      </c>
      <c r="DY203" s="43" t="n">
        <f aca="false">IF(AND(AND(Tasks[[#This Row],[_IsLeaf]]=1,Tasks[[#This Row],[_LeafTotalWork]]&gt;0),Tasks[[#This Row],[_Res2Work]]&gt;0),Tasks[[#This Row],[_Res2Work]]/(Tasks[[#This Row],[_FinishWorkday]]-Tasks[[#This Row],[_StartWorkday]]+1),0)</f>
        <v>0</v>
      </c>
      <c r="DZ203" s="43" t="n">
        <f aca="false">Tasks[[#This Row],[_Res2WorkPerWD]]*MAX(0,Tasks[[#This Row],[_StartWorkday]]-1)</f>
        <v>0</v>
      </c>
      <c r="EA203" s="43" t="n">
        <f aca="false">Tasks[[#This Row],[_Res2Work]]*Tasks[[#This Row],[_LeafProgress]]</f>
        <v>0</v>
      </c>
      <c r="EB203" s="43" t="str">
        <f aca="false">IF(Tasks[[#This Row],[_Res3Text]]="","",IF(Tasks[[#This Row],[_Res3Row]]&gt;0,INDEX(res_Name,Tasks[[#This Row],[_Res3Row]]),TRIM(LEFT(Tasks[[#This Row],[_Res3Text]],FIND("[",Tasks[[#This Row],[_Res3Text]]&amp;"[")-1))))</f>
        <v/>
      </c>
      <c r="EC2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3" t="n">
        <f aca="false">IF(OR(NOT(Tasks[[#This Row],[_IsLeaf]]=1),Tasks[[#This Row],[_Res3Row]]=0),0,N(Tasks[[#This Row],[_Days]])*HoursPerDay*IF(Tasks[[#This Row],[_Res3Units]]="",DefaultUnits,Tasks[[#This Row],[_Res3Units]]))</f>
        <v>0</v>
      </c>
      <c r="EE203" s="43" t="n">
        <f aca="false">IF(AND(AND(Tasks[[#This Row],[_IsLeaf]]=1,Tasks[[#This Row],[_LeafTotalWork]]&gt;0),Tasks[[#This Row],[_Res3Work]]&gt;0),Tasks[[#This Row],[_Res3Work]]/(Tasks[[#This Row],[_FinishWorkday]]-Tasks[[#This Row],[_StartWorkday]]+1),0)</f>
        <v>0</v>
      </c>
      <c r="EF203" s="43" t="n">
        <f aca="false">Tasks[[#This Row],[_Res3WorkPerWD]]*MAX(0,Tasks[[#This Row],[_StartWorkday]]-1)</f>
        <v>0</v>
      </c>
      <c r="EG203" s="43" t="n">
        <f aca="false">Tasks[[#This Row],[_Res3Work]]*Tasks[[#This Row],[_LeafProgress]]</f>
        <v>0</v>
      </c>
      <c r="EH203" s="43" t="str">
        <f aca="false">IF(Tasks[[#This Row],[_Res4Text]]="","",IF(Tasks[[#This Row],[_Res4Row]]&gt;0,INDEX(res_Name,Tasks[[#This Row],[_Res4Row]]),TRIM(LEFT(Tasks[[#This Row],[_Res4Text]],FIND("[",Tasks[[#This Row],[_Res4Text]]&amp;"[")-1))))</f>
        <v/>
      </c>
      <c r="EI2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3" t="n">
        <f aca="false">IF(OR(NOT(Tasks[[#This Row],[_IsLeaf]]=1),Tasks[[#This Row],[_Res4Row]]=0),0,N(Tasks[[#This Row],[_Days]])*HoursPerDay*IF(Tasks[[#This Row],[_Res4Units]]="",DefaultUnits,Tasks[[#This Row],[_Res4Units]]))</f>
        <v>0</v>
      </c>
      <c r="EK203" s="43" t="n">
        <f aca="false">IF(AND(AND(Tasks[[#This Row],[_IsLeaf]]=1,Tasks[[#This Row],[_LeafTotalWork]]&gt;0),Tasks[[#This Row],[_Res4Work]]&gt;0),Tasks[[#This Row],[_Res4Work]]/(Tasks[[#This Row],[_FinishWorkday]]-Tasks[[#This Row],[_StartWorkday]]+1),0)</f>
        <v>0</v>
      </c>
      <c r="EL203" s="43" t="n">
        <f aca="false">Tasks[[#This Row],[_Res4WorkPerWD]]*MAX(0,Tasks[[#This Row],[_StartWorkday]]-1)</f>
        <v>0</v>
      </c>
      <c r="EM203" s="43" t="n">
        <f aca="false">Tasks[[#This Row],[_Res4Work]]*Tasks[[#This Row],[_LeafProgress]]</f>
        <v>0</v>
      </c>
      <c r="EN203" s="43" t="n">
        <f aca="false">IF(ISNUMBER(Tasks[[#This Row],[% Complete]]),Tasks[[#This Row],[% Complete]],IF(Tasks[[#This Row],[Stage]]="",0,IFERROR(INDEX(stg_Pct,MATCH(Tasks[[#This Row],[Stage]],stg_Name,0)),0)))</f>
        <v>0</v>
      </c>
      <c r="EO203" s="43" t="n">
        <f aca="false">IF(NOT(Tasks[[#This Row],[_IsLeaf]]=1),0,IF(N(Tasks[[#This Row],[Actual Finish]])&gt;0,1,MIN(1,Tasks[[#This Row],[_Pct]])))</f>
        <v>0</v>
      </c>
      <c r="EP203" s="43" t="n">
        <f aca="false">IF(OR(NOT(Tasks[[#This Row],[_IsLeaf]]=1),Tasks[[#This Row],[_Res1Row]]=0),0,N(Tasks[[#This Row],[_Days]])*HoursPerDay*IF(Tasks[[#This Row],[_Units1]]="",DefaultUnits,Tasks[[#This Row],[_Units1]]))</f>
        <v>0</v>
      </c>
      <c r="EQ203" s="43" t="n">
        <f aca="false">Tasks[[#This Row],[_LeafWork]]+Tasks[[#This Row],[_Res2Work]]+Tasks[[#This Row],[_Res3Work]]+Tasks[[#This Row],[_Res4Work]]</f>
        <v>0</v>
      </c>
      <c r="ER2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3" t="n">
        <f aca="false">IF(NOT(Tasks[[#This Row],[_IsLeaf]]=1),0,MAX(_xlfn.MAXIFS(Tasks[_Row],Tasks[_Pred1UID],Tasks[[#This Row],[UID]]),_xlfn.MAXIFS(Tasks[_Row],Tasks[_Pred2UID],Tasks[[#This Row],[UID]]),_xlfn.MAXIFS(Tasks[_Row],Tasks[_Pred3UID],Tasks[[#This Row],[UID]]),_xlfn.MAXIFS(Tasks[_Row],Tasks[_Pred4UID],Tasks[[#This Row],[UID]])))</f>
        <v>0</v>
      </c>
      <c r="FA2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91" t="str">
        <f aca="false">IF(NOT(Tasks[[#This Row],[_IsLeaf]]=1),"",IF(N(Tasks[[#This Row],[_Days]])&lt;=0,Tasks[[#This Row],[_LeafLateFinish]],WORKDAY.INTL(Tasks[[#This Row],[_LeafLateFinish]],-(Tasks[[#This Row],[_Days]]-1),WorkWeek,Holidays)))</f>
        <v/>
      </c>
      <c r="FD2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3" s="90" t="b">
        <f aca="false">AND(Tasks[[#This Row],[_IsLeaf]]=1,Tasks[[#This Row],[_LeafProgress]]&lt;1,N(Tasks[[#This Row],[_LeafTotalSlack]])&lt;=CriticalSlackDays)</f>
        <v>0</v>
      </c>
      <c r="FF203" s="43" t="n">
        <f aca="false">IF(AND(Tasks[[#This Row],[_IsLeaf]]=1,Tasks[[#This Row],[_ConstraintCode]]=1,Tasks[[#This Row],[Mode]]&lt;&gt;"Manual",N(Tasks[[#This Row],[Actual Start]])=0),MAX(0,N(Tasks[[#This Row],[Free Slack]])),0)</f>
        <v>0</v>
      </c>
      <c r="FG203" s="91" t="str">
        <f aca="false">IF(NOT(Tasks[[#This Row],[_IsLeaf]]=1),"",IF(Tasks[[#This Row],[_AlapShift]]=0,Tasks[[#This Row],[_LeafCalcStart]],WORKDAY.INTL(Tasks[[#This Row],[_LeafCalcStart]],Tasks[[#This Row],[_AlapShift]],WorkWeek,Holidays)))</f>
        <v/>
      </c>
      <c r="FH203" s="91" t="str">
        <f aca="false">IF(NOT(Tasks[[#This Row],[_IsLeaf]]=1),"",IF(Tasks[[#This Row],[_AlapShift]]=0,Tasks[[#This Row],[_LeafCalcFinish]],WORKDAY.INTL(Tasks[[#This Row],[_LeafCalcFinish]],Tasks[[#This Row],[_AlapShift]],WorkWeek,Holidays)))</f>
        <v/>
      </c>
      <c r="FI203" s="91" t="str">
        <f aca="false">IF(NOT(Tasks[[#This Row],[_IsLeaf]]=1),"",IF(Tasks[[#This Row],[_AlapShift]]=0,Tasks[[#This Row],[_LeafFcstStart]],WORKDAY.INTL(Tasks[[#This Row],[_LeafFcstStart]],Tasks[[#This Row],[_AlapShift]],WorkWeek,Holidays)))</f>
        <v/>
      </c>
      <c r="FJ203" s="91" t="str">
        <f aca="false">IF(NOT(Tasks[[#This Row],[_IsLeaf]]=1),"",IF(Tasks[[#This Row],[_AlapShift]]=0,Tasks[[#This Row],[_LeafFcstFinish]],WORKDAY.INTL(Tasks[[#This Row],[_LeafFcstFinish]],Tasks[[#This Row],[_AlapShift]],WorkWeek,Holidays)))</f>
        <v/>
      </c>
      <c r="FK203" s="91" t="str">
        <f aca="false">IF(Tasks[[#This Row],[Task Name]]="","",IF(Tasks[[#This Row],[_IsSummary]],MIN(INDEX(Tasks[_ShownCalcStart],Tasks[[#This Row],[_Row]]+1):INDEX(Tasks[_ShownCalcStart],Tasks[[#This Row],[_Row]]+Tasks[[#This Row],[_Descendants]])),Tasks[[#This Row],[_ShownCalcStart]]))</f>
        <v/>
      </c>
      <c r="FL203" s="91" t="str">
        <f aca="false">IF(Tasks[[#This Row],[Task Name]]="","",IF(Tasks[[#This Row],[_IsSummary]],MAX(INDEX(Tasks[_ShownCalcFinish],Tasks[[#This Row],[_Row]]+1):INDEX(Tasks[_ShownCalcFinish],Tasks[[#This Row],[_Row]]+Tasks[[#This Row],[_Descendants]])),Tasks[[#This Row],[_ShownCalcFinish]]))</f>
        <v/>
      </c>
      <c r="FM2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3" s="43" t="n">
        <f aca="false">IF(AND(Tasks[[#This Row],[_IsLeaf]]=1,Tasks[[#This Row],[_LeafTotalWork]]&gt;0),NETWORKDAYS.INTL(ProjectStart,Tasks[[#This Row],[_ShownFcstStart]],WorkWeek,Holidays),0)</f>
        <v>0</v>
      </c>
      <c r="FZ203" s="43" t="n">
        <f aca="false">IF(AND(Tasks[[#This Row],[_IsLeaf]]=1,Tasks[[#This Row],[_LeafTotalWork]]&gt;0),MAX(Tasks[[#This Row],[_StartWorkday]],NETWORKDAYS.INTL(ProjectStart,Tasks[[#This Row],[_ShownFcstFinish]],WorkWeek,Holidays)),0)</f>
        <v>0</v>
      </c>
      <c r="GA203" s="43" t="n">
        <f aca="false">IF(AND(Tasks[[#This Row],[_IsLeaf]]=1,Tasks[[#This Row],[_LeafTotalWork]]&gt;0),Tasks[[#This Row],[_LeafWork]]/(Tasks[[#This Row],[_FinishWorkday]]-Tasks[[#This Row],[_StartWorkday]]+1),0)</f>
        <v>0</v>
      </c>
      <c r="GB203" s="43" t="n">
        <f aca="false">Tasks[[#This Row],[_WorkPerWorkday]]*(Tasks[[#This Row],[_StartWorkday]]-1)</f>
        <v>-0</v>
      </c>
      <c r="GC203" s="43" t="n">
        <f aca="false">IF(Tasks[[#This Row],[_IsLeaf]]=1,MAX(N(Tasks[[#This Row],[_Days]]),0.1),0)</f>
        <v>0</v>
      </c>
      <c r="GD203" s="43" t="n">
        <f aca="false">Tasks[[#This Row],[_WeightDur]]*Tasks[[#This Row],[_LeafProgress]]</f>
        <v>0</v>
      </c>
      <c r="GE203" s="43" t="n">
        <f aca="false">Tasks[[#This Row],[_WeightDur]]*Tasks[[#This Row],[_PlannedPct]]</f>
        <v>0</v>
      </c>
      <c r="GF2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3" t="str">
        <f aca="false">IF(AND(Tasks[[#This Row],[_IsLeaf]]=1,N(Tasks[[#This Row],[_Days]])=0,Tasks[[#This Row],[_LeafProgress]]&lt;1),Tasks[[#This Row],[_ShownFcstFinish]]+Tasks[[#This Row],[_Row]]/100000,"")</f>
        <v/>
      </c>
      <c r="GH2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3" s="43" t="str">
        <f aca="false">IF(Tasks[[#This Row],[Task Name]]="","",LEFT(Tasks[[#This Row],[WBS]],FIND(".",Tasks[[#This Row],[WBS]]&amp;".")-1))</f>
        <v/>
      </c>
      <c r="GJ203" s="43" t="str">
        <f aca="false">IF(AND(Tasks[[#This Row],[Task Name]]&lt;&gt;"",Tasks[[#This Row],[_Level]]=1),Tasks[[#This Row],[_Row]],"")</f>
        <v/>
      </c>
      <c r="GK203" s="43" t="str">
        <f aca="false">IF(AND(Tasks[[#This Row],[_IsLeaf]]=1,N(Tasks[[#This Row],[_Days]])=0),Tasks[[#This Row],[Planned Finish]]+Tasks[[#This Row],[_Row]]/100000,"")</f>
        <v/>
      </c>
      <c r="GL203" s="43" t="str">
        <f aca="false">IF(AND(Tasks[[#This Row],[_IsLeaf]]=1,Tasks[[#This Row],[_LeafProgress]]&lt;1,OR(N(Tasks[[#This Row],[Finish Var]])&gt;0,Tasks[[#This Row],[Status]]="Late Start")),MAX(0,Tasks[[#This Row],[Finish Var]])+1-Tasks[[#This Row],[_Row]]/1000000,"")</f>
        <v/>
      </c>
      <c r="GM203" s="43" t="str">
        <f aca="false">IF(AND(Tasks[[#This Row],[_IsLeaf]]=1,N(Tasks[[#This Row],[Actual Start]])=0,Tasks[[#This Row],[_ShownFcstStart]]&gt;=StatusDate,Tasks[[#This Row],[_ShownFcstStart]]&lt;=LookaheadEnd),Tasks[[#This Row],[_ShownFcstStart]]+Tasks[[#This Row],[_Row]]/100000,"")</f>
        <v/>
      </c>
      <c r="GN203" s="43" t="str">
        <f aca="false">IF(AND(Tasks[[#This Row],[_IsLeaf]]=1,Tasks[[#This Row],[_LeafProgress]]&lt;1,Tasks[[#This Row],[_ShownFcstFinish]]&gt;=StatusDate,Tasks[[#This Row],[_ShownFcstFinish]]&lt;=LookaheadEnd),Tasks[[#This Row],[_ShownFcstFinish]]+Tasks[[#This Row],[_Row]]/100000,"")</f>
        <v/>
      </c>
      <c r="GO203" s="43" t="str">
        <f aca="false">IF(Tasks[[#This Row],[_LeafCritical]],Tasks[[#This Row],[_ShownFcstStart]]+Tasks[[#This Row],[_Row]]/100000,"")</f>
        <v/>
      </c>
      <c r="GP203" s="43" t="n">
        <f aca="false">Tasks[[#This Row],[_LeafWork]]*Tasks[[#This Row],[_LeafProgress]]</f>
        <v>0</v>
      </c>
      <c r="GQ203" s="91" t="str">
        <f aca="false">IF(AND(Tasks[[#This Row],[_IsLeaf]]=1,Tasks[[#This Row],[_LeafProgress]]&gt;=1),IF(N(Tasks[[#This Row],[Actual Finish]])&gt;0,Tasks[[#This Row],[Actual Finish]],Tasks[[#This Row],[_ShownFcstFinish]]),"")</f>
        <v/>
      </c>
      <c r="GR203" s="43" t="n">
        <f aca="false">IF(Tasks[[#This Row],[_IsLeaf]]=1,N(Tasks[[#This Row],[Story Points]]),0)</f>
        <v>0</v>
      </c>
      <c r="GS203" s="43" t="str">
        <f aca="false">""</f>
        <v/>
      </c>
      <c r="GT203" s="90" t="b">
        <f aca="false">IF(Tasks[[#This Row],[Task Name]]="",FALSE(),AND(Tasks[[#This Row],[_IsLeaf]]=1,N(Tasks[[#This Row],[_Days]])=0))</f>
        <v>0</v>
      </c>
      <c r="GU203" s="91" t="n">
        <f aca="false">IF(Tasks[[#This Row],[Task Name]]="",0,IF(AND(Tasks[[#This Row],[_IsLeaf]]=1,NOT(Tasks[[#This Row],[_IsMilestone]]),N(Tasks[[#This Row],[Progress]])&gt;0),Tasks[[#This Row],[Start]],0))</f>
        <v>0</v>
      </c>
      <c r="GV203" s="91" t="n">
        <f aca="false">IF(Tasks[[#This Row],[_DoneFrom]]=0,0,IF(Tasks[[#This Row],[Progress]]&gt;=1,Tasks[[#This Row],[Finish]],MAX(Tasks[[#This Row],[_DoneFrom]],Tasks[[#This Row],[Start]]+ROUND((Tasks[[#This Row],[Finish]]-Tasks[[#This Row],[Start]]+1)*Tasks[[#This Row],[Progress]],0)-1)))</f>
        <v>0</v>
      </c>
      <c r="GW203" s="91" t="n">
        <f aca="false">IF(Tasks[[#This Row],[Task Name]]="",0,IF(OR(NOT(Tasks[[#This Row],[_IsLeaf]]=1),Tasks[[#This Row],[_IsMilestone]],N(Tasks[[#This Row],[Progress]])&gt;=1),0,IF(Tasks[[#This Row],[_DoneTo]]&gt;0,Tasks[[#This Row],[_DoneTo]]+1,Tasks[[#This Row],[Start]])))</f>
        <v>0</v>
      </c>
      <c r="GX203" s="91" t="n">
        <f aca="false">IF(Tasks[[#This Row],[_RemFrom]]=0,0,Tasks[[#This Row],[Finish]])</f>
        <v>0</v>
      </c>
      <c r="GY203" s="90" t="b">
        <f aca="false">IF(Tasks[[#This Row],[Task Name]]="",FALSE(),OR(NOT(BaselineSet),N(Tasks[[#This Row],[Baseline Start]])&gt;0))</f>
        <v>0</v>
      </c>
      <c r="GZ20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92" t="str">
        <f aca="false">IF(Tasks[[#This Row],[_IsLeaf]]=1,Tasks[[#This Row],[_Row]],"")</f>
        <v/>
      </c>
      <c r="HD203" s="92" t="str">
        <f aca="false">IFERROR(INDEX(Tasks[UID],SMALL(Tasks[_PickKey],Tasks[[#This Row],[_Row]]))&amp;" "&amp;INDEX(Tasks[Task Name],SMALL(Tasks[_PickKey],Tasks[[#This Row],[_Row]])),"")</f>
        <v/>
      </c>
      <c r="HE203" s="43" t="str">
        <f aca="false">IF(Tasks[[#This Row],[Task Name]]="","",IF(Tasks[[#This Row],[_IsSummary]],NETWORKDAYS.INTL(Tasks[[#This Row],[Start]],Tasks[[#This Row],[Finish]],WorkWeek,Holidays),N(Tasks[[#This Row],[_Days]])))</f>
        <v/>
      </c>
      <c r="HF203" s="43" t="n">
        <f aca="false">IF(Tasks[[#This Row],[Expected]]="",0,((Tasks[[#This Row],[Pessimistic]]-Tasks[[#This Row],[Optimistic]])/6)^2)</f>
        <v>0</v>
      </c>
      <c r="HG203" s="43" t="n">
        <f aca="false">IF(Tasks[[#This Row],[Expected]]="",0,Tasks[[#This Row],[Expected]]-N(Tasks[[#This Row],[_Days]]))</f>
        <v>0</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4"/>
      <c r="U204" s="23"/>
      <c r="V204" s="84"/>
      <c r="W204" s="23"/>
      <c r="X204" s="84"/>
      <c r="Y204" s="23"/>
      <c r="Z204" s="84"/>
      <c r="AA204" s="23"/>
      <c r="AB204" s="23"/>
      <c r="AC204" s="7"/>
      <c r="AD204" s="7"/>
      <c r="AE204" s="63" t="str">
        <f aca="false">IF(Tasks[[#This Row],[Task Name]]="","",IF(Tasks[[#This Row],[_IsSummary]],MIN(INDEX(Tasks[_ShownFcstStart],Tasks[[#This Row],[_Row]]+1):INDEX(Tasks[_ShownFcstStart],Tasks[[#This Row],[_Row]]+Tasks[[#This Row],[_Descendants]])),Tasks[[#This Row],[_ShownFcstStart]]))</f>
        <v/>
      </c>
      <c r="AF204" s="63"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4" s="7"/>
      <c r="AK204" s="22"/>
      <c r="AL204" s="23"/>
      <c r="AM204" s="7"/>
      <c r="AN204" s="47"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3" t="str">
        <f aca="false">IF(Tasks[[#This Row],[Task Name]]="","",IF(N(Tasks[[#This Row],[Baseline Start]])&gt;0,Tasks[[#This Row],[Baseline Start]],Tasks[[#This Row],[_CalcStart]]))</f>
        <v/>
      </c>
      <c r="AR204" s="63" t="str">
        <f aca="false">IF(Tasks[[#This Row],[Task Name]]="","",IF(N(Tasks[[#This Row],[Baseline Finish]])&gt;0,Tasks[[#This Row],[Baseline Finish]],Tasks[[#This Row],[_CalcFinish]]))</f>
        <v/>
      </c>
      <c r="AS204" s="47" t="str">
        <f aca="false">IF(Tasks[[#This Row],[Task Name]]="","",IF(Tasks[[#This Row],[Start]]&gt;=Tasks[[#This Row],[Planned Start]],NETWORKDAYS.INTL(Tasks[[#This Row],[Planned Start]],Tasks[[#This Row],[Start]],WorkWeek,Holidays)-1,1-NETWORKDAYS.INTL(Tasks[[#This Row],[Start]],Tasks[[#This Row],[Planned Start]],WorkWeek,Holidays)))</f>
        <v/>
      </c>
      <c r="AT204" s="63" t="str">
        <f aca="false">IF(Tasks[[#This Row],[Task Name]]="","",IF(Tasks[[#This Row],[_IsSummary]],MIN(INDEX(Tasks[_LeafLateStart],Tasks[[#This Row],[_Row]]+1):INDEX(Tasks[_LeafLateStart],Tasks[[#This Row],[_Row]]+Tasks[[#This Row],[_Descendants]])),Tasks[[#This Row],[_LeafLateStart]]))</f>
        <v/>
      </c>
      <c r="AU204" s="63" t="str">
        <f aca="false">IF(Tasks[[#This Row],[Task Name]]="","",IF(Tasks[[#This Row],[_IsSummary]],MAX(INDEX(Tasks[_LeafLateFinish],Tasks[[#This Row],[_Row]]+1):INDEX(Tasks[_LeafLateFinish],Tasks[[#This Row],[_Row]]+Tasks[[#This Row],[_Descendants]])),Tasks[[#This Row],[_LeafLateFinish]]))</f>
        <v/>
      </c>
      <c r="AV204" s="47"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5"/>
      <c r="BA2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6"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7"/>
      <c r="BJ204" s="22"/>
      <c r="BK204" s="47" t="str">
        <f aca="false">IF(OR(Tasks[[#This Row],[Task Name]]="",Tasks[[#This Row],[Baseline Duration]]=""),"",Tasks[[#This Row],[_SpanDays]]-N(Tasks[[#This Row],[Baseline Duration]]))</f>
        <v/>
      </c>
      <c r="BL204" s="86" t="str">
        <f aca="false">IF(OR(Tasks[[#This Row],[Task Name]]="",Tasks[[#This Row],[Baseline Work]]=""),"",Tasks[[#This Row],[Work]]-N(Tasks[[#This Row],[Baseline Work]]))</f>
        <v/>
      </c>
      <c r="BM204" s="63" t="str">
        <f aca="false">IF(Tasks[[#This Row],[Task Name]]="","",IF(OR(TakeBaseline="Yes",N(Tasks[[#This Row],[Baseline Start]])=0),Tasks[[#This Row],[Start]],Tasks[[#This Row],[Baseline Start]]))</f>
        <v/>
      </c>
      <c r="BN204" s="63" t="str">
        <f aca="false">IF(Tasks[[#This Row],[Task Name]]="","",IF(OR(TakeBaseline="Yes",N(Tasks[[#This Row],[Baseline Finish]])=0),Tasks[[#This Row],[Finish]],Tasks[[#This Row],[Baseline Finish]]))</f>
        <v/>
      </c>
      <c r="BO204" s="21" t="str">
        <f aca="false">IF(Tasks[[#This Row],[Task Name]]="","",IF(OR(TakeBaseline="Yes",N(Tasks[[#This Row],[Baseline Duration]])=0),Tasks[[#This Row],[_SpanDays]],Tasks[[#This Row],[Baseline Duration]]))</f>
        <v/>
      </c>
      <c r="BP204" s="86" t="str">
        <f aca="false">IF(Tasks[[#This Row],[Task Name]]="","",IF(OR(TakeBaseline="Yes",N(Tasks[[#This Row],[Baseline Work]])=0),Tasks[[#This Row],[Work]],Tasks[[#This Row],[Baseline Work]]))</f>
        <v/>
      </c>
      <c r="BQ204" s="7"/>
      <c r="BR204" s="7"/>
      <c r="BS204" s="22"/>
      <c r="BT204" s="88"/>
      <c r="BU204" s="23"/>
      <c r="BV204" s="23"/>
      <c r="BW204" s="23"/>
      <c r="BX204" s="89" t="str">
        <f aca="false">IF(AND(Tasks[[#This Row],[_IsLeaf]]=1,ISNUMBER(Tasks[[#This Row],[Optimistic]]),ISNUMBER(Tasks[[#This Row],[Pessimistic]])),ROUND((Tasks[[#This Row],[Optimistic]]+4*N(Tasks[[#This Row],[_Days]])+Tasks[[#This Row],[Pessimistic]])/6,1),"")</f>
        <v/>
      </c>
      <c r="BY204" s="87"/>
      <c r="BZ204" s="87"/>
      <c r="CA204" s="22"/>
      <c r="CB204" s="43" t="str">
        <f aca="false">IF(Tasks[[#This Row],[Task Name]]="","",MAX(1,N(Tasks[[#This Row],[Level]])))</f>
        <v/>
      </c>
      <c r="CC204" s="43" t="n">
        <f aca="false">ROW()-ROW(Tasks[[#Headers],[ID]])</f>
        <v>199</v>
      </c>
      <c r="CD204" s="43" t="n">
        <f aca="false">IF(OR(Tasks[[#This Row],[Task Name]]="",Tasks[[#This Row],[_Level]]&lt;=1),0,IFERROR(LOOKUP(2,1/(Tasks[[#Headers],[_Level]]:Tasks[[#This Row],[_Level]]=Tasks[[#This Row],[_Level]]-1),ROW(Tasks[[#Headers],[_Level]]:Tasks[[#This Row],[_Level]])),0))</f>
        <v>0</v>
      </c>
      <c r="CE204" s="43" t="n">
        <f aca="false">IFERROR(N(INDEX(Tasks[_Level],Tasks[[#This Row],[_Row]]+1)),0)</f>
        <v>0</v>
      </c>
      <c r="CF204" s="90" t="b">
        <f aca="false">AND(Tasks[[#This Row],[Task Name]]&lt;&gt;"",Tasks[[#This Row],[_NextLevel]]&gt;Tasks[[#This Row],[_Level]])</f>
        <v>0</v>
      </c>
      <c r="CG204" s="43" t="n">
        <f aca="false">IF(Tasks[[#This Row],[_IsSummary]],COUNTIF(Tasks[WBS],Tasks[[#This Row],[WBS]]&amp;".*"),0)</f>
        <v>0</v>
      </c>
      <c r="CH204" s="43" t="n">
        <f aca="false">IF(AND(Tasks[[#This Row],[Task Name]]&lt;&gt;"",NOT(Tasks[[#This Row],[_IsSummary]])),1,0)</f>
        <v>0</v>
      </c>
      <c r="CI204" s="43" t="n">
        <f aca="false">IF(N(Tasks[[#This Row],[_Pred1UID]])=0,0,IFERROR(MATCH(Tasks[[#This Row],[_Pred1UID]],Tasks[UID],0),-1))</f>
        <v>0</v>
      </c>
      <c r="CJ204" s="43" t="n">
        <f aca="false">IF(N(Tasks[[#This Row],[_Pred2UID]])=0,0,IFERROR(MATCH(Tasks[[#This Row],[_Pred2UID]],Tasks[UID],0),-1))</f>
        <v>0</v>
      </c>
      <c r="CK204" s="43" t="n">
        <f aca="false">IF(N(Tasks[[#This Row],[_Pred3UID]])=0,0,IFERROR(MATCH(Tasks[[#This Row],[_Pred3UID]],Tasks[UID],0),-1))</f>
        <v>0</v>
      </c>
      <c r="CL204" s="43" t="n">
        <f aca="false">IF(N(Tasks[[#This Row],[_Pred4UID]])=0,0,IFERROR(MATCH(Tasks[[#This Row],[_Pred4UID]],Tasks[UID],0),-1))</f>
        <v>0</v>
      </c>
      <c r="CM2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4" s="91" t="n">
        <f aca="false">IF(OR(Tasks[[#This Row],[_ConstraintCode]]=2,Tasks[[#This Row],[_ConstraintCode]]=3,Tasks[[#This Row],[_ConstraintCode]]=4,Tasks[[#This Row],[_ConstraintCode]]=6),Tasks[[#This Row],[_ConstraintStart]],0)</f>
        <v>0</v>
      </c>
      <c r="CP204" s="91" t="n">
        <f aca="false">IF(OR(Tasks[[#This Row],[_ConstraintCode]]=2,Tasks[[#This Row],[_ConstraintCode]]=3,Tasks[[#This Row],[_ConstraintCode]]=5,Tasks[[#This Row],[_ConstraintCode]]=7),Tasks[[#This Row],[_ConstraintStart]],2958465)</f>
        <v>2958465</v>
      </c>
      <c r="CQ2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91" t="str">
        <f aca="false">IF(NOT(Tasks[[#This Row],[_IsLeaf]]=1),"",IF(N(Tasks[[#This Row],[_Days]])&lt;=0,Tasks[[#This Row],[_LeafCalcStart]],WORKDAY.INTL(Tasks[[#This Row],[_LeafCalcStart]],Tasks[[#This Row],[_Days]]-1,WorkWeek,Holidays)))</f>
        <v/>
      </c>
      <c r="CS2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3" t="str">
        <f aca="false">IF(Tasks[[#This Row],[_Predecessors]]="","",TRIM(MID(SUBSTITUTE(SUBSTITUTE(SUBSTITUTE(UPPER(Tasks[[#This Row],[_Predecessors]]),";",",")," ",""),",",REPT(" ",99)),1,99)))</f>
        <v/>
      </c>
      <c r="CV204" s="43" t="str">
        <f aca="false">IF(Tasks[[#This Row],[_Pred1Text]]="","",IFERROR(VALUE(LEFT(Tasks[[#This Row],[_Pred1Text]],MIN(FIND("F",Tasks[[#This Row],[_Pred1Text]]&amp;"F"),FIND("S",Tasks[[#This Row],[_Pred1Text]]&amp;"S"),FIND("+",Tasks[[#This Row],[_Pred1Text]]&amp;"+"),FIND("-",Tasks[[#This Row],[_Pred1Text]]&amp;"-"))-1)),""))</f>
        <v/>
      </c>
      <c r="CW2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3" t="str">
        <f aca="false">IF(Tasks[[#This Row],[_Pred1Text]]="","",TRIM(MID(SUBSTITUTE(SUBSTITUTE(SUBSTITUTE(UPPER(Tasks[[#This Row],[_Predecessors]]),";",",")," ",""),",",REPT(" ",99)),100,99)))</f>
        <v/>
      </c>
      <c r="CZ204" s="43" t="str">
        <f aca="false">IF(Tasks[[#This Row],[_Pred2Text]]="","",IFERROR(VALUE(LEFT(Tasks[[#This Row],[_Pred2Text]],MIN(FIND("F",Tasks[[#This Row],[_Pred2Text]]&amp;"F"),FIND("S",Tasks[[#This Row],[_Pred2Text]]&amp;"S"),FIND("+",Tasks[[#This Row],[_Pred2Text]]&amp;"+"),FIND("-",Tasks[[#This Row],[_Pred2Text]]&amp;"-"))-1)),""))</f>
        <v/>
      </c>
      <c r="DA2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3" t="str">
        <f aca="false">IF(Tasks[[#This Row],[_Pred2Text]]="","",TRIM(MID(SUBSTITUTE(SUBSTITUTE(SUBSTITUTE(UPPER(Tasks[[#This Row],[_Predecessors]]),";",",")," ",""),",",REPT(" ",99)),199,99)))</f>
        <v/>
      </c>
      <c r="DD204" s="43" t="str">
        <f aca="false">IF(Tasks[[#This Row],[_Pred3Text]]="","",IFERROR(VALUE(LEFT(Tasks[[#This Row],[_Pred3Text]],MIN(FIND("F",Tasks[[#This Row],[_Pred3Text]]&amp;"F"),FIND("S",Tasks[[#This Row],[_Pred3Text]]&amp;"S"),FIND("+",Tasks[[#This Row],[_Pred3Text]]&amp;"+"),FIND("-",Tasks[[#This Row],[_Pred3Text]]&amp;"-"))-1)),""))</f>
        <v/>
      </c>
      <c r="DE2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3" t="str">
        <f aca="false">IF(Tasks[[#This Row],[_Pred3Text]]="","",TRIM(MID(SUBSTITUTE(SUBSTITUTE(SUBSTITUTE(UPPER(Tasks[[#This Row],[_Predecessors]]),";",",")," ",""),",",REPT(" ",99)),298,99)))</f>
        <v/>
      </c>
      <c r="DH204" s="43" t="str">
        <f aca="false">IF(Tasks[[#This Row],[_Pred4Text]]="","",IFERROR(VALUE(LEFT(Tasks[[#This Row],[_Pred4Text]],MIN(FIND("F",Tasks[[#This Row],[_Pred4Text]]&amp;"F"),FIND("S",Tasks[[#This Row],[_Pred4Text]]&amp;"S"),FIND("+",Tasks[[#This Row],[_Pred4Text]]&amp;"+"),FIND("-",Tasks[[#This Row],[_Pred4Text]]&amp;"-"))-1)),""))</f>
        <v/>
      </c>
      <c r="DI2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3" t="str">
        <f aca="false">IF(OR(Tasks[[#This Row],[Task Name]]="",Tasks[[#This Row],[_Resources]]=""),"",TRIM(MID(SUBSTITUTE(Tasks[[#This Row],[_Resources]],",",REPT(" ",99)),1,99)))</f>
        <v/>
      </c>
      <c r="DL204" s="43" t="str">
        <f aca="false">IF(Tasks[[#This Row],[_Res1Text]]="","",TRIM(MID(SUBSTITUTE(Tasks[[#This Row],[_Resources]],",",REPT(" ",99)),100,99)))</f>
        <v/>
      </c>
      <c r="DM204" s="43" t="str">
        <f aca="false">IF(Tasks[[#This Row],[_Res2Text]]="","",TRIM(MID(SUBSTITUTE(Tasks[[#This Row],[_Resources]],",",REPT(" ",99)),199,99)))</f>
        <v/>
      </c>
      <c r="DN204" s="43" t="str">
        <f aca="false">IF(Tasks[[#This Row],[_Res3Text]]="","",TRIM(MID(SUBSTITUTE(Tasks[[#This Row],[_Resources]],",",REPT(" ",99)),298,99)))</f>
        <v/>
      </c>
      <c r="DO204" s="43" t="n">
        <f aca="false">IF(Tasks[[#This Row],[_Res1Text]]="",0,IFERROR(MATCH(TRIM(LEFT(Tasks[[#This Row],[_Res1Text]],FIND("[",Tasks[[#This Row],[_Res1Text]]&amp;"[")-1)),res_Name,0),IFERROR(MATCH(TRIM(LEFT(Tasks[[#This Row],[_Res1Text]],FIND("[",Tasks[[#This Row],[_Res1Text]]&amp;"[")-1)),res_Initials,0),0)))</f>
        <v>0</v>
      </c>
      <c r="DP204" s="43" t="n">
        <f aca="false">IF(Tasks[[#This Row],[_Res2Text]]="",0,IFERROR(MATCH(TRIM(LEFT(Tasks[[#This Row],[_Res2Text]],FIND("[",Tasks[[#This Row],[_Res2Text]]&amp;"[")-1)),res_Name,0),IFERROR(MATCH(TRIM(LEFT(Tasks[[#This Row],[_Res2Text]],FIND("[",Tasks[[#This Row],[_Res2Text]]&amp;"[")-1)),res_Initials,0),0)))</f>
        <v>0</v>
      </c>
      <c r="DQ204" s="43" t="n">
        <f aca="false">IF(Tasks[[#This Row],[_Res3Text]]="",0,IFERROR(MATCH(TRIM(LEFT(Tasks[[#This Row],[_Res3Text]],FIND("[",Tasks[[#This Row],[_Res3Text]]&amp;"[")-1)),res_Name,0),IFERROR(MATCH(TRIM(LEFT(Tasks[[#This Row],[_Res3Text]],FIND("[",Tasks[[#This Row],[_Res3Text]]&amp;"[")-1)),res_Initials,0),0)))</f>
        <v>0</v>
      </c>
      <c r="DR204" s="43" t="n">
        <f aca="false">IF(Tasks[[#This Row],[_Res4Text]]="",0,IFERROR(MATCH(TRIM(LEFT(Tasks[[#This Row],[_Res4Text]],FIND("[",Tasks[[#This Row],[_Res4Text]]&amp;"[")-1)),res_Name,0),IFERROR(MATCH(TRIM(LEFT(Tasks[[#This Row],[_Res4Text]],FIND("[",Tasks[[#This Row],[_Res4Text]]&amp;"[")-1)),res_Initials,0),0)))</f>
        <v>0</v>
      </c>
      <c r="DS204" s="43" t="str">
        <f aca="false">IF(Tasks[[#This Row],[_Res1Text]]="","",IF(Tasks[[#This Row],[_Res1Row]]&gt;0,INDEX(res_Name,Tasks[[#This Row],[_Res1Row]]),TRIM(LEFT(Tasks[[#This Row],[_Res1Text]],FIND("[",Tasks[[#This Row],[_Res1Text]]&amp;"[")-1))))</f>
        <v/>
      </c>
      <c r="DT2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3" t="n">
        <f aca="false">IF(NOT(Tasks[[#This Row],[_IsLeaf]]=1),0,(Tasks[[#This Row],[_Resource1]]&lt;&gt;"")+(Tasks[[#This Row],[_Res2]]&lt;&gt;"")+(Tasks[[#This Row],[_Res3]]&lt;&gt;"")+(Tasks[[#This Row],[_Res4]]&lt;&gt;""))</f>
        <v>0</v>
      </c>
      <c r="DV204" s="43" t="str">
        <f aca="false">IF(Tasks[[#This Row],[_Res2Text]]="","",IF(Tasks[[#This Row],[_Res2Row]]&gt;0,INDEX(res_Name,Tasks[[#This Row],[_Res2Row]]),TRIM(LEFT(Tasks[[#This Row],[_Res2Text]],FIND("[",Tasks[[#This Row],[_Res2Text]]&amp;"[")-1))))</f>
        <v/>
      </c>
      <c r="DW2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3" t="n">
        <f aca="false">IF(OR(NOT(Tasks[[#This Row],[_IsLeaf]]=1),Tasks[[#This Row],[_Res2Row]]=0),0,N(Tasks[[#This Row],[_Days]])*HoursPerDay*IF(Tasks[[#This Row],[_Res2Units]]="",DefaultUnits,Tasks[[#This Row],[_Res2Units]]))</f>
        <v>0</v>
      </c>
      <c r="DY204" s="43" t="n">
        <f aca="false">IF(AND(AND(Tasks[[#This Row],[_IsLeaf]]=1,Tasks[[#This Row],[_LeafTotalWork]]&gt;0),Tasks[[#This Row],[_Res2Work]]&gt;0),Tasks[[#This Row],[_Res2Work]]/(Tasks[[#This Row],[_FinishWorkday]]-Tasks[[#This Row],[_StartWorkday]]+1),0)</f>
        <v>0</v>
      </c>
      <c r="DZ204" s="43" t="n">
        <f aca="false">Tasks[[#This Row],[_Res2WorkPerWD]]*MAX(0,Tasks[[#This Row],[_StartWorkday]]-1)</f>
        <v>0</v>
      </c>
      <c r="EA204" s="43" t="n">
        <f aca="false">Tasks[[#This Row],[_Res2Work]]*Tasks[[#This Row],[_LeafProgress]]</f>
        <v>0</v>
      </c>
      <c r="EB204" s="43" t="str">
        <f aca="false">IF(Tasks[[#This Row],[_Res3Text]]="","",IF(Tasks[[#This Row],[_Res3Row]]&gt;0,INDEX(res_Name,Tasks[[#This Row],[_Res3Row]]),TRIM(LEFT(Tasks[[#This Row],[_Res3Text]],FIND("[",Tasks[[#This Row],[_Res3Text]]&amp;"[")-1))))</f>
        <v/>
      </c>
      <c r="EC2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3" t="n">
        <f aca="false">IF(OR(NOT(Tasks[[#This Row],[_IsLeaf]]=1),Tasks[[#This Row],[_Res3Row]]=0),0,N(Tasks[[#This Row],[_Days]])*HoursPerDay*IF(Tasks[[#This Row],[_Res3Units]]="",DefaultUnits,Tasks[[#This Row],[_Res3Units]]))</f>
        <v>0</v>
      </c>
      <c r="EE204" s="43" t="n">
        <f aca="false">IF(AND(AND(Tasks[[#This Row],[_IsLeaf]]=1,Tasks[[#This Row],[_LeafTotalWork]]&gt;0),Tasks[[#This Row],[_Res3Work]]&gt;0),Tasks[[#This Row],[_Res3Work]]/(Tasks[[#This Row],[_FinishWorkday]]-Tasks[[#This Row],[_StartWorkday]]+1),0)</f>
        <v>0</v>
      </c>
      <c r="EF204" s="43" t="n">
        <f aca="false">Tasks[[#This Row],[_Res3WorkPerWD]]*MAX(0,Tasks[[#This Row],[_StartWorkday]]-1)</f>
        <v>0</v>
      </c>
      <c r="EG204" s="43" t="n">
        <f aca="false">Tasks[[#This Row],[_Res3Work]]*Tasks[[#This Row],[_LeafProgress]]</f>
        <v>0</v>
      </c>
      <c r="EH204" s="43" t="str">
        <f aca="false">IF(Tasks[[#This Row],[_Res4Text]]="","",IF(Tasks[[#This Row],[_Res4Row]]&gt;0,INDEX(res_Name,Tasks[[#This Row],[_Res4Row]]),TRIM(LEFT(Tasks[[#This Row],[_Res4Text]],FIND("[",Tasks[[#This Row],[_Res4Text]]&amp;"[")-1))))</f>
        <v/>
      </c>
      <c r="EI2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3" t="n">
        <f aca="false">IF(OR(NOT(Tasks[[#This Row],[_IsLeaf]]=1),Tasks[[#This Row],[_Res4Row]]=0),0,N(Tasks[[#This Row],[_Days]])*HoursPerDay*IF(Tasks[[#This Row],[_Res4Units]]="",DefaultUnits,Tasks[[#This Row],[_Res4Units]]))</f>
        <v>0</v>
      </c>
      <c r="EK204" s="43" t="n">
        <f aca="false">IF(AND(AND(Tasks[[#This Row],[_IsLeaf]]=1,Tasks[[#This Row],[_LeafTotalWork]]&gt;0),Tasks[[#This Row],[_Res4Work]]&gt;0),Tasks[[#This Row],[_Res4Work]]/(Tasks[[#This Row],[_FinishWorkday]]-Tasks[[#This Row],[_StartWorkday]]+1),0)</f>
        <v>0</v>
      </c>
      <c r="EL204" s="43" t="n">
        <f aca="false">Tasks[[#This Row],[_Res4WorkPerWD]]*MAX(0,Tasks[[#This Row],[_StartWorkday]]-1)</f>
        <v>0</v>
      </c>
      <c r="EM204" s="43" t="n">
        <f aca="false">Tasks[[#This Row],[_Res4Work]]*Tasks[[#This Row],[_LeafProgress]]</f>
        <v>0</v>
      </c>
      <c r="EN204" s="43" t="n">
        <f aca="false">IF(ISNUMBER(Tasks[[#This Row],[% Complete]]),Tasks[[#This Row],[% Complete]],IF(Tasks[[#This Row],[Stage]]="",0,IFERROR(INDEX(stg_Pct,MATCH(Tasks[[#This Row],[Stage]],stg_Name,0)),0)))</f>
        <v>0</v>
      </c>
      <c r="EO204" s="43" t="n">
        <f aca="false">IF(NOT(Tasks[[#This Row],[_IsLeaf]]=1),0,IF(N(Tasks[[#This Row],[Actual Finish]])&gt;0,1,MIN(1,Tasks[[#This Row],[_Pct]])))</f>
        <v>0</v>
      </c>
      <c r="EP204" s="43" t="n">
        <f aca="false">IF(OR(NOT(Tasks[[#This Row],[_IsLeaf]]=1),Tasks[[#This Row],[_Res1Row]]=0),0,N(Tasks[[#This Row],[_Days]])*HoursPerDay*IF(Tasks[[#This Row],[_Units1]]="",DefaultUnits,Tasks[[#This Row],[_Units1]]))</f>
        <v>0</v>
      </c>
      <c r="EQ204" s="43" t="n">
        <f aca="false">Tasks[[#This Row],[_LeafWork]]+Tasks[[#This Row],[_Res2Work]]+Tasks[[#This Row],[_Res3Work]]+Tasks[[#This Row],[_Res4Work]]</f>
        <v>0</v>
      </c>
      <c r="ER2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3" t="n">
        <f aca="false">IF(NOT(Tasks[[#This Row],[_IsLeaf]]=1),0,MAX(_xlfn.MAXIFS(Tasks[_Row],Tasks[_Pred1UID],Tasks[[#This Row],[UID]]),_xlfn.MAXIFS(Tasks[_Row],Tasks[_Pred2UID],Tasks[[#This Row],[UID]]),_xlfn.MAXIFS(Tasks[_Row],Tasks[_Pred3UID],Tasks[[#This Row],[UID]]),_xlfn.MAXIFS(Tasks[_Row],Tasks[_Pred4UID],Tasks[[#This Row],[UID]])))</f>
        <v>0</v>
      </c>
      <c r="FA2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91" t="str">
        <f aca="false">IF(NOT(Tasks[[#This Row],[_IsLeaf]]=1),"",IF(N(Tasks[[#This Row],[_Days]])&lt;=0,Tasks[[#This Row],[_LeafLateFinish]],WORKDAY.INTL(Tasks[[#This Row],[_LeafLateFinish]],-(Tasks[[#This Row],[_Days]]-1),WorkWeek,Holidays)))</f>
        <v/>
      </c>
      <c r="FD2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4" s="90" t="b">
        <f aca="false">AND(Tasks[[#This Row],[_IsLeaf]]=1,Tasks[[#This Row],[_LeafProgress]]&lt;1,N(Tasks[[#This Row],[_LeafTotalSlack]])&lt;=CriticalSlackDays)</f>
        <v>0</v>
      </c>
      <c r="FF204" s="43" t="n">
        <f aca="false">IF(AND(Tasks[[#This Row],[_IsLeaf]]=1,Tasks[[#This Row],[_ConstraintCode]]=1,Tasks[[#This Row],[Mode]]&lt;&gt;"Manual",N(Tasks[[#This Row],[Actual Start]])=0),MAX(0,N(Tasks[[#This Row],[Free Slack]])),0)</f>
        <v>0</v>
      </c>
      <c r="FG204" s="91" t="str">
        <f aca="false">IF(NOT(Tasks[[#This Row],[_IsLeaf]]=1),"",IF(Tasks[[#This Row],[_AlapShift]]=0,Tasks[[#This Row],[_LeafCalcStart]],WORKDAY.INTL(Tasks[[#This Row],[_LeafCalcStart]],Tasks[[#This Row],[_AlapShift]],WorkWeek,Holidays)))</f>
        <v/>
      </c>
      <c r="FH204" s="91" t="str">
        <f aca="false">IF(NOT(Tasks[[#This Row],[_IsLeaf]]=1),"",IF(Tasks[[#This Row],[_AlapShift]]=0,Tasks[[#This Row],[_LeafCalcFinish]],WORKDAY.INTL(Tasks[[#This Row],[_LeafCalcFinish]],Tasks[[#This Row],[_AlapShift]],WorkWeek,Holidays)))</f>
        <v/>
      </c>
      <c r="FI204" s="91" t="str">
        <f aca="false">IF(NOT(Tasks[[#This Row],[_IsLeaf]]=1),"",IF(Tasks[[#This Row],[_AlapShift]]=0,Tasks[[#This Row],[_LeafFcstStart]],WORKDAY.INTL(Tasks[[#This Row],[_LeafFcstStart]],Tasks[[#This Row],[_AlapShift]],WorkWeek,Holidays)))</f>
        <v/>
      </c>
      <c r="FJ204" s="91" t="str">
        <f aca="false">IF(NOT(Tasks[[#This Row],[_IsLeaf]]=1),"",IF(Tasks[[#This Row],[_AlapShift]]=0,Tasks[[#This Row],[_LeafFcstFinish]],WORKDAY.INTL(Tasks[[#This Row],[_LeafFcstFinish]],Tasks[[#This Row],[_AlapShift]],WorkWeek,Holidays)))</f>
        <v/>
      </c>
      <c r="FK204" s="91" t="str">
        <f aca="false">IF(Tasks[[#This Row],[Task Name]]="","",IF(Tasks[[#This Row],[_IsSummary]],MIN(INDEX(Tasks[_ShownCalcStart],Tasks[[#This Row],[_Row]]+1):INDEX(Tasks[_ShownCalcStart],Tasks[[#This Row],[_Row]]+Tasks[[#This Row],[_Descendants]])),Tasks[[#This Row],[_ShownCalcStart]]))</f>
        <v/>
      </c>
      <c r="FL204" s="91" t="str">
        <f aca="false">IF(Tasks[[#This Row],[Task Name]]="","",IF(Tasks[[#This Row],[_IsSummary]],MAX(INDEX(Tasks[_ShownCalcFinish],Tasks[[#This Row],[_Row]]+1):INDEX(Tasks[_ShownCalcFinish],Tasks[[#This Row],[_Row]]+Tasks[[#This Row],[_Descendants]])),Tasks[[#This Row],[_ShownCalcFinish]]))</f>
        <v/>
      </c>
      <c r="FM2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4" s="43" t="n">
        <f aca="false">IF(AND(Tasks[[#This Row],[_IsLeaf]]=1,Tasks[[#This Row],[_LeafTotalWork]]&gt;0),NETWORKDAYS.INTL(ProjectStart,Tasks[[#This Row],[_ShownFcstStart]],WorkWeek,Holidays),0)</f>
        <v>0</v>
      </c>
      <c r="FZ204" s="43" t="n">
        <f aca="false">IF(AND(Tasks[[#This Row],[_IsLeaf]]=1,Tasks[[#This Row],[_LeafTotalWork]]&gt;0),MAX(Tasks[[#This Row],[_StartWorkday]],NETWORKDAYS.INTL(ProjectStart,Tasks[[#This Row],[_ShownFcstFinish]],WorkWeek,Holidays)),0)</f>
        <v>0</v>
      </c>
      <c r="GA204" s="43" t="n">
        <f aca="false">IF(AND(Tasks[[#This Row],[_IsLeaf]]=1,Tasks[[#This Row],[_LeafTotalWork]]&gt;0),Tasks[[#This Row],[_LeafWork]]/(Tasks[[#This Row],[_FinishWorkday]]-Tasks[[#This Row],[_StartWorkday]]+1),0)</f>
        <v>0</v>
      </c>
      <c r="GB204" s="43" t="n">
        <f aca="false">Tasks[[#This Row],[_WorkPerWorkday]]*(Tasks[[#This Row],[_StartWorkday]]-1)</f>
        <v>-0</v>
      </c>
      <c r="GC204" s="43" t="n">
        <f aca="false">IF(Tasks[[#This Row],[_IsLeaf]]=1,MAX(N(Tasks[[#This Row],[_Days]]),0.1),0)</f>
        <v>0</v>
      </c>
      <c r="GD204" s="43" t="n">
        <f aca="false">Tasks[[#This Row],[_WeightDur]]*Tasks[[#This Row],[_LeafProgress]]</f>
        <v>0</v>
      </c>
      <c r="GE204" s="43" t="n">
        <f aca="false">Tasks[[#This Row],[_WeightDur]]*Tasks[[#This Row],[_PlannedPct]]</f>
        <v>0</v>
      </c>
      <c r="GF2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3" t="str">
        <f aca="false">IF(AND(Tasks[[#This Row],[_IsLeaf]]=1,N(Tasks[[#This Row],[_Days]])=0,Tasks[[#This Row],[_LeafProgress]]&lt;1),Tasks[[#This Row],[_ShownFcstFinish]]+Tasks[[#This Row],[_Row]]/100000,"")</f>
        <v/>
      </c>
      <c r="GH2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4" s="43" t="str">
        <f aca="false">IF(Tasks[[#This Row],[Task Name]]="","",LEFT(Tasks[[#This Row],[WBS]],FIND(".",Tasks[[#This Row],[WBS]]&amp;".")-1))</f>
        <v/>
      </c>
      <c r="GJ204" s="43" t="str">
        <f aca="false">IF(AND(Tasks[[#This Row],[Task Name]]&lt;&gt;"",Tasks[[#This Row],[_Level]]=1),Tasks[[#This Row],[_Row]],"")</f>
        <v/>
      </c>
      <c r="GK204" s="43" t="str">
        <f aca="false">IF(AND(Tasks[[#This Row],[_IsLeaf]]=1,N(Tasks[[#This Row],[_Days]])=0),Tasks[[#This Row],[Planned Finish]]+Tasks[[#This Row],[_Row]]/100000,"")</f>
        <v/>
      </c>
      <c r="GL204" s="43" t="str">
        <f aca="false">IF(AND(Tasks[[#This Row],[_IsLeaf]]=1,Tasks[[#This Row],[_LeafProgress]]&lt;1,OR(N(Tasks[[#This Row],[Finish Var]])&gt;0,Tasks[[#This Row],[Status]]="Late Start")),MAX(0,Tasks[[#This Row],[Finish Var]])+1-Tasks[[#This Row],[_Row]]/1000000,"")</f>
        <v/>
      </c>
      <c r="GM204" s="43" t="str">
        <f aca="false">IF(AND(Tasks[[#This Row],[_IsLeaf]]=1,N(Tasks[[#This Row],[Actual Start]])=0,Tasks[[#This Row],[_ShownFcstStart]]&gt;=StatusDate,Tasks[[#This Row],[_ShownFcstStart]]&lt;=LookaheadEnd),Tasks[[#This Row],[_ShownFcstStart]]+Tasks[[#This Row],[_Row]]/100000,"")</f>
        <v/>
      </c>
      <c r="GN204" s="43" t="str">
        <f aca="false">IF(AND(Tasks[[#This Row],[_IsLeaf]]=1,Tasks[[#This Row],[_LeafProgress]]&lt;1,Tasks[[#This Row],[_ShownFcstFinish]]&gt;=StatusDate,Tasks[[#This Row],[_ShownFcstFinish]]&lt;=LookaheadEnd),Tasks[[#This Row],[_ShownFcstFinish]]+Tasks[[#This Row],[_Row]]/100000,"")</f>
        <v/>
      </c>
      <c r="GO204" s="43" t="str">
        <f aca="false">IF(Tasks[[#This Row],[_LeafCritical]],Tasks[[#This Row],[_ShownFcstStart]]+Tasks[[#This Row],[_Row]]/100000,"")</f>
        <v/>
      </c>
      <c r="GP204" s="43" t="n">
        <f aca="false">Tasks[[#This Row],[_LeafWork]]*Tasks[[#This Row],[_LeafProgress]]</f>
        <v>0</v>
      </c>
      <c r="GQ204" s="91" t="str">
        <f aca="false">IF(AND(Tasks[[#This Row],[_IsLeaf]]=1,Tasks[[#This Row],[_LeafProgress]]&gt;=1),IF(N(Tasks[[#This Row],[Actual Finish]])&gt;0,Tasks[[#This Row],[Actual Finish]],Tasks[[#This Row],[_ShownFcstFinish]]),"")</f>
        <v/>
      </c>
      <c r="GR204" s="43" t="n">
        <f aca="false">IF(Tasks[[#This Row],[_IsLeaf]]=1,N(Tasks[[#This Row],[Story Points]]),0)</f>
        <v>0</v>
      </c>
      <c r="GS204" s="43" t="str">
        <f aca="false">""</f>
        <v/>
      </c>
      <c r="GT204" s="90" t="b">
        <f aca="false">IF(Tasks[[#This Row],[Task Name]]="",FALSE(),AND(Tasks[[#This Row],[_IsLeaf]]=1,N(Tasks[[#This Row],[_Days]])=0))</f>
        <v>0</v>
      </c>
      <c r="GU204" s="91" t="n">
        <f aca="false">IF(Tasks[[#This Row],[Task Name]]="",0,IF(AND(Tasks[[#This Row],[_IsLeaf]]=1,NOT(Tasks[[#This Row],[_IsMilestone]]),N(Tasks[[#This Row],[Progress]])&gt;0),Tasks[[#This Row],[Start]],0))</f>
        <v>0</v>
      </c>
      <c r="GV204" s="91" t="n">
        <f aca="false">IF(Tasks[[#This Row],[_DoneFrom]]=0,0,IF(Tasks[[#This Row],[Progress]]&gt;=1,Tasks[[#This Row],[Finish]],MAX(Tasks[[#This Row],[_DoneFrom]],Tasks[[#This Row],[Start]]+ROUND((Tasks[[#This Row],[Finish]]-Tasks[[#This Row],[Start]]+1)*Tasks[[#This Row],[Progress]],0)-1)))</f>
        <v>0</v>
      </c>
      <c r="GW204" s="91" t="n">
        <f aca="false">IF(Tasks[[#This Row],[Task Name]]="",0,IF(OR(NOT(Tasks[[#This Row],[_IsLeaf]]=1),Tasks[[#This Row],[_IsMilestone]],N(Tasks[[#This Row],[Progress]])&gt;=1),0,IF(Tasks[[#This Row],[_DoneTo]]&gt;0,Tasks[[#This Row],[_DoneTo]]+1,Tasks[[#This Row],[Start]])))</f>
        <v>0</v>
      </c>
      <c r="GX204" s="91" t="n">
        <f aca="false">IF(Tasks[[#This Row],[_RemFrom]]=0,0,Tasks[[#This Row],[Finish]])</f>
        <v>0</v>
      </c>
      <c r="GY204" s="90" t="b">
        <f aca="false">IF(Tasks[[#This Row],[Task Name]]="",FALSE(),OR(NOT(BaselineSet),N(Tasks[[#This Row],[Baseline Start]])&gt;0))</f>
        <v>0</v>
      </c>
      <c r="GZ20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92" t="str">
        <f aca="false">IF(Tasks[[#This Row],[_IsLeaf]]=1,Tasks[[#This Row],[_Row]],"")</f>
        <v/>
      </c>
      <c r="HD204" s="92" t="str">
        <f aca="false">IFERROR(INDEX(Tasks[UID],SMALL(Tasks[_PickKey],Tasks[[#This Row],[_Row]]))&amp;" "&amp;INDEX(Tasks[Task Name],SMALL(Tasks[_PickKey],Tasks[[#This Row],[_Row]])),"")</f>
        <v/>
      </c>
      <c r="HE204" s="43" t="str">
        <f aca="false">IF(Tasks[[#This Row],[Task Name]]="","",IF(Tasks[[#This Row],[_IsSummary]],NETWORKDAYS.INTL(Tasks[[#This Row],[Start]],Tasks[[#This Row],[Finish]],WorkWeek,Holidays),N(Tasks[[#This Row],[_Days]])))</f>
        <v/>
      </c>
      <c r="HF204" s="43" t="n">
        <f aca="false">IF(Tasks[[#This Row],[Expected]]="",0,((Tasks[[#This Row],[Pessimistic]]-Tasks[[#This Row],[Optimistic]])/6)^2)</f>
        <v>0</v>
      </c>
      <c r="HG204" s="43" t="n">
        <f aca="false">IF(Tasks[[#This Row],[Expected]]="",0,Tasks[[#This Row],[Expected]]-N(Tasks[[#This Row],[_Days]]))</f>
        <v>0</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4"/>
      <c r="U205" s="23"/>
      <c r="V205" s="84"/>
      <c r="W205" s="23"/>
      <c r="X205" s="84"/>
      <c r="Y205" s="23"/>
      <c r="Z205" s="84"/>
      <c r="AA205" s="23"/>
      <c r="AB205" s="23"/>
      <c r="AC205" s="7"/>
      <c r="AD205" s="7"/>
      <c r="AE205" s="63" t="str">
        <f aca="false">IF(Tasks[[#This Row],[Task Name]]="","",IF(Tasks[[#This Row],[_IsSummary]],MIN(INDEX(Tasks[_ShownFcstStart],Tasks[[#This Row],[_Row]]+1):INDEX(Tasks[_ShownFcstStart],Tasks[[#This Row],[_Row]]+Tasks[[#This Row],[_Descendants]])),Tasks[[#This Row],[_ShownFcstStart]]))</f>
        <v/>
      </c>
      <c r="AF205" s="63"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5" s="7"/>
      <c r="AK205" s="22"/>
      <c r="AL205" s="23"/>
      <c r="AM205" s="7"/>
      <c r="AN205" s="47"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3" t="str">
        <f aca="false">IF(Tasks[[#This Row],[Task Name]]="","",IF(N(Tasks[[#This Row],[Baseline Start]])&gt;0,Tasks[[#This Row],[Baseline Start]],Tasks[[#This Row],[_CalcStart]]))</f>
        <v/>
      </c>
      <c r="AR205" s="63" t="str">
        <f aca="false">IF(Tasks[[#This Row],[Task Name]]="","",IF(N(Tasks[[#This Row],[Baseline Finish]])&gt;0,Tasks[[#This Row],[Baseline Finish]],Tasks[[#This Row],[_CalcFinish]]))</f>
        <v/>
      </c>
      <c r="AS205" s="47" t="str">
        <f aca="false">IF(Tasks[[#This Row],[Task Name]]="","",IF(Tasks[[#This Row],[Start]]&gt;=Tasks[[#This Row],[Planned Start]],NETWORKDAYS.INTL(Tasks[[#This Row],[Planned Start]],Tasks[[#This Row],[Start]],WorkWeek,Holidays)-1,1-NETWORKDAYS.INTL(Tasks[[#This Row],[Start]],Tasks[[#This Row],[Planned Start]],WorkWeek,Holidays)))</f>
        <v/>
      </c>
      <c r="AT205" s="63" t="str">
        <f aca="false">IF(Tasks[[#This Row],[Task Name]]="","",IF(Tasks[[#This Row],[_IsSummary]],MIN(INDEX(Tasks[_LeafLateStart],Tasks[[#This Row],[_Row]]+1):INDEX(Tasks[_LeafLateStart],Tasks[[#This Row],[_Row]]+Tasks[[#This Row],[_Descendants]])),Tasks[[#This Row],[_LeafLateStart]]))</f>
        <v/>
      </c>
      <c r="AU205" s="63" t="str">
        <f aca="false">IF(Tasks[[#This Row],[Task Name]]="","",IF(Tasks[[#This Row],[_IsSummary]],MAX(INDEX(Tasks[_LeafLateFinish],Tasks[[#This Row],[_Row]]+1):INDEX(Tasks[_LeafLateFinish],Tasks[[#This Row],[_Row]]+Tasks[[#This Row],[_Descendants]])),Tasks[[#This Row],[_LeafLateFinish]]))</f>
        <v/>
      </c>
      <c r="AV205" s="47"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5"/>
      <c r="BA2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6"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7"/>
      <c r="BJ205" s="22"/>
      <c r="BK205" s="47" t="str">
        <f aca="false">IF(OR(Tasks[[#This Row],[Task Name]]="",Tasks[[#This Row],[Baseline Duration]]=""),"",Tasks[[#This Row],[_SpanDays]]-N(Tasks[[#This Row],[Baseline Duration]]))</f>
        <v/>
      </c>
      <c r="BL205" s="86" t="str">
        <f aca="false">IF(OR(Tasks[[#This Row],[Task Name]]="",Tasks[[#This Row],[Baseline Work]]=""),"",Tasks[[#This Row],[Work]]-N(Tasks[[#This Row],[Baseline Work]]))</f>
        <v/>
      </c>
      <c r="BM205" s="63" t="str">
        <f aca="false">IF(Tasks[[#This Row],[Task Name]]="","",IF(OR(TakeBaseline="Yes",N(Tasks[[#This Row],[Baseline Start]])=0),Tasks[[#This Row],[Start]],Tasks[[#This Row],[Baseline Start]]))</f>
        <v/>
      </c>
      <c r="BN205" s="63" t="str">
        <f aca="false">IF(Tasks[[#This Row],[Task Name]]="","",IF(OR(TakeBaseline="Yes",N(Tasks[[#This Row],[Baseline Finish]])=0),Tasks[[#This Row],[Finish]],Tasks[[#This Row],[Baseline Finish]]))</f>
        <v/>
      </c>
      <c r="BO205" s="21" t="str">
        <f aca="false">IF(Tasks[[#This Row],[Task Name]]="","",IF(OR(TakeBaseline="Yes",N(Tasks[[#This Row],[Baseline Duration]])=0),Tasks[[#This Row],[_SpanDays]],Tasks[[#This Row],[Baseline Duration]]))</f>
        <v/>
      </c>
      <c r="BP205" s="86" t="str">
        <f aca="false">IF(Tasks[[#This Row],[Task Name]]="","",IF(OR(TakeBaseline="Yes",N(Tasks[[#This Row],[Baseline Work]])=0),Tasks[[#This Row],[Work]],Tasks[[#This Row],[Baseline Work]]))</f>
        <v/>
      </c>
      <c r="BQ205" s="7"/>
      <c r="BR205" s="7"/>
      <c r="BS205" s="22"/>
      <c r="BT205" s="88"/>
      <c r="BU205" s="23"/>
      <c r="BV205" s="23"/>
      <c r="BW205" s="23"/>
      <c r="BX205" s="89" t="str">
        <f aca="false">IF(AND(Tasks[[#This Row],[_IsLeaf]]=1,ISNUMBER(Tasks[[#This Row],[Optimistic]]),ISNUMBER(Tasks[[#This Row],[Pessimistic]])),ROUND((Tasks[[#This Row],[Optimistic]]+4*N(Tasks[[#This Row],[_Days]])+Tasks[[#This Row],[Pessimistic]])/6,1),"")</f>
        <v/>
      </c>
      <c r="BY205" s="87"/>
      <c r="BZ205" s="87"/>
      <c r="CA205" s="22"/>
      <c r="CB205" s="43" t="str">
        <f aca="false">IF(Tasks[[#This Row],[Task Name]]="","",MAX(1,N(Tasks[[#This Row],[Level]])))</f>
        <v/>
      </c>
      <c r="CC205" s="43" t="n">
        <f aca="false">ROW()-ROW(Tasks[[#Headers],[ID]])</f>
        <v>200</v>
      </c>
      <c r="CD205" s="43" t="n">
        <f aca="false">IF(OR(Tasks[[#This Row],[Task Name]]="",Tasks[[#This Row],[_Level]]&lt;=1),0,IFERROR(LOOKUP(2,1/(Tasks[[#Headers],[_Level]]:Tasks[[#This Row],[_Level]]=Tasks[[#This Row],[_Level]]-1),ROW(Tasks[[#Headers],[_Level]]:Tasks[[#This Row],[_Level]])),0))</f>
        <v>0</v>
      </c>
      <c r="CE205" s="43" t="n">
        <f aca="false">IFERROR(N(INDEX(Tasks[_Level],Tasks[[#This Row],[_Row]]+1)),0)</f>
        <v>0</v>
      </c>
      <c r="CF205" s="90" t="b">
        <f aca="false">AND(Tasks[[#This Row],[Task Name]]&lt;&gt;"",Tasks[[#This Row],[_NextLevel]]&gt;Tasks[[#This Row],[_Level]])</f>
        <v>0</v>
      </c>
      <c r="CG205" s="43" t="n">
        <f aca="false">IF(Tasks[[#This Row],[_IsSummary]],COUNTIF(Tasks[WBS],Tasks[[#This Row],[WBS]]&amp;".*"),0)</f>
        <v>0</v>
      </c>
      <c r="CH205" s="43" t="n">
        <f aca="false">IF(AND(Tasks[[#This Row],[Task Name]]&lt;&gt;"",NOT(Tasks[[#This Row],[_IsSummary]])),1,0)</f>
        <v>0</v>
      </c>
      <c r="CI205" s="43" t="n">
        <f aca="false">IF(N(Tasks[[#This Row],[_Pred1UID]])=0,0,IFERROR(MATCH(Tasks[[#This Row],[_Pred1UID]],Tasks[UID],0),-1))</f>
        <v>0</v>
      </c>
      <c r="CJ205" s="43" t="n">
        <f aca="false">IF(N(Tasks[[#This Row],[_Pred2UID]])=0,0,IFERROR(MATCH(Tasks[[#This Row],[_Pred2UID]],Tasks[UID],0),-1))</f>
        <v>0</v>
      </c>
      <c r="CK205" s="43" t="n">
        <f aca="false">IF(N(Tasks[[#This Row],[_Pred3UID]])=0,0,IFERROR(MATCH(Tasks[[#This Row],[_Pred3UID]],Tasks[UID],0),-1))</f>
        <v>0</v>
      </c>
      <c r="CL205" s="43" t="n">
        <f aca="false">IF(N(Tasks[[#This Row],[_Pred4UID]])=0,0,IFERROR(MATCH(Tasks[[#This Row],[_Pred4UID]],Tasks[UID],0),-1))</f>
        <v>0</v>
      </c>
      <c r="CM2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5" s="91" t="n">
        <f aca="false">IF(OR(Tasks[[#This Row],[_ConstraintCode]]=2,Tasks[[#This Row],[_ConstraintCode]]=3,Tasks[[#This Row],[_ConstraintCode]]=4,Tasks[[#This Row],[_ConstraintCode]]=6),Tasks[[#This Row],[_ConstraintStart]],0)</f>
        <v>0</v>
      </c>
      <c r="CP205" s="91" t="n">
        <f aca="false">IF(OR(Tasks[[#This Row],[_ConstraintCode]]=2,Tasks[[#This Row],[_ConstraintCode]]=3,Tasks[[#This Row],[_ConstraintCode]]=5,Tasks[[#This Row],[_ConstraintCode]]=7),Tasks[[#This Row],[_ConstraintStart]],2958465)</f>
        <v>2958465</v>
      </c>
      <c r="CQ2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91" t="str">
        <f aca="false">IF(NOT(Tasks[[#This Row],[_IsLeaf]]=1),"",IF(N(Tasks[[#This Row],[_Days]])&lt;=0,Tasks[[#This Row],[_LeafCalcStart]],WORKDAY.INTL(Tasks[[#This Row],[_LeafCalcStart]],Tasks[[#This Row],[_Days]]-1,WorkWeek,Holidays)))</f>
        <v/>
      </c>
      <c r="CS2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3" t="str">
        <f aca="false">IF(Tasks[[#This Row],[_Predecessors]]="","",TRIM(MID(SUBSTITUTE(SUBSTITUTE(SUBSTITUTE(UPPER(Tasks[[#This Row],[_Predecessors]]),";",",")," ",""),",",REPT(" ",99)),1,99)))</f>
        <v/>
      </c>
      <c r="CV205" s="43" t="str">
        <f aca="false">IF(Tasks[[#This Row],[_Pred1Text]]="","",IFERROR(VALUE(LEFT(Tasks[[#This Row],[_Pred1Text]],MIN(FIND("F",Tasks[[#This Row],[_Pred1Text]]&amp;"F"),FIND("S",Tasks[[#This Row],[_Pred1Text]]&amp;"S"),FIND("+",Tasks[[#This Row],[_Pred1Text]]&amp;"+"),FIND("-",Tasks[[#This Row],[_Pred1Text]]&amp;"-"))-1)),""))</f>
        <v/>
      </c>
      <c r="CW2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3" t="str">
        <f aca="false">IF(Tasks[[#This Row],[_Pred1Text]]="","",TRIM(MID(SUBSTITUTE(SUBSTITUTE(SUBSTITUTE(UPPER(Tasks[[#This Row],[_Predecessors]]),";",",")," ",""),",",REPT(" ",99)),100,99)))</f>
        <v/>
      </c>
      <c r="CZ205" s="43" t="str">
        <f aca="false">IF(Tasks[[#This Row],[_Pred2Text]]="","",IFERROR(VALUE(LEFT(Tasks[[#This Row],[_Pred2Text]],MIN(FIND("F",Tasks[[#This Row],[_Pred2Text]]&amp;"F"),FIND("S",Tasks[[#This Row],[_Pred2Text]]&amp;"S"),FIND("+",Tasks[[#This Row],[_Pred2Text]]&amp;"+"),FIND("-",Tasks[[#This Row],[_Pred2Text]]&amp;"-"))-1)),""))</f>
        <v/>
      </c>
      <c r="DA2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3" t="str">
        <f aca="false">IF(Tasks[[#This Row],[_Pred2Text]]="","",TRIM(MID(SUBSTITUTE(SUBSTITUTE(SUBSTITUTE(UPPER(Tasks[[#This Row],[_Predecessors]]),";",",")," ",""),",",REPT(" ",99)),199,99)))</f>
        <v/>
      </c>
      <c r="DD205" s="43" t="str">
        <f aca="false">IF(Tasks[[#This Row],[_Pred3Text]]="","",IFERROR(VALUE(LEFT(Tasks[[#This Row],[_Pred3Text]],MIN(FIND("F",Tasks[[#This Row],[_Pred3Text]]&amp;"F"),FIND("S",Tasks[[#This Row],[_Pred3Text]]&amp;"S"),FIND("+",Tasks[[#This Row],[_Pred3Text]]&amp;"+"),FIND("-",Tasks[[#This Row],[_Pred3Text]]&amp;"-"))-1)),""))</f>
        <v/>
      </c>
      <c r="DE2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3" t="str">
        <f aca="false">IF(Tasks[[#This Row],[_Pred3Text]]="","",TRIM(MID(SUBSTITUTE(SUBSTITUTE(SUBSTITUTE(UPPER(Tasks[[#This Row],[_Predecessors]]),";",",")," ",""),",",REPT(" ",99)),298,99)))</f>
        <v/>
      </c>
      <c r="DH205" s="43" t="str">
        <f aca="false">IF(Tasks[[#This Row],[_Pred4Text]]="","",IFERROR(VALUE(LEFT(Tasks[[#This Row],[_Pred4Text]],MIN(FIND("F",Tasks[[#This Row],[_Pred4Text]]&amp;"F"),FIND("S",Tasks[[#This Row],[_Pred4Text]]&amp;"S"),FIND("+",Tasks[[#This Row],[_Pred4Text]]&amp;"+"),FIND("-",Tasks[[#This Row],[_Pred4Text]]&amp;"-"))-1)),""))</f>
        <v/>
      </c>
      <c r="DI2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3" t="str">
        <f aca="false">IF(OR(Tasks[[#This Row],[Task Name]]="",Tasks[[#This Row],[_Resources]]=""),"",TRIM(MID(SUBSTITUTE(Tasks[[#This Row],[_Resources]],",",REPT(" ",99)),1,99)))</f>
        <v/>
      </c>
      <c r="DL205" s="43" t="str">
        <f aca="false">IF(Tasks[[#This Row],[_Res1Text]]="","",TRIM(MID(SUBSTITUTE(Tasks[[#This Row],[_Resources]],",",REPT(" ",99)),100,99)))</f>
        <v/>
      </c>
      <c r="DM205" s="43" t="str">
        <f aca="false">IF(Tasks[[#This Row],[_Res2Text]]="","",TRIM(MID(SUBSTITUTE(Tasks[[#This Row],[_Resources]],",",REPT(" ",99)),199,99)))</f>
        <v/>
      </c>
      <c r="DN205" s="43" t="str">
        <f aca="false">IF(Tasks[[#This Row],[_Res3Text]]="","",TRIM(MID(SUBSTITUTE(Tasks[[#This Row],[_Resources]],",",REPT(" ",99)),298,99)))</f>
        <v/>
      </c>
      <c r="DO205" s="43" t="n">
        <f aca="false">IF(Tasks[[#This Row],[_Res1Text]]="",0,IFERROR(MATCH(TRIM(LEFT(Tasks[[#This Row],[_Res1Text]],FIND("[",Tasks[[#This Row],[_Res1Text]]&amp;"[")-1)),res_Name,0),IFERROR(MATCH(TRIM(LEFT(Tasks[[#This Row],[_Res1Text]],FIND("[",Tasks[[#This Row],[_Res1Text]]&amp;"[")-1)),res_Initials,0),0)))</f>
        <v>0</v>
      </c>
      <c r="DP205" s="43" t="n">
        <f aca="false">IF(Tasks[[#This Row],[_Res2Text]]="",0,IFERROR(MATCH(TRIM(LEFT(Tasks[[#This Row],[_Res2Text]],FIND("[",Tasks[[#This Row],[_Res2Text]]&amp;"[")-1)),res_Name,0),IFERROR(MATCH(TRIM(LEFT(Tasks[[#This Row],[_Res2Text]],FIND("[",Tasks[[#This Row],[_Res2Text]]&amp;"[")-1)),res_Initials,0),0)))</f>
        <v>0</v>
      </c>
      <c r="DQ205" s="43" t="n">
        <f aca="false">IF(Tasks[[#This Row],[_Res3Text]]="",0,IFERROR(MATCH(TRIM(LEFT(Tasks[[#This Row],[_Res3Text]],FIND("[",Tasks[[#This Row],[_Res3Text]]&amp;"[")-1)),res_Name,0),IFERROR(MATCH(TRIM(LEFT(Tasks[[#This Row],[_Res3Text]],FIND("[",Tasks[[#This Row],[_Res3Text]]&amp;"[")-1)),res_Initials,0),0)))</f>
        <v>0</v>
      </c>
      <c r="DR205" s="43" t="n">
        <f aca="false">IF(Tasks[[#This Row],[_Res4Text]]="",0,IFERROR(MATCH(TRIM(LEFT(Tasks[[#This Row],[_Res4Text]],FIND("[",Tasks[[#This Row],[_Res4Text]]&amp;"[")-1)),res_Name,0),IFERROR(MATCH(TRIM(LEFT(Tasks[[#This Row],[_Res4Text]],FIND("[",Tasks[[#This Row],[_Res4Text]]&amp;"[")-1)),res_Initials,0),0)))</f>
        <v>0</v>
      </c>
      <c r="DS205" s="43" t="str">
        <f aca="false">IF(Tasks[[#This Row],[_Res1Text]]="","",IF(Tasks[[#This Row],[_Res1Row]]&gt;0,INDEX(res_Name,Tasks[[#This Row],[_Res1Row]]),TRIM(LEFT(Tasks[[#This Row],[_Res1Text]],FIND("[",Tasks[[#This Row],[_Res1Text]]&amp;"[")-1))))</f>
        <v/>
      </c>
      <c r="DT2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3" t="n">
        <f aca="false">IF(NOT(Tasks[[#This Row],[_IsLeaf]]=1),0,(Tasks[[#This Row],[_Resource1]]&lt;&gt;"")+(Tasks[[#This Row],[_Res2]]&lt;&gt;"")+(Tasks[[#This Row],[_Res3]]&lt;&gt;"")+(Tasks[[#This Row],[_Res4]]&lt;&gt;""))</f>
        <v>0</v>
      </c>
      <c r="DV205" s="43" t="str">
        <f aca="false">IF(Tasks[[#This Row],[_Res2Text]]="","",IF(Tasks[[#This Row],[_Res2Row]]&gt;0,INDEX(res_Name,Tasks[[#This Row],[_Res2Row]]),TRIM(LEFT(Tasks[[#This Row],[_Res2Text]],FIND("[",Tasks[[#This Row],[_Res2Text]]&amp;"[")-1))))</f>
        <v/>
      </c>
      <c r="DW2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3" t="n">
        <f aca="false">IF(OR(NOT(Tasks[[#This Row],[_IsLeaf]]=1),Tasks[[#This Row],[_Res2Row]]=0),0,N(Tasks[[#This Row],[_Days]])*HoursPerDay*IF(Tasks[[#This Row],[_Res2Units]]="",DefaultUnits,Tasks[[#This Row],[_Res2Units]]))</f>
        <v>0</v>
      </c>
      <c r="DY205" s="43" t="n">
        <f aca="false">IF(AND(AND(Tasks[[#This Row],[_IsLeaf]]=1,Tasks[[#This Row],[_LeafTotalWork]]&gt;0),Tasks[[#This Row],[_Res2Work]]&gt;0),Tasks[[#This Row],[_Res2Work]]/(Tasks[[#This Row],[_FinishWorkday]]-Tasks[[#This Row],[_StartWorkday]]+1),0)</f>
        <v>0</v>
      </c>
      <c r="DZ205" s="43" t="n">
        <f aca="false">Tasks[[#This Row],[_Res2WorkPerWD]]*MAX(0,Tasks[[#This Row],[_StartWorkday]]-1)</f>
        <v>0</v>
      </c>
      <c r="EA205" s="43" t="n">
        <f aca="false">Tasks[[#This Row],[_Res2Work]]*Tasks[[#This Row],[_LeafProgress]]</f>
        <v>0</v>
      </c>
      <c r="EB205" s="43" t="str">
        <f aca="false">IF(Tasks[[#This Row],[_Res3Text]]="","",IF(Tasks[[#This Row],[_Res3Row]]&gt;0,INDEX(res_Name,Tasks[[#This Row],[_Res3Row]]),TRIM(LEFT(Tasks[[#This Row],[_Res3Text]],FIND("[",Tasks[[#This Row],[_Res3Text]]&amp;"[")-1))))</f>
        <v/>
      </c>
      <c r="EC2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3" t="n">
        <f aca="false">IF(OR(NOT(Tasks[[#This Row],[_IsLeaf]]=1),Tasks[[#This Row],[_Res3Row]]=0),0,N(Tasks[[#This Row],[_Days]])*HoursPerDay*IF(Tasks[[#This Row],[_Res3Units]]="",DefaultUnits,Tasks[[#This Row],[_Res3Units]]))</f>
        <v>0</v>
      </c>
      <c r="EE205" s="43" t="n">
        <f aca="false">IF(AND(AND(Tasks[[#This Row],[_IsLeaf]]=1,Tasks[[#This Row],[_LeafTotalWork]]&gt;0),Tasks[[#This Row],[_Res3Work]]&gt;0),Tasks[[#This Row],[_Res3Work]]/(Tasks[[#This Row],[_FinishWorkday]]-Tasks[[#This Row],[_StartWorkday]]+1),0)</f>
        <v>0</v>
      </c>
      <c r="EF205" s="43" t="n">
        <f aca="false">Tasks[[#This Row],[_Res3WorkPerWD]]*MAX(0,Tasks[[#This Row],[_StartWorkday]]-1)</f>
        <v>0</v>
      </c>
      <c r="EG205" s="43" t="n">
        <f aca="false">Tasks[[#This Row],[_Res3Work]]*Tasks[[#This Row],[_LeafProgress]]</f>
        <v>0</v>
      </c>
      <c r="EH205" s="43" t="str">
        <f aca="false">IF(Tasks[[#This Row],[_Res4Text]]="","",IF(Tasks[[#This Row],[_Res4Row]]&gt;0,INDEX(res_Name,Tasks[[#This Row],[_Res4Row]]),TRIM(LEFT(Tasks[[#This Row],[_Res4Text]],FIND("[",Tasks[[#This Row],[_Res4Text]]&amp;"[")-1))))</f>
        <v/>
      </c>
      <c r="EI2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3" t="n">
        <f aca="false">IF(OR(NOT(Tasks[[#This Row],[_IsLeaf]]=1),Tasks[[#This Row],[_Res4Row]]=0),0,N(Tasks[[#This Row],[_Days]])*HoursPerDay*IF(Tasks[[#This Row],[_Res4Units]]="",DefaultUnits,Tasks[[#This Row],[_Res4Units]]))</f>
        <v>0</v>
      </c>
      <c r="EK205" s="43" t="n">
        <f aca="false">IF(AND(AND(Tasks[[#This Row],[_IsLeaf]]=1,Tasks[[#This Row],[_LeafTotalWork]]&gt;0),Tasks[[#This Row],[_Res4Work]]&gt;0),Tasks[[#This Row],[_Res4Work]]/(Tasks[[#This Row],[_FinishWorkday]]-Tasks[[#This Row],[_StartWorkday]]+1),0)</f>
        <v>0</v>
      </c>
      <c r="EL205" s="43" t="n">
        <f aca="false">Tasks[[#This Row],[_Res4WorkPerWD]]*MAX(0,Tasks[[#This Row],[_StartWorkday]]-1)</f>
        <v>0</v>
      </c>
      <c r="EM205" s="43" t="n">
        <f aca="false">Tasks[[#This Row],[_Res4Work]]*Tasks[[#This Row],[_LeafProgress]]</f>
        <v>0</v>
      </c>
      <c r="EN205" s="43" t="n">
        <f aca="false">IF(ISNUMBER(Tasks[[#This Row],[% Complete]]),Tasks[[#This Row],[% Complete]],IF(Tasks[[#This Row],[Stage]]="",0,IFERROR(INDEX(stg_Pct,MATCH(Tasks[[#This Row],[Stage]],stg_Name,0)),0)))</f>
        <v>0</v>
      </c>
      <c r="EO205" s="43" t="n">
        <f aca="false">IF(NOT(Tasks[[#This Row],[_IsLeaf]]=1),0,IF(N(Tasks[[#This Row],[Actual Finish]])&gt;0,1,MIN(1,Tasks[[#This Row],[_Pct]])))</f>
        <v>0</v>
      </c>
      <c r="EP205" s="43" t="n">
        <f aca="false">IF(OR(NOT(Tasks[[#This Row],[_IsLeaf]]=1),Tasks[[#This Row],[_Res1Row]]=0),0,N(Tasks[[#This Row],[_Days]])*HoursPerDay*IF(Tasks[[#This Row],[_Units1]]="",DefaultUnits,Tasks[[#This Row],[_Units1]]))</f>
        <v>0</v>
      </c>
      <c r="EQ205" s="43" t="n">
        <f aca="false">Tasks[[#This Row],[_LeafWork]]+Tasks[[#This Row],[_Res2Work]]+Tasks[[#This Row],[_Res3Work]]+Tasks[[#This Row],[_Res4Work]]</f>
        <v>0</v>
      </c>
      <c r="ER2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3" t="n">
        <f aca="false">IF(NOT(Tasks[[#This Row],[_IsLeaf]]=1),0,MAX(_xlfn.MAXIFS(Tasks[_Row],Tasks[_Pred1UID],Tasks[[#This Row],[UID]]),_xlfn.MAXIFS(Tasks[_Row],Tasks[_Pred2UID],Tasks[[#This Row],[UID]]),_xlfn.MAXIFS(Tasks[_Row],Tasks[_Pred3UID],Tasks[[#This Row],[UID]]),_xlfn.MAXIFS(Tasks[_Row],Tasks[_Pred4UID],Tasks[[#This Row],[UID]])))</f>
        <v>0</v>
      </c>
      <c r="FA2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91" t="str">
        <f aca="false">IF(NOT(Tasks[[#This Row],[_IsLeaf]]=1),"",IF(N(Tasks[[#This Row],[_Days]])&lt;=0,Tasks[[#This Row],[_LeafLateFinish]],WORKDAY.INTL(Tasks[[#This Row],[_LeafLateFinish]],-(Tasks[[#This Row],[_Days]]-1),WorkWeek,Holidays)))</f>
        <v/>
      </c>
      <c r="FD2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5" s="90" t="b">
        <f aca="false">AND(Tasks[[#This Row],[_IsLeaf]]=1,Tasks[[#This Row],[_LeafProgress]]&lt;1,N(Tasks[[#This Row],[_LeafTotalSlack]])&lt;=CriticalSlackDays)</f>
        <v>0</v>
      </c>
      <c r="FF205" s="43" t="n">
        <f aca="false">IF(AND(Tasks[[#This Row],[_IsLeaf]]=1,Tasks[[#This Row],[_ConstraintCode]]=1,Tasks[[#This Row],[Mode]]&lt;&gt;"Manual",N(Tasks[[#This Row],[Actual Start]])=0),MAX(0,N(Tasks[[#This Row],[Free Slack]])),0)</f>
        <v>0</v>
      </c>
      <c r="FG205" s="91" t="str">
        <f aca="false">IF(NOT(Tasks[[#This Row],[_IsLeaf]]=1),"",IF(Tasks[[#This Row],[_AlapShift]]=0,Tasks[[#This Row],[_LeafCalcStart]],WORKDAY.INTL(Tasks[[#This Row],[_LeafCalcStart]],Tasks[[#This Row],[_AlapShift]],WorkWeek,Holidays)))</f>
        <v/>
      </c>
      <c r="FH205" s="91" t="str">
        <f aca="false">IF(NOT(Tasks[[#This Row],[_IsLeaf]]=1),"",IF(Tasks[[#This Row],[_AlapShift]]=0,Tasks[[#This Row],[_LeafCalcFinish]],WORKDAY.INTL(Tasks[[#This Row],[_LeafCalcFinish]],Tasks[[#This Row],[_AlapShift]],WorkWeek,Holidays)))</f>
        <v/>
      </c>
      <c r="FI205" s="91" t="str">
        <f aca="false">IF(NOT(Tasks[[#This Row],[_IsLeaf]]=1),"",IF(Tasks[[#This Row],[_AlapShift]]=0,Tasks[[#This Row],[_LeafFcstStart]],WORKDAY.INTL(Tasks[[#This Row],[_LeafFcstStart]],Tasks[[#This Row],[_AlapShift]],WorkWeek,Holidays)))</f>
        <v/>
      </c>
      <c r="FJ205" s="91" t="str">
        <f aca="false">IF(NOT(Tasks[[#This Row],[_IsLeaf]]=1),"",IF(Tasks[[#This Row],[_AlapShift]]=0,Tasks[[#This Row],[_LeafFcstFinish]],WORKDAY.INTL(Tasks[[#This Row],[_LeafFcstFinish]],Tasks[[#This Row],[_AlapShift]],WorkWeek,Holidays)))</f>
        <v/>
      </c>
      <c r="FK205" s="91" t="str">
        <f aca="false">IF(Tasks[[#This Row],[Task Name]]="","",IF(Tasks[[#This Row],[_IsSummary]],MIN(INDEX(Tasks[_ShownCalcStart],Tasks[[#This Row],[_Row]]+1):INDEX(Tasks[_ShownCalcStart],Tasks[[#This Row],[_Row]]+Tasks[[#This Row],[_Descendants]])),Tasks[[#This Row],[_ShownCalcStart]]))</f>
        <v/>
      </c>
      <c r="FL205" s="91" t="str">
        <f aca="false">IF(Tasks[[#This Row],[Task Name]]="","",IF(Tasks[[#This Row],[_IsSummary]],MAX(INDEX(Tasks[_ShownCalcFinish],Tasks[[#This Row],[_Row]]+1):INDEX(Tasks[_ShownCalcFinish],Tasks[[#This Row],[_Row]]+Tasks[[#This Row],[_Descendants]])),Tasks[[#This Row],[_ShownCalcFinish]]))</f>
        <v/>
      </c>
      <c r="FM2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5" s="43" t="n">
        <f aca="false">IF(AND(Tasks[[#This Row],[_IsLeaf]]=1,Tasks[[#This Row],[_LeafTotalWork]]&gt;0),NETWORKDAYS.INTL(ProjectStart,Tasks[[#This Row],[_ShownFcstStart]],WorkWeek,Holidays),0)</f>
        <v>0</v>
      </c>
      <c r="FZ205" s="43" t="n">
        <f aca="false">IF(AND(Tasks[[#This Row],[_IsLeaf]]=1,Tasks[[#This Row],[_LeafTotalWork]]&gt;0),MAX(Tasks[[#This Row],[_StartWorkday]],NETWORKDAYS.INTL(ProjectStart,Tasks[[#This Row],[_ShownFcstFinish]],WorkWeek,Holidays)),0)</f>
        <v>0</v>
      </c>
      <c r="GA205" s="43" t="n">
        <f aca="false">IF(AND(Tasks[[#This Row],[_IsLeaf]]=1,Tasks[[#This Row],[_LeafTotalWork]]&gt;0),Tasks[[#This Row],[_LeafWork]]/(Tasks[[#This Row],[_FinishWorkday]]-Tasks[[#This Row],[_StartWorkday]]+1),0)</f>
        <v>0</v>
      </c>
      <c r="GB205" s="43" t="n">
        <f aca="false">Tasks[[#This Row],[_WorkPerWorkday]]*(Tasks[[#This Row],[_StartWorkday]]-1)</f>
        <v>-0</v>
      </c>
      <c r="GC205" s="43" t="n">
        <f aca="false">IF(Tasks[[#This Row],[_IsLeaf]]=1,MAX(N(Tasks[[#This Row],[_Days]]),0.1),0)</f>
        <v>0</v>
      </c>
      <c r="GD205" s="43" t="n">
        <f aca="false">Tasks[[#This Row],[_WeightDur]]*Tasks[[#This Row],[_LeafProgress]]</f>
        <v>0</v>
      </c>
      <c r="GE205" s="43" t="n">
        <f aca="false">Tasks[[#This Row],[_WeightDur]]*Tasks[[#This Row],[_PlannedPct]]</f>
        <v>0</v>
      </c>
      <c r="GF2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3" t="str">
        <f aca="false">IF(AND(Tasks[[#This Row],[_IsLeaf]]=1,N(Tasks[[#This Row],[_Days]])=0,Tasks[[#This Row],[_LeafProgress]]&lt;1),Tasks[[#This Row],[_ShownFcstFinish]]+Tasks[[#This Row],[_Row]]/100000,"")</f>
        <v/>
      </c>
      <c r="GH2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5" s="43" t="str">
        <f aca="false">IF(Tasks[[#This Row],[Task Name]]="","",LEFT(Tasks[[#This Row],[WBS]],FIND(".",Tasks[[#This Row],[WBS]]&amp;".")-1))</f>
        <v/>
      </c>
      <c r="GJ205" s="43" t="str">
        <f aca="false">IF(AND(Tasks[[#This Row],[Task Name]]&lt;&gt;"",Tasks[[#This Row],[_Level]]=1),Tasks[[#This Row],[_Row]],"")</f>
        <v/>
      </c>
      <c r="GK205" s="43" t="str">
        <f aca="false">IF(AND(Tasks[[#This Row],[_IsLeaf]]=1,N(Tasks[[#This Row],[_Days]])=0),Tasks[[#This Row],[Planned Finish]]+Tasks[[#This Row],[_Row]]/100000,"")</f>
        <v/>
      </c>
      <c r="GL205" s="43" t="str">
        <f aca="false">IF(AND(Tasks[[#This Row],[_IsLeaf]]=1,Tasks[[#This Row],[_LeafProgress]]&lt;1,OR(N(Tasks[[#This Row],[Finish Var]])&gt;0,Tasks[[#This Row],[Status]]="Late Start")),MAX(0,Tasks[[#This Row],[Finish Var]])+1-Tasks[[#This Row],[_Row]]/1000000,"")</f>
        <v/>
      </c>
      <c r="GM205" s="43" t="str">
        <f aca="false">IF(AND(Tasks[[#This Row],[_IsLeaf]]=1,N(Tasks[[#This Row],[Actual Start]])=0,Tasks[[#This Row],[_ShownFcstStart]]&gt;=StatusDate,Tasks[[#This Row],[_ShownFcstStart]]&lt;=LookaheadEnd),Tasks[[#This Row],[_ShownFcstStart]]+Tasks[[#This Row],[_Row]]/100000,"")</f>
        <v/>
      </c>
      <c r="GN205" s="43" t="str">
        <f aca="false">IF(AND(Tasks[[#This Row],[_IsLeaf]]=1,Tasks[[#This Row],[_LeafProgress]]&lt;1,Tasks[[#This Row],[_ShownFcstFinish]]&gt;=StatusDate,Tasks[[#This Row],[_ShownFcstFinish]]&lt;=LookaheadEnd),Tasks[[#This Row],[_ShownFcstFinish]]+Tasks[[#This Row],[_Row]]/100000,"")</f>
        <v/>
      </c>
      <c r="GO205" s="43" t="str">
        <f aca="false">IF(Tasks[[#This Row],[_LeafCritical]],Tasks[[#This Row],[_ShownFcstStart]]+Tasks[[#This Row],[_Row]]/100000,"")</f>
        <v/>
      </c>
      <c r="GP205" s="43" t="n">
        <f aca="false">Tasks[[#This Row],[_LeafWork]]*Tasks[[#This Row],[_LeafProgress]]</f>
        <v>0</v>
      </c>
      <c r="GQ205" s="91" t="str">
        <f aca="false">IF(AND(Tasks[[#This Row],[_IsLeaf]]=1,Tasks[[#This Row],[_LeafProgress]]&gt;=1),IF(N(Tasks[[#This Row],[Actual Finish]])&gt;0,Tasks[[#This Row],[Actual Finish]],Tasks[[#This Row],[_ShownFcstFinish]]),"")</f>
        <v/>
      </c>
      <c r="GR205" s="43" t="n">
        <f aca="false">IF(Tasks[[#This Row],[_IsLeaf]]=1,N(Tasks[[#This Row],[Story Points]]),0)</f>
        <v>0</v>
      </c>
      <c r="GS205" s="43" t="str">
        <f aca="false">""</f>
        <v/>
      </c>
      <c r="GT205" s="90" t="b">
        <f aca="false">IF(Tasks[[#This Row],[Task Name]]="",FALSE(),AND(Tasks[[#This Row],[_IsLeaf]]=1,N(Tasks[[#This Row],[_Days]])=0))</f>
        <v>0</v>
      </c>
      <c r="GU205" s="91" t="n">
        <f aca="false">IF(Tasks[[#This Row],[Task Name]]="",0,IF(AND(Tasks[[#This Row],[_IsLeaf]]=1,NOT(Tasks[[#This Row],[_IsMilestone]]),N(Tasks[[#This Row],[Progress]])&gt;0),Tasks[[#This Row],[Start]],0))</f>
        <v>0</v>
      </c>
      <c r="GV205" s="91" t="n">
        <f aca="false">IF(Tasks[[#This Row],[_DoneFrom]]=0,0,IF(Tasks[[#This Row],[Progress]]&gt;=1,Tasks[[#This Row],[Finish]],MAX(Tasks[[#This Row],[_DoneFrom]],Tasks[[#This Row],[Start]]+ROUND((Tasks[[#This Row],[Finish]]-Tasks[[#This Row],[Start]]+1)*Tasks[[#This Row],[Progress]],0)-1)))</f>
        <v>0</v>
      </c>
      <c r="GW205" s="91" t="n">
        <f aca="false">IF(Tasks[[#This Row],[Task Name]]="",0,IF(OR(NOT(Tasks[[#This Row],[_IsLeaf]]=1),Tasks[[#This Row],[_IsMilestone]],N(Tasks[[#This Row],[Progress]])&gt;=1),0,IF(Tasks[[#This Row],[_DoneTo]]&gt;0,Tasks[[#This Row],[_DoneTo]]+1,Tasks[[#This Row],[Start]])))</f>
        <v>0</v>
      </c>
      <c r="GX205" s="91" t="n">
        <f aca="false">IF(Tasks[[#This Row],[_RemFrom]]=0,0,Tasks[[#This Row],[Finish]])</f>
        <v>0</v>
      </c>
      <c r="GY205" s="90" t="b">
        <f aca="false">IF(Tasks[[#This Row],[Task Name]]="",FALSE(),OR(NOT(BaselineSet),N(Tasks[[#This Row],[Baseline Start]])&gt;0))</f>
        <v>0</v>
      </c>
      <c r="GZ20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92" t="str">
        <f aca="false">IF(Tasks[[#This Row],[_IsLeaf]]=1,Tasks[[#This Row],[_Row]],"")</f>
        <v/>
      </c>
      <c r="HD205" s="92" t="str">
        <f aca="false">IFERROR(INDEX(Tasks[UID],SMALL(Tasks[_PickKey],Tasks[[#This Row],[_Row]]))&amp;" "&amp;INDEX(Tasks[Task Name],SMALL(Tasks[_PickKey],Tasks[[#This Row],[_Row]])),"")</f>
        <v/>
      </c>
      <c r="HE205" s="43" t="str">
        <f aca="false">IF(Tasks[[#This Row],[Task Name]]="","",IF(Tasks[[#This Row],[_IsSummary]],NETWORKDAYS.INTL(Tasks[[#This Row],[Start]],Tasks[[#This Row],[Finish]],WorkWeek,Holidays),N(Tasks[[#This Row],[_Days]])))</f>
        <v/>
      </c>
      <c r="HF205" s="43" t="n">
        <f aca="false">IF(Tasks[[#This Row],[Expected]]="",0,((Tasks[[#This Row],[Pessimistic]]-Tasks[[#This Row],[Optimistic]])/6)^2)</f>
        <v>0</v>
      </c>
      <c r="HG205" s="43" t="n">
        <f aca="false">IF(Tasks[[#This Row],[Expected]]="",0,Tasks[[#This Row],[Expected]]-N(Tasks[[#This Row],[_Days]]))</f>
        <v>0</v>
      </c>
    </row>
  </sheetData>
  <conditionalFormatting sqref="A6:BT205">
    <cfRule type="expression" priority="2" aboveAverage="0" equalAverage="0" bottom="0" percent="0" rank="0" text="" dxfId="36">
      <formula>$CF6=1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3" aboveAverage="0" equalAverage="0" bottom="0" percent="0" rank="0" text="" dxfId="37">
      <formula>$CF6=1</formula>
    </cfRule>
  </conditionalFormatting>
  <conditionalFormatting sqref="AO6:AO205">
    <cfRule type="expression" priority="4" aboveAverage="0" equalAverage="0" bottom="0" percent="0" rank="0" text="" dxfId="23">
      <formula>$AO6="Complete"</formula>
    </cfRule>
    <cfRule type="expression" priority="5" aboveAverage="0" equalAverage="0" bottom="0" percent="0" rank="0" text="" dxfId="38">
      <formula>$AO6="In Progress"</formula>
    </cfRule>
    <cfRule type="expression" priority="6" aboveAverage="0" equalAverage="0" bottom="0" percent="0" rank="0" text="" dxfId="24">
      <formula>$AO6="Behind"</formula>
    </cfRule>
    <cfRule type="expression" priority="7" aboveAverage="0" equalAverage="0" bottom="0" percent="0" rank="0" text="" dxfId="39">
      <formula>$AO6="Late Start"</formula>
    </cfRule>
    <cfRule type="expression" priority="8" aboveAverage="0" equalAverage="0" bottom="0" percent="0" rank="0" text="" dxfId="40">
      <formula>$AO6="Not Started"</formula>
    </cfRule>
  </conditionalFormatting>
  <conditionalFormatting sqref="AS6:AS205">
    <cfRule type="expression" priority="9" aboveAverage="0" equalAverage="0" bottom="0" percent="0" rank="0" text="" dxfId="24">
      <formula>AND(ISNUMBER($AS6),$AS6&gt;0)</formula>
    </cfRule>
    <cfRule type="expression" priority="10" aboveAverage="0" equalAverage="0" bottom="0" percent="0" rank="0" text="" dxfId="23">
      <formula>AND(ISNUMBER($AS6),$AS6&lt;0)</formula>
    </cfRule>
  </conditionalFormatting>
  <conditionalFormatting sqref="AN6:AN205">
    <cfRule type="expression" priority="11" aboveAverage="0" equalAverage="0" bottom="0" percent="0" rank="0" text="" dxfId="24">
      <formula>AND(ISNUMBER($AN6),$AN6&gt;0)</formula>
    </cfRule>
    <cfRule type="expression" priority="12" aboveAverage="0" equalAverage="0" bottom="0" percent="0" rank="0" text="" dxfId="23">
      <formula>AND(ISNUMBER($AN6),$AN6&lt;0)</formula>
    </cfRule>
  </conditionalFormatting>
  <conditionalFormatting sqref="BK6:BK205">
    <cfRule type="expression" priority="13" aboveAverage="0" equalAverage="0" bottom="0" percent="0" rank="0" text="" dxfId="24">
      <formula>AND(ISNUMBER($BK6),$BK6&gt;0)</formula>
    </cfRule>
    <cfRule type="expression" priority="14" aboveAverage="0" equalAverage="0" bottom="0" percent="0" rank="0" text="" dxfId="23">
      <formula>AND(ISNUMBER($BK6),$BK6&lt;0)</formula>
    </cfRule>
  </conditionalFormatting>
  <conditionalFormatting sqref="BL6:BL205">
    <cfRule type="expression" priority="15" aboveAverage="0" equalAverage="0" bottom="0" percent="0" rank="0" text="" dxfId="24">
      <formula>AND(ISNUMBER($BL6),$BL6&gt;0)</formula>
    </cfRule>
    <cfRule type="expression" priority="16" aboveAverage="0" equalAverage="0" bottom="0" percent="0" rank="0" text="" dxfId="23">
      <formula>AND(ISNUMBER($BL6),$BL6&lt;0)</formula>
    </cfRule>
  </conditionalFormatting>
  <conditionalFormatting sqref="D6:D205">
    <cfRule type="expression" priority="17" aboveAverage="0" equalAverage="0" bottom="0" percent="0" rank="0" text="" dxfId="41">
      <formula>AND($CH6=1,N($E6)=0)</formula>
    </cfRule>
  </conditionalFormatting>
  <conditionalFormatting sqref="BC6:BC205">
    <cfRule type="expression" priority="18" aboveAverage="0" equalAverage="0" bottom="0" percent="0" rank="0" text="" dxfId="42">
      <formula>$BC6="?"</formula>
    </cfRule>
  </conditionalFormatting>
  <conditionalFormatting sqref="B6:B205">
    <cfRule type="expression" priority="19" aboveAverage="0" equalAverage="0" bottom="0" percent="0" rank="0" text="" dxfId="21">
      <formula>OR(AND($D6&lt;&gt;"",$B6=""),AND($B6&lt;&gt;"",COUNTIF(tsk_UID,$B6)&gt;1))</formula>
    </cfRule>
  </conditionalFormatting>
  <conditionalFormatting sqref="AY6:AY205">
    <cfRule type="expression" priority="20" aboveAverage="0" equalAverage="0" bottom="0" percent="0" rank="0" text="" dxfId="43">
      <formula>$AY6&lt;&gt;""</formula>
    </cfRule>
  </conditionalFormatting>
  <conditionalFormatting sqref="AX6:AX205">
    <cfRule type="expression" priority="21" aboveAverage="0" equalAverage="0" bottom="0" percent="0" rank="0" text="" dxfId="24">
      <formula>LEFT($AX6,4)="Late"</formula>
    </cfRule>
    <cfRule type="expression" priority="22" aboveAverage="0" equalAverage="0" bottom="0" percent="0" rank="0" text="" dxfId="23">
      <formula>$AX6="OK"</formula>
    </cfRule>
  </conditionalFormatting>
  <conditionalFormatting sqref="BH6:BH205">
    <cfRule type="expression" priority="23" aboveAverage="0" equalAverage="0" bottom="0" percent="0" rank="0" text="" dxfId="21">
      <formula>$BH6="Yes"</formula>
    </cfRule>
  </conditionalFormatting>
  <conditionalFormatting sqref="AP6:AP205">
    <cfRule type="expression" priority="24" aboveAverage="0" equalAverage="0" bottom="0" percent="0" rank="0" text="" dxfId="25">
      <formula>$AP6="Yes"</formula>
    </cfRule>
  </conditionalFormatting>
  <conditionalFormatting sqref="AV6:AV205">
    <cfRule type="expression" priority="25" aboveAverage="0" equalAverage="0" bottom="0" percent="0" rank="0" text="" dxfId="24">
      <formula>AND(ISNUMBER($AV6),$AV6&lt;0)</formula>
    </cfRule>
  </conditionalFormatting>
  <conditionalFormatting sqref="AW6:AW205">
    <cfRule type="expression" priority="26" aboveAverage="0" equalAverage="0" bottom="0" percent="0" rank="0" text="" dxfId="24">
      <formula>AND(ISNUMBER($AW6),$AW6&lt;0)</formula>
    </cfRule>
  </conditionalFormatting>
  <conditionalFormatting sqref="HI6:NB205">
    <cfRule type="expression" priority="27" aboveAverage="0" equalAverage="0" bottom="0" percent="0" rank="0" text="" dxfId="31">
      <formula>AND(N($AJ6)&gt;0,N($AJ6)&gt;=HI$5,N($AJ6)&lt;IF(GanttPeriod&lt;28,HI$5+GanttPeriod,EDATE(HI$5,IF(GanttPeriod&gt;=90,3,1))))</formula>
    </cfRule>
    <cfRule type="expression" priority="28" aboveAverage="0" equalAverage="0" bottom="0" percent="0" rank="0" text="" dxfId="44">
      <formula>AND($CF6,AND($AE6&gt;0,HI$5&lt;=$AF6,IF(GanttPeriod&lt;28,HI$5+GanttPeriod,EDATE(HI$5,IF(GanttPeriod&gt;=90,3,1)))-1&gt;=$AE6))</formula>
    </cfRule>
    <cfRule type="expression" priority="29" aboveAverage="0" equalAverage="0" bottom="0" percent="0" rank="0" text="" dxfId="32">
      <formula>AND($GT6,AND($AE6&gt;0,$AE6&gt;=HI$5,$AE6&lt;IF(GanttPeriod&lt;28,HI$5+GanttPeriod,EDATE(HI$5,IF(GanttPeriod&gt;=90,3,1)))))</formula>
    </cfRule>
    <cfRule type="expression" priority="30" aboveAverage="0" equalAverage="0" bottom="0" percent="0" rank="0" text="" dxfId="26">
      <formula>AND($GU6&gt;0,HI$5&lt;=$GV6,IF(GanttPeriod&lt;28,HI$5+GanttPeriod,EDATE(HI$5,IF(GanttPeriod&gt;=90,3,1)))-1&gt;=$GU6)</formula>
    </cfRule>
    <cfRule type="expression" priority="31" aboveAverage="0" equalAverage="0" bottom="0" percent="0" rank="0" text="" dxfId="45">
      <formula>AND($GY6,ISNUMBER($AR6),HI$5&gt;$AR6,AND($GW6&gt;0,HI$5&lt;=$GX6,IF(GanttPeriod&lt;28,HI$5+GanttPeriod,EDATE(HI$5,IF(GanttPeriod&gt;=90,3,1)))-1&gt;=$GW6))</formula>
    </cfRule>
    <cfRule type="expression" priority="32" aboveAverage="0" equalAverage="0" bottom="0" percent="0" rank="0" text="" dxfId="27">
      <formula>AND($AP6="Yes",AND($GW6&gt;0,HI$5&lt;=$GX6,IF(GanttPeriod&lt;28,HI$5+GanttPeriod,EDATE(HI$5,IF(GanttPeriod&gt;=90,3,1)))-1&gt;=$GW6))</formula>
    </cfRule>
    <cfRule type="expression" priority="33" aboveAverage="0" equalAverage="0" bottom="0" percent="0" rank="0" text="" dxfId="46">
      <formula>AND($GW6&gt;0,HI$5&lt;=$GX6,IF(GanttPeriod&lt;28,HI$5+GanttPeriod,EDATE(HI$5,IF(GanttPeriod&gt;=90,3,1)))-1&gt;=$GW6)</formula>
    </cfRule>
    <cfRule type="expression" priority="34" aboveAverage="0" equalAverage="0" bottom="0" percent="0" rank="0" text="" dxfId="47">
      <formula>AND($GY6,ISNUMBER($AQ6),AND($AQ6&gt;0,HI$5&lt;=$AR6,IF(GanttPeriod&lt;28,HI$5+GanttPeriod,EDATE(HI$5,IF(GanttPeriod&gt;=90,3,1)))-1&gt;=$AQ6))</formula>
    </cfRule>
    <cfRule type="expression" priority="35" aboveAverage="0" equalAverage="0" bottom="0" percent="0" rank="0" text="" dxfId="4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6" aboveAverage="0" equalAverage="0" bottom="0" percent="0" rank="0" text="" dxfId="49">
      <formula>AND(AND($GY6,ISNUMBER($AQ6),AND($AQ6&gt;0,HI$5&lt;=$AR6,IF(GanttPeriod&lt;28,HI$5+GanttPeriod,EDATE(HI$5,IF(GanttPeriod&gt;=90,3,1)))-1&gt;=$AQ6)),AND($AQ6&gt;0,$AQ6&gt;=HI$5,$AQ6&lt;IF(GanttPeriod&lt;28,HI$5+GanttPeriod,EDATE(HI$5,IF(GanttPeriod&gt;=90,3,1)))))</formula>
    </cfRule>
    <cfRule type="expression" priority="37" aboveAverage="0" equalAverage="0" bottom="0" percent="0" rank="0" text="" dxfId="50">
      <formula>AND(AND($GY6,ISNUMBER($AQ6),AND($AQ6&gt;0,HI$5&lt;=$AR6,IF(GanttPeriod&lt;28,HI$5+GanttPeriod,EDATE(HI$5,IF(GanttPeriod&gt;=90,3,1)))-1&gt;=$AQ6)),AND($AR6&gt;0,$AR6&gt;=HI$5,$AR6&lt;IF(GanttPeriod&lt;28,HI$5+GanttPeriod,EDATE(HI$5,IF(GanttPeriod&gt;=90,3,1)))))</formula>
    </cfRule>
    <cfRule type="expression" priority="38" aboveAverage="0" equalAverage="0" bottom="0" percent="0" rank="0" text="" dxfId="51">
      <formula>AND($GY6,ISNUMBER($AQ6),AND($AQ6&gt;0,HI$5&lt;=$AR6,IF(GanttPeriod&lt;28,HI$5+GanttPeriod,EDATE(HI$5,IF(GanttPeriod&gt;=90,3,1)))-1&gt;=$AQ6))</formula>
    </cfRule>
    <cfRule type="expression" priority="39" aboveAverage="0" equalAverage="0" bottom="0" percent="0" rank="0" text="" dxfId="30">
      <formula>AND(StatusDate&gt;0,StatusDate&gt;=HI$5,StatusDate&lt;IF(GanttPeriod&lt;28,HI$5+GanttPeriod,EDATE(HI$5,IF(GanttPeriod&gt;=90,3,1))))</formula>
    </cfRule>
    <cfRule type="expression" priority="40" aboveAverage="0" equalAverage="0" bottom="0" percent="0" rank="0" text="" dxfId="52">
      <formula>AND(GanttPeriod=1,NETWORKDAYS.INTL(HI$5,HI$5,WorkWeek,Holidays)=0)</formula>
    </cfRule>
  </conditionalFormatting>
  <conditionalFormatting sqref="HI5:NB5">
    <cfRule type="expression" priority="41" aboveAverage="0" equalAverage="0" bottom="0" percent="0" rank="0" text="" dxfId="31">
      <formula>AND(StatusDate&gt;0,StatusDate&gt;=HI$5,StatusDate&lt;IF(GanttPeriod&lt;28,HI$5+GanttPeriod,EDATE(HI$5,IF(GanttPeriod&gt;=90,3,1))))</formula>
    </cfRule>
    <cfRule type="expression" priority="42" aboveAverage="0" equalAverage="0" bottom="0" percent="0" rank="0" text="" dxfId="53">
      <formula>GanttPeriod&gt;=28</formula>
    </cfRule>
  </conditionalFormatting>
  <dataValidations count="43">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AK6:AK205" type="list">
      <formula1>L_Mode</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INDEX(tsk_PickList,1):INDEX(tsk_PickList,MAX(1,COUNTIF($CH$5:$CH5,1)))</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INDEX(tsk_PickList,1):INDEX(tsk_PickList,MAX(1,COUNTIF($CH$5:$CH5,1)))</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INDEX(tsk_PickList,1):INDEX(tsk_PickList,MAX(1,COUNTIF($CH$5:$CH5,1)))</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INDEX(tsk_PickList,1):INDEX(tsk_PickList,MAX(1,COUNTIF($CH$5:$CH5,1)))</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 allowBlank="false" error="Working days, e.g. 4." errorStyle="stop" operator="greaterThanOrEqual" prompt="The fewest days it could take if all goes well. With Pessimistic it gives the Expected duration and the P50 / P80 finish on Status." promptTitle="Optimistic (working days)" showDropDown="false" showErrorMessage="true" showInputMessage="true" sqref="BY6:BY205" type="decimal">
      <formula1>0</formula1>
      <formula2>0</formula2>
    </dataValidation>
    <dataValidation allowBlank="false" error="Working days, e.g. 4." errorStyle="stop" operator="greaterThanOrEqual" prompt="The most days it could take if things go wrong (not a disaster)." promptTitle="Pessimistic (working days)" showDropDown="false" showErrorMessage="true" showInputMessage="true" sqref="BZ6:BZ205" type="decimal">
      <formula1>0</formula1>
      <formula2>0</formula2>
    </dataValidation>
    <dataValidation allowBlank="false" error="Working days: 3, 3d or 2w (a week = 5 days)." errorStyle="stop" errorTitle="Sandbox Duration" operator="between" prompt="Try another duration (3, 3d or 2w) without changing the plan: it is used only while Settings &gt; Sandbox = Yes." promptTitle="Sandbox Duration (what-if)" showDropDown="false" showErrorMessage="true" showInputMessage="true" sqref="CA6:CA205" type="custom">
      <formula1>OR(AND(ISNUMBER(CA6),CA6&gt;=0),IFERROR(AND(OR(LOWER(RIGHT(CA6,1))="d",LOWER(RIGHT(CA6,1))="w"),VALUE(LEFT(CA6,LEN(CA6)-1))&gt;=0),0))</formula1>
      <formula2>0</formula2>
    </dataValidation>
    <dataValidation allowBlank="false" errorStyle="stop" operator="between" prompt="The one person who answers for the task. Responsible = its Resources." promptTitle="Accountable (RACI)" showDropDown="false" showErrorMessage="false" showInputMessage="true" sqref="BU6:BU205" type="list">
      <formula1>res_Name</formula1>
      <formula2>0</formula2>
    </dataValidation>
    <dataValidation allowBlank="true" errorStyle="stop" operator="between" prompt="People whose input is needed, comma-separated." promptTitle="Consulted (RACI)" showDropDown="false" showErrorMessage="false" showInputMessage="true" sqref="BV6:BV205" type="none">
      <formula1>0</formula1>
      <formula2>0</formula2>
    </dataValidation>
    <dataValidation allowBlank="true" errorStyle="stop" operator="between" prompt="People kept up to date, comma-separated." promptTitle="Informed (RACI)" showDropDown="false" showErrorMessage="false" showInputMessage="true" sqref="BW6:BW205" type="none">
      <formula1>0</formula1>
      <formula2>0</formula2>
    </dataValidation>
  </dataValidations>
  <hyperlinks>
    <hyperlink ref="AA3" location="Tasks!HI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BA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6" min="4" style="0" width="3.61"/>
    <col collapsed="false" customWidth="true" hidden="true" outlineLevel="0" max="17" min="17" style="0" width="3.61"/>
    <col collapsed="false" customWidth="true" hidden="false" outlineLevel="0" max="34" min="18" style="0" width="3.61"/>
    <col collapsed="false" customWidth="true" hidden="false" outlineLevel="0" max="35" min="35" style="0" width="26"/>
    <col collapsed="false" customWidth="true" hidden="false" outlineLevel="0" max="36" min="36" style="0" width="18"/>
    <col collapsed="false" customWidth="true" hidden="true" outlineLevel="0" max="37" min="37" style="0" width="6"/>
    <col collapsed="false" customWidth="true" hidden="true" outlineLevel="0" max="38" min="38" style="0" width="8"/>
    <col collapsed="false" customWidth="true" hidden="false" outlineLevel="0" max="53" min="39" style="0" width="11"/>
  </cols>
  <sheetData>
    <row r="1" customFormat="false" ht="19.7" hidden="false" customHeight="false" outlineLevel="0" collapsed="false">
      <c r="A1" s="14" t="s">
        <v>665</v>
      </c>
    </row>
    <row r="2" customFormat="false" ht="15" hidden="false" customHeight="false" outlineLevel="0" collapsed="false">
      <c r="A2" s="2" t="s">
        <v>666</v>
      </c>
    </row>
    <row r="5" customFormat="false" ht="169.4" hidden="false" customHeight="false" outlineLevel="0" collapsed="false">
      <c r="B5" s="18" t="s">
        <v>667</v>
      </c>
      <c r="C5" s="18" t="s">
        <v>668</v>
      </c>
      <c r="D5" s="18" t="s">
        <v>669</v>
      </c>
      <c r="E5" s="18" t="s">
        <v>670</v>
      </c>
      <c r="F5" s="18" t="s">
        <v>671</v>
      </c>
      <c r="G5" s="18" t="s">
        <v>183</v>
      </c>
      <c r="H5" s="18" t="s">
        <v>672</v>
      </c>
      <c r="I5" s="18" t="s">
        <v>673</v>
      </c>
      <c r="J5" s="18" t="s">
        <v>674</v>
      </c>
      <c r="K5" s="17" t="s">
        <v>149</v>
      </c>
      <c r="L5" s="17" t="s">
        <v>251</v>
      </c>
      <c r="M5" s="18" t="s">
        <v>187</v>
      </c>
      <c r="N5" s="17" t="s">
        <v>675</v>
      </c>
      <c r="O5" s="17" t="s">
        <v>676</v>
      </c>
      <c r="P5" s="17" t="s">
        <v>677</v>
      </c>
      <c r="Q5" s="42" t="s">
        <v>678</v>
      </c>
      <c r="R5" s="18" t="s">
        <v>679</v>
      </c>
      <c r="S5" s="18" t="s">
        <v>680</v>
      </c>
      <c r="T5" s="18" t="s">
        <v>681</v>
      </c>
      <c r="U5" s="18" t="s">
        <v>682</v>
      </c>
      <c r="V5" s="18" t="s">
        <v>683</v>
      </c>
      <c r="W5" s="18" t="s">
        <v>684</v>
      </c>
      <c r="X5" s="18" t="s">
        <v>685</v>
      </c>
      <c r="Y5" s="18" t="s">
        <v>686</v>
      </c>
      <c r="Z5" s="18" t="s">
        <v>687</v>
      </c>
      <c r="AA5" s="18" t="s">
        <v>688</v>
      </c>
      <c r="AB5" s="18" t="s">
        <v>689</v>
      </c>
      <c r="AC5" s="18" t="s">
        <v>690</v>
      </c>
      <c r="AD5" s="18" t="s">
        <v>691</v>
      </c>
      <c r="AE5" s="18" t="s">
        <v>692</v>
      </c>
      <c r="AF5" s="18" t="s">
        <v>693</v>
      </c>
      <c r="AG5" s="18" t="s">
        <v>694</v>
      </c>
      <c r="AH5" s="18" t="s">
        <v>695</v>
      </c>
      <c r="AI5" s="18" t="s">
        <v>696</v>
      </c>
      <c r="AJ5" s="18" t="s">
        <v>697</v>
      </c>
      <c r="AK5" s="18" t="s">
        <v>698</v>
      </c>
      <c r="AL5" s="18" t="s">
        <v>699</v>
      </c>
      <c r="AM5" s="18" t="s">
        <v>700</v>
      </c>
      <c r="AN5" s="18" t="s">
        <v>701</v>
      </c>
      <c r="AO5" s="18" t="s">
        <v>702</v>
      </c>
      <c r="AP5" s="18" t="s">
        <v>703</v>
      </c>
      <c r="AQ5" s="18" t="s">
        <v>704</v>
      </c>
      <c r="AR5" s="18" t="s">
        <v>705</v>
      </c>
      <c r="AS5" s="18" t="s">
        <v>706</v>
      </c>
      <c r="AT5" s="18" t="s">
        <v>707</v>
      </c>
      <c r="AU5" s="18" t="s">
        <v>708</v>
      </c>
      <c r="AV5" s="18" t="s">
        <v>709</v>
      </c>
      <c r="AW5" s="18" t="s">
        <v>710</v>
      </c>
      <c r="AX5" s="18" t="s">
        <v>711</v>
      </c>
      <c r="AY5" s="18" t="s">
        <v>712</v>
      </c>
      <c r="AZ5" s="18" t="s">
        <v>713</v>
      </c>
      <c r="BA5" s="18" t="s">
        <v>714</v>
      </c>
    </row>
    <row r="6" customFormat="false" ht="15" hidden="false" customHeight="false" outlineLevel="0" collapsed="false">
      <c r="B6" s="23" t="s">
        <v>6</v>
      </c>
      <c r="C6" s="23" t="s">
        <v>715</v>
      </c>
      <c r="D6" s="23" t="s">
        <v>716</v>
      </c>
      <c r="E6" s="23" t="s">
        <v>251</v>
      </c>
      <c r="F6" s="65" t="n">
        <v>0.5</v>
      </c>
      <c r="G6" s="7"/>
      <c r="H6" s="7"/>
      <c r="I6" s="65" t="n">
        <v>0</v>
      </c>
      <c r="J6" s="23" t="s">
        <v>717</v>
      </c>
      <c r="K6"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2</v>
      </c>
      <c r="O6"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6"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6" s="94" t="n">
        <f aca="false">IF(ResourceTable[[#This Row],[Focus %]]="",FocusFactor,N(ResourceTable[[#This Row],[Focus %]]))</f>
        <v>0</v>
      </c>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c r="AZ6" s="23"/>
      <c r="BA6" s="23"/>
    </row>
    <row r="7" customFormat="false" ht="15" hidden="false" customHeight="false" outlineLevel="0" collapsed="false">
      <c r="B7" s="23" t="s">
        <v>643</v>
      </c>
      <c r="C7" s="23" t="s">
        <v>718</v>
      </c>
      <c r="D7" s="23" t="s">
        <v>719</v>
      </c>
      <c r="E7" s="23" t="s">
        <v>251</v>
      </c>
      <c r="F7" s="65" t="n">
        <v>1</v>
      </c>
      <c r="G7" s="7"/>
      <c r="H7" s="7"/>
      <c r="I7" s="65"/>
      <c r="J7" s="23" t="s">
        <v>720</v>
      </c>
      <c r="K7"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7"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7"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1</v>
      </c>
      <c r="Q7" s="94" t="n">
        <f aca="false">IF(ResourceTable[[#This Row],[Focus %]]="",FocusFactor,N(ResourceTable[[#This Row],[Focus %]]))</f>
        <v>0.8</v>
      </c>
      <c r="R7" s="23"/>
      <c r="S7" s="23"/>
      <c r="T7" s="23"/>
      <c r="U7" s="23"/>
      <c r="V7" s="23"/>
      <c r="W7" s="23"/>
      <c r="X7" s="23"/>
      <c r="Y7" s="23"/>
      <c r="Z7" s="23"/>
      <c r="AA7" s="23"/>
      <c r="AB7" s="23"/>
      <c r="AC7" s="23" t="s">
        <v>721</v>
      </c>
      <c r="AD7" s="23"/>
      <c r="AE7" s="23"/>
      <c r="AF7" s="23"/>
      <c r="AG7" s="23"/>
      <c r="AH7" s="23"/>
      <c r="AI7" s="23"/>
      <c r="AJ7" s="23"/>
      <c r="AK7" s="23"/>
      <c r="AL7" s="23"/>
      <c r="AM7" s="23"/>
      <c r="AN7" s="23"/>
      <c r="AO7" s="23"/>
      <c r="AP7" s="23"/>
      <c r="AQ7" s="23"/>
      <c r="AR7" s="23"/>
      <c r="AS7" s="23"/>
      <c r="AT7" s="23"/>
      <c r="AU7" s="23"/>
      <c r="AV7" s="23"/>
      <c r="AW7" s="23"/>
      <c r="AX7" s="23"/>
      <c r="AY7" s="23"/>
      <c r="AZ7" s="23"/>
      <c r="BA7" s="23"/>
    </row>
    <row r="8" customFormat="false" ht="15" hidden="false" customHeight="false" outlineLevel="0" collapsed="false">
      <c r="B8" s="23" t="s">
        <v>722</v>
      </c>
      <c r="C8" s="23" t="s">
        <v>723</v>
      </c>
      <c r="D8" s="23" t="s">
        <v>724</v>
      </c>
      <c r="E8" s="23" t="s">
        <v>251</v>
      </c>
      <c r="F8" s="65" t="n">
        <v>0.5</v>
      </c>
      <c r="G8" s="7"/>
      <c r="H8" s="7"/>
      <c r="I8" s="65" t="n">
        <v>0</v>
      </c>
      <c r="J8" s="23" t="s">
        <v>725</v>
      </c>
      <c r="K8"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8"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8"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8" s="94" t="n">
        <f aca="false">IF(ResourceTable[[#This Row],[Focus %]]="",FocusFactor,N(ResourceTable[[#This Row],[Focus %]]))</f>
        <v>0</v>
      </c>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row>
    <row r="9" customFormat="false" ht="15" hidden="false" customHeight="false" outlineLevel="0" collapsed="false">
      <c r="B9" s="23" t="s">
        <v>651</v>
      </c>
      <c r="C9" s="23" t="s">
        <v>726</v>
      </c>
      <c r="D9" s="23" t="s">
        <v>727</v>
      </c>
      <c r="E9" s="23" t="s">
        <v>251</v>
      </c>
      <c r="F9" s="65" t="n">
        <v>1</v>
      </c>
      <c r="G9" s="7"/>
      <c r="H9" s="7"/>
      <c r="I9" s="65"/>
      <c r="J9" s="23" t="s">
        <v>728</v>
      </c>
      <c r="K9"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9"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9"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9" s="94" t="n">
        <f aca="false">IF(ResourceTable[[#This Row],[Focus %]]="",FocusFactor,N(ResourceTable[[#This Row],[Focus %]]))</f>
        <v>0.8</v>
      </c>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row>
    <row r="10" customFormat="false" ht="15" hidden="false" customHeight="false" outlineLevel="0" collapsed="false">
      <c r="B10" s="23" t="s">
        <v>729</v>
      </c>
      <c r="C10" s="23" t="s">
        <v>730</v>
      </c>
      <c r="D10" s="23" t="s">
        <v>731</v>
      </c>
      <c r="E10" s="23" t="s">
        <v>251</v>
      </c>
      <c r="F10" s="65" t="n">
        <v>1</v>
      </c>
      <c r="G10" s="7"/>
      <c r="H10" s="7"/>
      <c r="I10" s="65"/>
      <c r="J10" s="23" t="s">
        <v>732</v>
      </c>
      <c r="K10"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0"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0"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0" s="94" t="n">
        <f aca="false">IF(ResourceTable[[#This Row],[Focus %]]="",FocusFactor,N(ResourceTable[[#This Row],[Focus %]]))</f>
        <v>0.8</v>
      </c>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row>
    <row r="11" customFormat="false" ht="15" hidden="false" customHeight="false" outlineLevel="0" collapsed="false">
      <c r="B11" s="23" t="s">
        <v>657</v>
      </c>
      <c r="C11" s="23" t="s">
        <v>733</v>
      </c>
      <c r="D11" s="23" t="s">
        <v>734</v>
      </c>
      <c r="E11" s="23" t="s">
        <v>251</v>
      </c>
      <c r="F11" s="65" t="n">
        <v>1</v>
      </c>
      <c r="G11" s="7"/>
      <c r="H11" s="7"/>
      <c r="I11" s="65"/>
      <c r="J11" s="23" t="s">
        <v>735</v>
      </c>
      <c r="K11"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1"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1"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1" s="94" t="n">
        <f aca="false">IF(ResourceTable[[#This Row],[Focus %]]="",FocusFactor,N(ResourceTable[[#This Row],[Focus %]]))</f>
        <v>0.8</v>
      </c>
      <c r="R11" s="23"/>
      <c r="S11" s="23"/>
      <c r="T11" s="23"/>
      <c r="U11" s="23"/>
      <c r="V11" s="23"/>
      <c r="W11" s="23"/>
      <c r="X11" s="23"/>
      <c r="Y11" s="23"/>
      <c r="Z11" s="23"/>
      <c r="AA11" s="23"/>
      <c r="AB11" s="23" t="s">
        <v>736</v>
      </c>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row>
    <row r="12" customFormat="false" ht="15" hidden="false" customHeight="false" outlineLevel="0" collapsed="false">
      <c r="B12" s="23" t="s">
        <v>655</v>
      </c>
      <c r="C12" s="23" t="s">
        <v>737</v>
      </c>
      <c r="D12" s="23" t="s">
        <v>738</v>
      </c>
      <c r="E12" s="23" t="s">
        <v>251</v>
      </c>
      <c r="F12" s="65" t="n">
        <v>1</v>
      </c>
      <c r="G12" s="7"/>
      <c r="H12" s="7"/>
      <c r="I12" s="65"/>
      <c r="J12" s="23" t="s">
        <v>739</v>
      </c>
      <c r="K12"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1</v>
      </c>
      <c r="O12"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12"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2" s="94" t="n">
        <f aca="false">IF(ResourceTable[[#This Row],[Focus %]]="",FocusFactor,N(ResourceTable[[#This Row],[Focus %]]))</f>
        <v>0.8</v>
      </c>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row>
    <row r="13" customFormat="false" ht="15" hidden="false" customHeight="false" outlineLevel="0" collapsed="false">
      <c r="B13" s="23"/>
      <c r="C13" s="23"/>
      <c r="D13" s="23"/>
      <c r="E13" s="23"/>
      <c r="F13" s="65"/>
      <c r="G13" s="7"/>
      <c r="H13" s="7"/>
      <c r="I13" s="65"/>
      <c r="J13" s="23"/>
      <c r="K1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3" s="94" t="n">
        <f aca="false">IF(ResourceTable[[#This Row],[Focus %]]="",FocusFactor,N(ResourceTable[[#This Row],[Focus %]]))</f>
        <v>0.8</v>
      </c>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row>
    <row r="14" customFormat="false" ht="15" hidden="false" customHeight="false" outlineLevel="0" collapsed="false">
      <c r="B14" s="23"/>
      <c r="C14" s="23"/>
      <c r="D14" s="23"/>
      <c r="E14" s="23"/>
      <c r="F14" s="65"/>
      <c r="G14" s="7"/>
      <c r="H14" s="7"/>
      <c r="I14" s="65"/>
      <c r="J14" s="23"/>
      <c r="K1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4" s="94" t="n">
        <f aca="false">IF(ResourceTable[[#This Row],[Focus %]]="",FocusFactor,N(ResourceTable[[#This Row],[Focus %]]))</f>
        <v>0.8</v>
      </c>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row>
    <row r="15" customFormat="false" ht="15" hidden="false" customHeight="false" outlineLevel="0" collapsed="false">
      <c r="B15" s="23"/>
      <c r="C15" s="23"/>
      <c r="D15" s="23"/>
      <c r="E15" s="23"/>
      <c r="F15" s="65"/>
      <c r="G15" s="7"/>
      <c r="H15" s="7"/>
      <c r="I15" s="65"/>
      <c r="J15" s="23"/>
      <c r="K1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5" s="94" t="n">
        <f aca="false">IF(ResourceTable[[#This Row],[Focus %]]="",FocusFactor,N(ResourceTable[[#This Row],[Focus %]]))</f>
        <v>0.8</v>
      </c>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row>
    <row r="16" customFormat="false" ht="15" hidden="false" customHeight="false" outlineLevel="0" collapsed="false">
      <c r="B16" s="23"/>
      <c r="C16" s="23"/>
      <c r="D16" s="23"/>
      <c r="E16" s="23"/>
      <c r="F16" s="65"/>
      <c r="G16" s="7"/>
      <c r="H16" s="7"/>
      <c r="I16" s="65"/>
      <c r="J16" s="23"/>
      <c r="K1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6" s="94" t="n">
        <f aca="false">IF(ResourceTable[[#This Row],[Focus %]]="",FocusFactor,N(ResourceTable[[#This Row],[Focus %]]))</f>
        <v>0.8</v>
      </c>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row>
    <row r="17" customFormat="false" ht="15" hidden="false" customHeight="false" outlineLevel="0" collapsed="false">
      <c r="B17" s="23"/>
      <c r="C17" s="23"/>
      <c r="D17" s="23"/>
      <c r="E17" s="23"/>
      <c r="F17" s="65"/>
      <c r="G17" s="7"/>
      <c r="H17" s="7"/>
      <c r="I17" s="65"/>
      <c r="J17" s="23"/>
      <c r="K1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7" s="94" t="n">
        <f aca="false">IF(ResourceTable[[#This Row],[Focus %]]="",FocusFactor,N(ResourceTable[[#This Row],[Focus %]]))</f>
        <v>0.8</v>
      </c>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row>
    <row r="18" customFormat="false" ht="15" hidden="false" customHeight="false" outlineLevel="0" collapsed="false">
      <c r="B18" s="23"/>
      <c r="C18" s="23"/>
      <c r="D18" s="23"/>
      <c r="E18" s="23"/>
      <c r="F18" s="65"/>
      <c r="G18" s="7"/>
      <c r="H18" s="7"/>
      <c r="I18" s="65"/>
      <c r="J18" s="23"/>
      <c r="K1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8" s="94" t="n">
        <f aca="false">IF(ResourceTable[[#This Row],[Focus %]]="",FocusFactor,N(ResourceTable[[#This Row],[Focus %]]))</f>
        <v>0.8</v>
      </c>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row>
    <row r="19" customFormat="false" ht="15" hidden="false" customHeight="false" outlineLevel="0" collapsed="false">
      <c r="B19" s="23"/>
      <c r="C19" s="23"/>
      <c r="D19" s="23"/>
      <c r="E19" s="23"/>
      <c r="F19" s="65"/>
      <c r="G19" s="7"/>
      <c r="H19" s="7"/>
      <c r="I19" s="65"/>
      <c r="J19" s="23"/>
      <c r="K1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9" s="94" t="n">
        <f aca="false">IF(ResourceTable[[#This Row],[Focus %]]="",FocusFactor,N(ResourceTable[[#This Row],[Focus %]]))</f>
        <v>0.8</v>
      </c>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row>
    <row r="20" customFormat="false" ht="15" hidden="false" customHeight="false" outlineLevel="0" collapsed="false">
      <c r="B20" s="23"/>
      <c r="C20" s="23"/>
      <c r="D20" s="23"/>
      <c r="E20" s="23"/>
      <c r="F20" s="65"/>
      <c r="G20" s="7"/>
      <c r="H20" s="7"/>
      <c r="I20" s="65"/>
      <c r="J20" s="23"/>
      <c r="K2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0" s="94" t="n">
        <f aca="false">IF(ResourceTable[[#This Row],[Focus %]]="",FocusFactor,N(ResourceTable[[#This Row],[Focus %]]))</f>
        <v>0.8</v>
      </c>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row>
    <row r="21" customFormat="false" ht="15" hidden="false" customHeight="false" outlineLevel="0" collapsed="false">
      <c r="B21" s="23"/>
      <c r="C21" s="23"/>
      <c r="D21" s="23"/>
      <c r="E21" s="23"/>
      <c r="F21" s="65"/>
      <c r="G21" s="7"/>
      <c r="H21" s="7"/>
      <c r="I21" s="65"/>
      <c r="J21" s="23"/>
      <c r="K2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1" s="94" t="n">
        <f aca="false">IF(ResourceTable[[#This Row],[Focus %]]="",FocusFactor,N(ResourceTable[[#This Row],[Focus %]]))</f>
        <v>0.8</v>
      </c>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row>
    <row r="22" customFormat="false" ht="15" hidden="false" customHeight="false" outlineLevel="0" collapsed="false">
      <c r="B22" s="23"/>
      <c r="C22" s="23"/>
      <c r="D22" s="23"/>
      <c r="E22" s="23"/>
      <c r="F22" s="65"/>
      <c r="G22" s="7"/>
      <c r="H22" s="7"/>
      <c r="I22" s="65"/>
      <c r="J22" s="23"/>
      <c r="K2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2" s="94" t="n">
        <f aca="false">IF(ResourceTable[[#This Row],[Focus %]]="",FocusFactor,N(ResourceTable[[#This Row],[Focus %]]))</f>
        <v>0.8</v>
      </c>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row>
    <row r="23" customFormat="false" ht="15" hidden="false" customHeight="false" outlineLevel="0" collapsed="false">
      <c r="B23" s="23"/>
      <c r="C23" s="23"/>
      <c r="D23" s="23"/>
      <c r="E23" s="23"/>
      <c r="F23" s="65"/>
      <c r="G23" s="7"/>
      <c r="H23" s="7"/>
      <c r="I23" s="65"/>
      <c r="J23" s="23"/>
      <c r="K2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3" s="94" t="n">
        <f aca="false">IF(ResourceTable[[#This Row],[Focus %]]="",FocusFactor,N(ResourceTable[[#This Row],[Focus %]]))</f>
        <v>0.8</v>
      </c>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row>
    <row r="24" customFormat="false" ht="15" hidden="false" customHeight="false" outlineLevel="0" collapsed="false">
      <c r="B24" s="23"/>
      <c r="C24" s="23"/>
      <c r="D24" s="23"/>
      <c r="E24" s="23"/>
      <c r="F24" s="65"/>
      <c r="G24" s="7"/>
      <c r="H24" s="7"/>
      <c r="I24" s="65"/>
      <c r="J24" s="23"/>
      <c r="K2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4" s="94" t="n">
        <f aca="false">IF(ResourceTable[[#This Row],[Focus %]]="",FocusFactor,N(ResourceTable[[#This Row],[Focus %]]))</f>
        <v>0.8</v>
      </c>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row>
    <row r="25" customFormat="false" ht="15" hidden="false" customHeight="false" outlineLevel="0" collapsed="false">
      <c r="B25" s="23"/>
      <c r="C25" s="23"/>
      <c r="D25" s="23"/>
      <c r="E25" s="23"/>
      <c r="F25" s="65"/>
      <c r="G25" s="7"/>
      <c r="H25" s="7"/>
      <c r="I25" s="65"/>
      <c r="J25" s="23"/>
      <c r="K2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5" s="94" t="n">
        <f aca="false">IF(ResourceTable[[#This Row],[Focus %]]="",FocusFactor,N(ResourceTable[[#This Row],[Focus %]]))</f>
        <v>0.8</v>
      </c>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row>
    <row r="26" customFormat="false" ht="15" hidden="false" customHeight="false" outlineLevel="0" collapsed="false">
      <c r="B26" s="23"/>
      <c r="C26" s="23"/>
      <c r="D26" s="23"/>
      <c r="E26" s="23"/>
      <c r="F26" s="65"/>
      <c r="G26" s="7"/>
      <c r="H26" s="7"/>
      <c r="I26" s="65"/>
      <c r="J26" s="23"/>
      <c r="K2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6" s="94" t="n">
        <f aca="false">IF(ResourceTable[[#This Row],[Focus %]]="",FocusFactor,N(ResourceTable[[#This Row],[Focus %]]))</f>
        <v>0.8</v>
      </c>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row>
    <row r="27" customFormat="false" ht="15" hidden="false" customHeight="false" outlineLevel="0" collapsed="false">
      <c r="B27" s="23"/>
      <c r="C27" s="23"/>
      <c r="D27" s="23"/>
      <c r="E27" s="23"/>
      <c r="F27" s="65"/>
      <c r="G27" s="7"/>
      <c r="H27" s="7"/>
      <c r="I27" s="65"/>
      <c r="J27" s="23"/>
      <c r="K2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7" s="94" t="n">
        <f aca="false">IF(ResourceTable[[#This Row],[Focus %]]="",FocusFactor,N(ResourceTable[[#This Row],[Focus %]]))</f>
        <v>0.8</v>
      </c>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row>
    <row r="28" customFormat="false" ht="15" hidden="false" customHeight="false" outlineLevel="0" collapsed="false">
      <c r="B28" s="23"/>
      <c r="C28" s="23"/>
      <c r="D28" s="23"/>
      <c r="E28" s="23"/>
      <c r="F28" s="65"/>
      <c r="G28" s="7"/>
      <c r="H28" s="7"/>
      <c r="I28" s="65"/>
      <c r="J28" s="23"/>
      <c r="K2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8" s="94" t="n">
        <f aca="false">IF(ResourceTable[[#This Row],[Focus %]]="",FocusFactor,N(ResourceTable[[#This Row],[Focus %]]))</f>
        <v>0.8</v>
      </c>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row>
    <row r="29" customFormat="false" ht="15" hidden="false" customHeight="false" outlineLevel="0" collapsed="false">
      <c r="B29" s="23"/>
      <c r="C29" s="23"/>
      <c r="D29" s="23"/>
      <c r="E29" s="23"/>
      <c r="F29" s="65"/>
      <c r="G29" s="7"/>
      <c r="H29" s="7"/>
      <c r="I29" s="65"/>
      <c r="J29" s="23"/>
      <c r="K2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9" s="94" t="n">
        <f aca="false">IF(ResourceTable[[#This Row],[Focus %]]="",FocusFactor,N(ResourceTable[[#This Row],[Focus %]]))</f>
        <v>0.8</v>
      </c>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row>
    <row r="30" customFormat="false" ht="15" hidden="false" customHeight="false" outlineLevel="0" collapsed="false">
      <c r="B30" s="23"/>
      <c r="C30" s="23"/>
      <c r="D30" s="23"/>
      <c r="E30" s="23"/>
      <c r="F30" s="65"/>
      <c r="G30" s="7"/>
      <c r="H30" s="7"/>
      <c r="I30" s="65"/>
      <c r="J30" s="23"/>
      <c r="K3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0" s="94" t="n">
        <f aca="false">IF(ResourceTable[[#This Row],[Focus %]]="",FocusFactor,N(ResourceTable[[#This Row],[Focus %]]))</f>
        <v>0.8</v>
      </c>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row>
    <row r="31" customFormat="false" ht="15" hidden="false" customHeight="false" outlineLevel="0" collapsed="false">
      <c r="B31" s="23"/>
      <c r="C31" s="23"/>
      <c r="D31" s="23"/>
      <c r="E31" s="23"/>
      <c r="F31" s="65"/>
      <c r="G31" s="7"/>
      <c r="H31" s="7"/>
      <c r="I31" s="65"/>
      <c r="J31" s="23"/>
      <c r="K3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1" s="94" t="n">
        <f aca="false">IF(ResourceTable[[#This Row],[Focus %]]="",FocusFactor,N(ResourceTable[[#This Row],[Focus %]]))</f>
        <v>0.8</v>
      </c>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row>
    <row r="32" customFormat="false" ht="15" hidden="false" customHeight="false" outlineLevel="0" collapsed="false">
      <c r="B32" s="23"/>
      <c r="C32" s="23"/>
      <c r="D32" s="23"/>
      <c r="E32" s="23"/>
      <c r="F32" s="65"/>
      <c r="G32" s="7"/>
      <c r="H32" s="7"/>
      <c r="I32" s="65"/>
      <c r="J32" s="23"/>
      <c r="K3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2" s="94" t="n">
        <f aca="false">IF(ResourceTable[[#This Row],[Focus %]]="",FocusFactor,N(ResourceTable[[#This Row],[Focus %]]))</f>
        <v>0.8</v>
      </c>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row>
    <row r="33" customFormat="false" ht="15" hidden="false" customHeight="false" outlineLevel="0" collapsed="false">
      <c r="B33" s="23"/>
      <c r="C33" s="23"/>
      <c r="D33" s="23"/>
      <c r="E33" s="23"/>
      <c r="F33" s="65"/>
      <c r="G33" s="7"/>
      <c r="H33" s="7"/>
      <c r="I33" s="65"/>
      <c r="J33" s="23"/>
      <c r="K3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3" s="94" t="n">
        <f aca="false">IF(ResourceTable[[#This Row],[Focus %]]="",FocusFactor,N(ResourceTable[[#This Row],[Focus %]]))</f>
        <v>0.8</v>
      </c>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row>
    <row r="34" customFormat="false" ht="15" hidden="false" customHeight="false" outlineLevel="0" collapsed="false">
      <c r="B34" s="23"/>
      <c r="C34" s="23"/>
      <c r="D34" s="23"/>
      <c r="E34" s="23"/>
      <c r="F34" s="65"/>
      <c r="G34" s="7"/>
      <c r="H34" s="7"/>
      <c r="I34" s="65"/>
      <c r="J34" s="23"/>
      <c r="K3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4" s="94" t="n">
        <f aca="false">IF(ResourceTable[[#This Row],[Focus %]]="",FocusFactor,N(ResourceTable[[#This Row],[Focus %]]))</f>
        <v>0.8</v>
      </c>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row>
    <row r="35" customFormat="false" ht="15" hidden="false" customHeight="false" outlineLevel="0" collapsed="false">
      <c r="B35" s="23"/>
      <c r="C35" s="23"/>
      <c r="D35" s="23"/>
      <c r="E35" s="23"/>
      <c r="F35" s="65"/>
      <c r="G35" s="7"/>
      <c r="H35" s="7"/>
      <c r="I35" s="65"/>
      <c r="J35" s="23"/>
      <c r="K3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5" s="94" t="n">
        <f aca="false">IF(ResourceTable[[#This Row],[Focus %]]="",FocusFactor,N(ResourceTable[[#This Row],[Focus %]]))</f>
        <v>0.8</v>
      </c>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row>
    <row r="36" customFormat="false" ht="15" hidden="false" customHeight="false" outlineLevel="0" collapsed="false">
      <c r="B36" s="23"/>
      <c r="C36" s="23"/>
      <c r="D36" s="23"/>
      <c r="E36" s="23"/>
      <c r="F36" s="65"/>
      <c r="G36" s="7"/>
      <c r="H36" s="7"/>
      <c r="I36" s="65"/>
      <c r="J36" s="23"/>
      <c r="K3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6" s="94" t="n">
        <f aca="false">IF(ResourceTable[[#This Row],[Focus %]]="",FocusFactor,N(ResourceTable[[#This Row],[Focus %]]))</f>
        <v>0.8</v>
      </c>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row>
    <row r="37" customFormat="false" ht="15" hidden="false" customHeight="false" outlineLevel="0" collapsed="false">
      <c r="B37" s="23"/>
      <c r="C37" s="23"/>
      <c r="D37" s="23"/>
      <c r="E37" s="23"/>
      <c r="F37" s="65"/>
      <c r="G37" s="7"/>
      <c r="H37" s="7"/>
      <c r="I37" s="65"/>
      <c r="J37" s="23"/>
      <c r="K3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7" s="94" t="n">
        <f aca="false">IF(ResourceTable[[#This Row],[Focus %]]="",FocusFactor,N(ResourceTable[[#This Row],[Focus %]]))</f>
        <v>0.8</v>
      </c>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row>
    <row r="38" customFormat="false" ht="15" hidden="false" customHeight="false" outlineLevel="0" collapsed="false">
      <c r="B38" s="23"/>
      <c r="C38" s="23"/>
      <c r="D38" s="23"/>
      <c r="E38" s="23"/>
      <c r="F38" s="65"/>
      <c r="G38" s="7"/>
      <c r="H38" s="7"/>
      <c r="I38" s="65"/>
      <c r="J38" s="23"/>
      <c r="K3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8" s="94" t="n">
        <f aca="false">IF(ResourceTable[[#This Row],[Focus %]]="",FocusFactor,N(ResourceTable[[#This Row],[Focus %]]))</f>
        <v>0.8</v>
      </c>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row>
    <row r="39" customFormat="false" ht="15" hidden="false" customHeight="false" outlineLevel="0" collapsed="false">
      <c r="B39" s="23"/>
      <c r="C39" s="23"/>
      <c r="D39" s="23"/>
      <c r="E39" s="23"/>
      <c r="F39" s="65"/>
      <c r="G39" s="7"/>
      <c r="H39" s="7"/>
      <c r="I39" s="65"/>
      <c r="J39" s="23"/>
      <c r="K3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9" s="94" t="n">
        <f aca="false">IF(ResourceTable[[#This Row],[Focus %]]="",FocusFactor,N(ResourceTable[[#This Row],[Focus %]]))</f>
        <v>0.8</v>
      </c>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row>
    <row r="40" customFormat="false" ht="15" hidden="false" customHeight="false" outlineLevel="0" collapsed="false">
      <c r="B40" s="23"/>
      <c r="C40" s="23"/>
      <c r="D40" s="23"/>
      <c r="E40" s="23"/>
      <c r="F40" s="65"/>
      <c r="G40" s="7"/>
      <c r="H40" s="7"/>
      <c r="I40" s="65"/>
      <c r="J40" s="23"/>
      <c r="K4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0" s="94" t="n">
        <f aca="false">IF(ResourceTable[[#This Row],[Focus %]]="",FocusFactor,N(ResourceTable[[#This Row],[Focus %]]))</f>
        <v>0.8</v>
      </c>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row>
    <row r="41" customFormat="false" ht="15" hidden="false" customHeight="false" outlineLevel="0" collapsed="false">
      <c r="B41" s="23"/>
      <c r="C41" s="23"/>
      <c r="D41" s="23"/>
      <c r="E41" s="23"/>
      <c r="F41" s="65"/>
      <c r="G41" s="7"/>
      <c r="H41" s="7"/>
      <c r="I41" s="65"/>
      <c r="J41" s="23"/>
      <c r="K4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1" s="94" t="n">
        <f aca="false">IF(ResourceTable[[#This Row],[Focus %]]="",FocusFactor,N(ResourceTable[[#This Row],[Focus %]]))</f>
        <v>0.8</v>
      </c>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row>
    <row r="42" customFormat="false" ht="15" hidden="false" customHeight="false" outlineLevel="0" collapsed="false">
      <c r="B42" s="23"/>
      <c r="C42" s="23"/>
      <c r="D42" s="23"/>
      <c r="E42" s="23"/>
      <c r="F42" s="65"/>
      <c r="G42" s="7"/>
      <c r="H42" s="7"/>
      <c r="I42" s="65"/>
      <c r="J42" s="23"/>
      <c r="K4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2" s="94" t="n">
        <f aca="false">IF(ResourceTable[[#This Row],[Focus %]]="",FocusFactor,N(ResourceTable[[#This Row],[Focus %]]))</f>
        <v>0.8</v>
      </c>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row>
    <row r="43" customFormat="false" ht="15" hidden="false" customHeight="false" outlineLevel="0" collapsed="false">
      <c r="B43" s="23"/>
      <c r="C43" s="23"/>
      <c r="D43" s="23"/>
      <c r="E43" s="23"/>
      <c r="F43" s="65"/>
      <c r="G43" s="7"/>
      <c r="H43" s="7"/>
      <c r="I43" s="65"/>
      <c r="J43" s="23"/>
      <c r="K4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3" s="94" t="n">
        <f aca="false">IF(ResourceTable[[#This Row],[Focus %]]="",FocusFactor,N(ResourceTable[[#This Row],[Focus %]]))</f>
        <v>0.8</v>
      </c>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row>
    <row r="44" customFormat="false" ht="15" hidden="false" customHeight="false" outlineLevel="0" collapsed="false">
      <c r="B44" s="23"/>
      <c r="C44" s="23"/>
      <c r="D44" s="23"/>
      <c r="E44" s="23"/>
      <c r="F44" s="65"/>
      <c r="G44" s="7"/>
      <c r="H44" s="7"/>
      <c r="I44" s="65"/>
      <c r="J44" s="23"/>
      <c r="K4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4" s="94" t="n">
        <f aca="false">IF(ResourceTable[[#This Row],[Focus %]]="",FocusFactor,N(ResourceTable[[#This Row],[Focus %]]))</f>
        <v>0.8</v>
      </c>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row>
    <row r="45" customFormat="false" ht="15" hidden="false" customHeight="false" outlineLevel="0" collapsed="false">
      <c r="B45" s="23"/>
      <c r="C45" s="23"/>
      <c r="D45" s="23"/>
      <c r="E45" s="23"/>
      <c r="F45" s="65"/>
      <c r="G45" s="7"/>
      <c r="H45" s="7"/>
      <c r="I45" s="65"/>
      <c r="J45" s="23"/>
      <c r="K4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5" s="94" t="n">
        <f aca="false">IF(ResourceTable[[#This Row],[Focus %]]="",FocusFactor,N(ResourceTable[[#This Row],[Focus %]]))</f>
        <v>0.8</v>
      </c>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row>
    <row r="46" customFormat="false" ht="15" hidden="false" customHeight="false" outlineLevel="0" collapsed="false">
      <c r="B46" s="23"/>
      <c r="C46" s="23"/>
      <c r="D46" s="23"/>
      <c r="E46" s="23"/>
      <c r="F46" s="65"/>
      <c r="G46" s="7"/>
      <c r="H46" s="7"/>
      <c r="I46" s="65"/>
      <c r="J46" s="23"/>
      <c r="K4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6" s="94" t="n">
        <f aca="false">IF(ResourceTable[[#This Row],[Focus %]]="",FocusFactor,N(ResourceTable[[#This Row],[Focus %]]))</f>
        <v>0.8</v>
      </c>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row>
    <row r="47" customFormat="false" ht="15" hidden="false" customHeight="false" outlineLevel="0" collapsed="false">
      <c r="B47" s="23"/>
      <c r="C47" s="23"/>
      <c r="D47" s="23"/>
      <c r="E47" s="23"/>
      <c r="F47" s="65"/>
      <c r="G47" s="7"/>
      <c r="H47" s="7"/>
      <c r="I47" s="65"/>
      <c r="J47" s="23"/>
      <c r="K4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7" s="94" t="n">
        <f aca="false">IF(ResourceTable[[#This Row],[Focus %]]="",FocusFactor,N(ResourceTable[[#This Row],[Focus %]]))</f>
        <v>0.8</v>
      </c>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row>
    <row r="48" customFormat="false" ht="15" hidden="false" customHeight="false" outlineLevel="0" collapsed="false">
      <c r="B48" s="23"/>
      <c r="C48" s="23"/>
      <c r="D48" s="23"/>
      <c r="E48" s="23"/>
      <c r="F48" s="65"/>
      <c r="G48" s="7"/>
      <c r="H48" s="7"/>
      <c r="I48" s="65"/>
      <c r="J48" s="23"/>
      <c r="K4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8" s="94" t="n">
        <f aca="false">IF(ResourceTable[[#This Row],[Focus %]]="",FocusFactor,N(ResourceTable[[#This Row],[Focus %]]))</f>
        <v>0.8</v>
      </c>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row>
    <row r="49" customFormat="false" ht="15" hidden="false" customHeight="false" outlineLevel="0" collapsed="false">
      <c r="B49" s="23"/>
      <c r="C49" s="23"/>
      <c r="D49" s="23"/>
      <c r="E49" s="23"/>
      <c r="F49" s="65"/>
      <c r="G49" s="7"/>
      <c r="H49" s="7"/>
      <c r="I49" s="65"/>
      <c r="J49" s="23"/>
      <c r="K4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9" s="94" t="n">
        <f aca="false">IF(ResourceTable[[#This Row],[Focus %]]="",FocusFactor,N(ResourceTable[[#This Row],[Focus %]]))</f>
        <v>0.8</v>
      </c>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row>
    <row r="50" customFormat="false" ht="15" hidden="false" customHeight="false" outlineLevel="0" collapsed="false">
      <c r="B50" s="23"/>
      <c r="C50" s="23"/>
      <c r="D50" s="23"/>
      <c r="E50" s="23"/>
      <c r="F50" s="65"/>
      <c r="G50" s="7"/>
      <c r="H50" s="7"/>
      <c r="I50" s="65"/>
      <c r="J50" s="23"/>
      <c r="K5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0" s="94" t="n">
        <f aca="false">IF(ResourceTable[[#This Row],[Focus %]]="",FocusFactor,N(ResourceTable[[#This Row],[Focus %]]))</f>
        <v>0.8</v>
      </c>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row>
    <row r="51" customFormat="false" ht="15" hidden="false" customHeight="false" outlineLevel="0" collapsed="false">
      <c r="B51" s="23"/>
      <c r="C51" s="23"/>
      <c r="D51" s="23"/>
      <c r="E51" s="23"/>
      <c r="F51" s="65"/>
      <c r="G51" s="7"/>
      <c r="H51" s="7"/>
      <c r="I51" s="65"/>
      <c r="J51" s="23"/>
      <c r="K5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1" s="94" t="n">
        <f aca="false">IF(ResourceTable[[#This Row],[Focus %]]="",FocusFactor,N(ResourceTable[[#This Row],[Focus %]]))</f>
        <v>0.8</v>
      </c>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row>
    <row r="52" customFormat="false" ht="15" hidden="false" customHeight="false" outlineLevel="0" collapsed="false">
      <c r="B52" s="23"/>
      <c r="C52" s="23"/>
      <c r="D52" s="23"/>
      <c r="E52" s="23"/>
      <c r="F52" s="65"/>
      <c r="G52" s="7"/>
      <c r="H52" s="7"/>
      <c r="I52" s="65"/>
      <c r="J52" s="23"/>
      <c r="K5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2" s="94" t="n">
        <f aca="false">IF(ResourceTable[[#This Row],[Focus %]]="",FocusFactor,N(ResourceTable[[#This Row],[Focus %]]))</f>
        <v>0.8</v>
      </c>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row>
    <row r="53" customFormat="false" ht="15" hidden="false" customHeight="false" outlineLevel="0" collapsed="false">
      <c r="B53" s="23"/>
      <c r="C53" s="23"/>
      <c r="D53" s="23"/>
      <c r="E53" s="23"/>
      <c r="F53" s="65"/>
      <c r="G53" s="7"/>
      <c r="H53" s="7"/>
      <c r="I53" s="65"/>
      <c r="J53" s="23"/>
      <c r="K5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3" s="94" t="n">
        <f aca="false">IF(ResourceTable[[#This Row],[Focus %]]="",FocusFactor,N(ResourceTable[[#This Row],[Focus %]]))</f>
        <v>0.8</v>
      </c>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row>
    <row r="54" customFormat="false" ht="15" hidden="false" customHeight="false" outlineLevel="0" collapsed="false">
      <c r="B54" s="23"/>
      <c r="C54" s="23"/>
      <c r="D54" s="23"/>
      <c r="E54" s="23"/>
      <c r="F54" s="65"/>
      <c r="G54" s="7"/>
      <c r="H54" s="7"/>
      <c r="I54" s="65"/>
      <c r="J54" s="23"/>
      <c r="K5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4" s="94" t="n">
        <f aca="false">IF(ResourceTable[[#This Row],[Focus %]]="",FocusFactor,N(ResourceTable[[#This Row],[Focus %]]))</f>
        <v>0.8</v>
      </c>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row>
    <row r="55" customFormat="false" ht="15" hidden="false" customHeight="false" outlineLevel="0" collapsed="false">
      <c r="B55" s="23"/>
      <c r="C55" s="23"/>
      <c r="D55" s="23"/>
      <c r="E55" s="23"/>
      <c r="F55" s="65"/>
      <c r="G55" s="7"/>
      <c r="H55" s="7"/>
      <c r="I55" s="65"/>
      <c r="J55" s="23"/>
      <c r="K5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5" s="94" t="n">
        <f aca="false">IF(ResourceTable[[#This Row],[Focus %]]="",FocusFactor,N(ResourceTable[[#This Row],[Focus %]]))</f>
        <v>0.8</v>
      </c>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row>
    <row r="58" customFormat="false" ht="15" hidden="false" customHeight="false" outlineLevel="0" collapsed="false">
      <c r="B58" s="28" t="s">
        <v>740</v>
      </c>
    </row>
    <row r="60" customFormat="false" ht="35.05" hidden="false" customHeight="false" outlineLevel="0" collapsed="false">
      <c r="B60" s="18" t="s">
        <v>741</v>
      </c>
      <c r="C60" s="18" t="s">
        <v>742</v>
      </c>
      <c r="D60" s="18" t="s">
        <v>743</v>
      </c>
      <c r="E60" s="18" t="s">
        <v>744</v>
      </c>
      <c r="F60" s="18" t="s">
        <v>745</v>
      </c>
      <c r="G60" s="18" t="s">
        <v>746</v>
      </c>
      <c r="H60" s="18" t="s">
        <v>747</v>
      </c>
      <c r="I60" s="18" t="s">
        <v>748</v>
      </c>
      <c r="J60" s="18" t="s">
        <v>749</v>
      </c>
      <c r="K60" s="18" t="s">
        <v>750</v>
      </c>
      <c r="L60" s="18" t="s">
        <v>751</v>
      </c>
      <c r="M60" s="18" t="s">
        <v>752</v>
      </c>
      <c r="N60" s="18" t="s">
        <v>753</v>
      </c>
      <c r="O60" s="18" t="s">
        <v>754</v>
      </c>
      <c r="P60" s="18" t="s">
        <v>755</v>
      </c>
      <c r="Q60" s="18" t="s">
        <v>756</v>
      </c>
      <c r="R60" s="18" t="s">
        <v>757</v>
      </c>
      <c r="S60" s="18" t="s">
        <v>758</v>
      </c>
      <c r="T60" s="18" t="s">
        <v>759</v>
      </c>
      <c r="U60" s="18" t="s">
        <v>760</v>
      </c>
      <c r="V60" s="18" t="s">
        <v>761</v>
      </c>
      <c r="W60" s="18" t="s">
        <v>762</v>
      </c>
      <c r="X60" s="18" t="s">
        <v>763</v>
      </c>
      <c r="Y60" s="18" t="s">
        <v>764</v>
      </c>
      <c r="Z60" s="18" t="s">
        <v>765</v>
      </c>
      <c r="AA60" s="18" t="s">
        <v>766</v>
      </c>
      <c r="AB60" s="18" t="s">
        <v>767</v>
      </c>
      <c r="AC60" s="18" t="s">
        <v>768</v>
      </c>
      <c r="AD60" s="18" t="s">
        <v>769</v>
      </c>
      <c r="AE60" s="18" t="s">
        <v>770</v>
      </c>
      <c r="AF60" s="18" t="s">
        <v>771</v>
      </c>
      <c r="AG60" s="18" t="s">
        <v>772</v>
      </c>
      <c r="AH60" s="18" t="s">
        <v>773</v>
      </c>
      <c r="AI60" s="17" t="s">
        <v>774</v>
      </c>
      <c r="AJ60" s="17" t="s">
        <v>775</v>
      </c>
      <c r="AK60" s="42" t="s">
        <v>776</v>
      </c>
      <c r="AL60" s="42" t="s">
        <v>777</v>
      </c>
    </row>
    <row r="61" customFormat="false" ht="15" hidden="false" customHeight="false" outlineLevel="0" collapsed="false">
      <c r="B61" s="23" t="s">
        <v>651</v>
      </c>
      <c r="C61" s="23" t="s">
        <v>689</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1" s="43" t="str">
        <f aca="false">LeaveDays[[#This Row],[Resource]]&amp;"|"&amp;LeaveDays[[#This Row],[Month]]</f>
        <v>Casey Kim|Nov-26</v>
      </c>
      <c r="AL61"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2" customFormat="false" ht="15" hidden="false" customHeight="false" outlineLevel="0" collapsed="false">
      <c r="B62" s="23" t="s">
        <v>729</v>
      </c>
      <c r="C62" s="23" t="s">
        <v>688</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2" s="43" t="str">
        <f aca="false">LeaveDays[[#This Row],[Resource]]&amp;"|"&amp;LeaveDays[[#This Row],[Month]]</f>
        <v>Jordan Lee|Oct-26</v>
      </c>
      <c r="AL62"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3" customFormat="false" ht="15" hidden="false" customHeight="false" outlineLevel="0" collapsed="false">
      <c r="B63" s="23" t="s">
        <v>729</v>
      </c>
      <c r="C63" s="23" t="s">
        <v>690</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3" s="43" t="str">
        <f aca="false">LeaveDays[[#This Row],[Resource]]&amp;"|"&amp;LeaveDays[[#This Row],[Month]]</f>
        <v>Jordan Lee|Dec-26</v>
      </c>
      <c r="AL63"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4" s="43" t="str">
        <f aca="false">LeaveDays[[#This Row],[Resource]]&amp;"|"&amp;LeaveDays[[#This Row],[Month]]</f>
        <v>|</v>
      </c>
      <c r="AL64"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5" s="43" t="str">
        <f aca="false">LeaveDays[[#This Row],[Resource]]&amp;"|"&amp;LeaveDays[[#This Row],[Month]]</f>
        <v>|</v>
      </c>
      <c r="AL65"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6" s="43" t="str">
        <f aca="false">LeaveDays[[#This Row],[Resource]]&amp;"|"&amp;LeaveDays[[#This Row],[Month]]</f>
        <v>|</v>
      </c>
      <c r="AL66"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7" s="43" t="str">
        <f aca="false">LeaveDays[[#This Row],[Resource]]&amp;"|"&amp;LeaveDays[[#This Row],[Month]]</f>
        <v>|</v>
      </c>
      <c r="AL67"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8" s="43" t="str">
        <f aca="false">LeaveDays[[#This Row],[Resource]]&amp;"|"&amp;LeaveDays[[#This Row],[Month]]</f>
        <v>|</v>
      </c>
      <c r="AL68"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9" s="43" t="str">
        <f aca="false">LeaveDays[[#This Row],[Resource]]&amp;"|"&amp;LeaveDays[[#This Row],[Month]]</f>
        <v>|</v>
      </c>
      <c r="AL69"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0" s="43" t="str">
        <f aca="false">LeaveDays[[#This Row],[Resource]]&amp;"|"&amp;LeaveDays[[#This Row],[Month]]</f>
        <v>|</v>
      </c>
      <c r="AL70"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1" s="43" t="str">
        <f aca="false">LeaveDays[[#This Row],[Resource]]&amp;"|"&amp;LeaveDays[[#This Row],[Month]]</f>
        <v>|</v>
      </c>
      <c r="AL71"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2" s="43" t="str">
        <f aca="false">LeaveDays[[#This Row],[Resource]]&amp;"|"&amp;LeaveDays[[#This Row],[Month]]</f>
        <v>|</v>
      </c>
      <c r="AL72"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3" s="43" t="str">
        <f aca="false">LeaveDays[[#This Row],[Resource]]&amp;"|"&amp;LeaveDays[[#This Row],[Month]]</f>
        <v>|</v>
      </c>
      <c r="AL73"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4" s="43" t="str">
        <f aca="false">LeaveDays[[#This Row],[Resource]]&amp;"|"&amp;LeaveDays[[#This Row],[Month]]</f>
        <v>|</v>
      </c>
      <c r="AL74"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5" s="43" t="str">
        <f aca="false">LeaveDays[[#This Row],[Resource]]&amp;"|"&amp;LeaveDays[[#This Row],[Month]]</f>
        <v>|</v>
      </c>
      <c r="AL75"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6" s="43" t="str">
        <f aca="false">LeaveDays[[#This Row],[Resource]]&amp;"|"&amp;LeaveDays[[#This Row],[Month]]</f>
        <v>|</v>
      </c>
      <c r="AL76"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7" s="43" t="str">
        <f aca="false">LeaveDays[[#This Row],[Resource]]&amp;"|"&amp;LeaveDays[[#This Row],[Month]]</f>
        <v>|</v>
      </c>
      <c r="AL77"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8" s="43" t="str">
        <f aca="false">LeaveDays[[#This Row],[Resource]]&amp;"|"&amp;LeaveDays[[#This Row],[Month]]</f>
        <v>|</v>
      </c>
      <c r="AL78"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9" s="43" t="str">
        <f aca="false">LeaveDays[[#This Row],[Resource]]&amp;"|"&amp;LeaveDays[[#This Row],[Month]]</f>
        <v>|</v>
      </c>
      <c r="AL79"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0" s="43" t="str">
        <f aca="false">LeaveDays[[#This Row],[Resource]]&amp;"|"&amp;LeaveDays[[#This Row],[Month]]</f>
        <v>|</v>
      </c>
      <c r="AL80"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1" s="43" t="str">
        <f aca="false">LeaveDays[[#This Row],[Resource]]&amp;"|"&amp;LeaveDays[[#This Row],[Month]]</f>
        <v>|</v>
      </c>
      <c r="AL81"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2" s="43" t="str">
        <f aca="false">LeaveDays[[#This Row],[Resource]]&amp;"|"&amp;LeaveDays[[#This Row],[Month]]</f>
        <v>|</v>
      </c>
      <c r="AL82"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3" s="43" t="str">
        <f aca="false">LeaveDays[[#This Row],[Resource]]&amp;"|"&amp;LeaveDays[[#This Row],[Month]]</f>
        <v>|</v>
      </c>
      <c r="AL83"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4" s="43" t="str">
        <f aca="false">LeaveDays[[#This Row],[Resource]]&amp;"|"&amp;LeaveDays[[#This Row],[Month]]</f>
        <v>|</v>
      </c>
      <c r="AL84"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5" s="43" t="str">
        <f aca="false">LeaveDays[[#This Row],[Resource]]&amp;"|"&amp;LeaveDays[[#This Row],[Month]]</f>
        <v>|</v>
      </c>
      <c r="AL85"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6" s="43" t="str">
        <f aca="false">LeaveDays[[#This Row],[Resource]]&amp;"|"&amp;LeaveDays[[#This Row],[Month]]</f>
        <v>|</v>
      </c>
      <c r="AL86"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7" s="43" t="str">
        <f aca="false">LeaveDays[[#This Row],[Resource]]&amp;"|"&amp;LeaveDays[[#This Row],[Month]]</f>
        <v>|</v>
      </c>
      <c r="AL87"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8" s="43" t="str">
        <f aca="false">LeaveDays[[#This Row],[Resource]]&amp;"|"&amp;LeaveDays[[#This Row],[Month]]</f>
        <v>|</v>
      </c>
      <c r="AL88"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9" s="43" t="str">
        <f aca="false">LeaveDays[[#This Row],[Resource]]&amp;"|"&amp;LeaveDays[[#This Row],[Month]]</f>
        <v>|</v>
      </c>
      <c r="AL89"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0" s="43" t="str">
        <f aca="false">LeaveDays[[#This Row],[Resource]]&amp;"|"&amp;LeaveDays[[#This Row],[Month]]</f>
        <v>|</v>
      </c>
      <c r="AL90"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1" s="43" t="str">
        <f aca="false">LeaveDays[[#This Row],[Resource]]&amp;"|"&amp;LeaveDays[[#This Row],[Month]]</f>
        <v>|</v>
      </c>
      <c r="AL91"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2" s="43" t="str">
        <f aca="false">LeaveDays[[#This Row],[Resource]]&amp;"|"&amp;LeaveDays[[#This Row],[Month]]</f>
        <v>|</v>
      </c>
      <c r="AL92"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3" s="43" t="str">
        <f aca="false">LeaveDays[[#This Row],[Resource]]&amp;"|"&amp;LeaveDays[[#This Row],[Month]]</f>
        <v>|</v>
      </c>
      <c r="AL93"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4" s="43" t="str">
        <f aca="false">LeaveDays[[#This Row],[Resource]]&amp;"|"&amp;LeaveDays[[#This Row],[Month]]</f>
        <v>|</v>
      </c>
      <c r="AL94"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5" s="43" t="str">
        <f aca="false">LeaveDays[[#This Row],[Resource]]&amp;"|"&amp;LeaveDays[[#This Row],[Month]]</f>
        <v>|</v>
      </c>
      <c r="AL95"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6" s="43" t="str">
        <f aca="false">LeaveDays[[#This Row],[Resource]]&amp;"|"&amp;LeaveDays[[#This Row],[Month]]</f>
        <v>|</v>
      </c>
      <c r="AL96"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7" s="43" t="str">
        <f aca="false">LeaveDays[[#This Row],[Resource]]&amp;"|"&amp;LeaveDays[[#This Row],[Month]]</f>
        <v>|</v>
      </c>
      <c r="AL97"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8" s="43" t="str">
        <f aca="false">LeaveDays[[#This Row],[Resource]]&amp;"|"&amp;LeaveDays[[#This Row],[Month]]</f>
        <v>|</v>
      </c>
      <c r="AL98"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9" s="43" t="str">
        <f aca="false">LeaveDays[[#This Row],[Resource]]&amp;"|"&amp;LeaveDays[[#This Row],[Month]]</f>
        <v>|</v>
      </c>
      <c r="AL99"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100" s="43" t="str">
        <f aca="false">LeaveDays[[#This Row],[Resource]]&amp;"|"&amp;LeaveDays[[#This Row],[Month]]</f>
        <v>|</v>
      </c>
      <c r="AL100"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sheetData>
  <conditionalFormatting sqref="AJ61:AJ100">
    <cfRule type="expression" priority="2" aboveAverage="0" equalAverage="0" bottom="0" percent="0" rank="0" text="" dxfId="21">
      <formula>AJ61&lt;&gt;""</formula>
    </cfRule>
  </conditionalFormatting>
  <dataValidations count="4">
    <dataValidation allowBlank="false" errorStyle="stop" operator="between" showDropDown="false" showErrorMessage="false" showInputMessage="false" sqref="E6:E55" type="list">
      <formula1>L_ResType</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2026-10-29T01:02:19Z</dcterms:created>
  <dc:creator>openpyxl</dc:creator>
  <dc:description/>
  <dc:language>en-US</dc:language>
  <cp:lastModifiedBy/>
  <dcterms:modified xsi:type="dcterms:W3CDTF">2026-10-29T01:02:21Z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